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ankos\tyokansio\projektit\meta-analysis\data\"/>
    </mc:Choice>
  </mc:AlternateContent>
  <xr:revisionPtr revIDLastSave="0" documentId="13_ncr:1_{E94BA51A-8EFE-4F33-B84F-1C0F84B61CA5}" xr6:coauthVersionLast="47" xr6:coauthVersionMax="47" xr10:uidLastSave="{00000000-0000-0000-0000-000000000000}"/>
  <bookViews>
    <workbookView xWindow="-108" yWindow="-108" windowWidth="23256" windowHeight="12576" activeTab="4" xr2:uid="{00000000-000D-0000-FFFF-FFFF00000000}"/>
  </bookViews>
  <sheets>
    <sheet name="task_time" sheetId="1" r:id="rId1"/>
    <sheet name="tool_path_length" sheetId="2" r:id="rId2"/>
    <sheet name="tool_velocity" sheetId="3" r:id="rId3"/>
    <sheet name="tool_idle" sheetId="11" r:id="rId4"/>
    <sheet name="tool_movements" sheetId="8" r:id="rId5"/>
    <sheet name="tool_jerk" sheetId="10" r:id="rId6"/>
    <sheet name="tool_acceleration" sheetId="15" r:id="rId7"/>
    <sheet name="tool_grasps" sheetId="4" r:id="rId8"/>
    <sheet name="tool_bimanual" sheetId="5" r:id="rId9"/>
    <sheet name="pupil_dilation" sheetId="6" r:id="rId10"/>
    <sheet name="pupil_blinks" sheetId="7" r:id="rId11"/>
    <sheet name="tool_force" sheetId="14" r:id="rId12"/>
    <sheet name="scale_UWOMSAb" sheetId="12" r:id="rId13"/>
    <sheet name="scale_OSATS" sheetId="1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4" i="8" l="1"/>
  <c r="K14" i="8"/>
  <c r="O14" i="8"/>
  <c r="P14" i="8" s="1"/>
  <c r="N19" i="2"/>
  <c r="K19" i="2"/>
  <c r="O19" i="2"/>
  <c r="P19" i="2" s="1"/>
  <c r="O31" i="1"/>
  <c r="P31" i="1" s="1"/>
  <c r="N31" i="1"/>
  <c r="K31" i="1"/>
  <c r="O12" i="14"/>
  <c r="P12" i="14" s="1"/>
  <c r="L11" i="14"/>
  <c r="I11" i="14"/>
  <c r="O11" i="14" s="1"/>
  <c r="P11" i="14" s="1"/>
  <c r="L30" i="1"/>
  <c r="I30" i="1"/>
  <c r="O10" i="14"/>
  <c r="P10" i="14" s="1"/>
  <c r="L10" i="14"/>
  <c r="I10" i="14"/>
  <c r="O9" i="14"/>
  <c r="P9" i="14" s="1"/>
  <c r="N29" i="1"/>
  <c r="K29" i="1"/>
  <c r="O29" i="1" s="1"/>
  <c r="P29" i="1" s="1"/>
  <c r="N13" i="3"/>
  <c r="K13" i="3"/>
  <c r="O13" i="3" s="1"/>
  <c r="P13" i="3" s="1"/>
  <c r="O14" i="10"/>
  <c r="P14" i="10"/>
  <c r="Q14" i="10" s="1"/>
  <c r="K14" i="10"/>
  <c r="N28" i="1"/>
  <c r="K28" i="1"/>
  <c r="O28" i="1"/>
  <c r="P28" i="1" s="1"/>
  <c r="N12" i="3"/>
  <c r="K12" i="3"/>
  <c r="O12" i="3" s="1"/>
  <c r="P12" i="3" s="1"/>
  <c r="O27" i="1"/>
  <c r="P27" i="1" s="1"/>
  <c r="O18" i="2"/>
  <c r="P18" i="2" s="1"/>
  <c r="O13" i="8"/>
  <c r="P13" i="8" s="1"/>
  <c r="O10" i="13"/>
  <c r="P10" i="13" s="1"/>
  <c r="O8" i="14"/>
  <c r="P8" i="14" s="1"/>
  <c r="K8" i="14"/>
  <c r="N8" i="14"/>
  <c r="O9" i="13"/>
  <c r="P9" i="13" s="1"/>
  <c r="N9" i="13"/>
  <c r="K9" i="13"/>
  <c r="N3" i="7"/>
  <c r="O3" i="7" s="1"/>
  <c r="P3" i="7" s="1"/>
  <c r="K3" i="7"/>
  <c r="O8" i="6"/>
  <c r="P8" i="6" s="1"/>
  <c r="N8" i="6"/>
  <c r="K8" i="6"/>
  <c r="O8" i="13"/>
  <c r="P8" i="13"/>
  <c r="R8" i="13" s="1"/>
  <c r="Q8" i="13"/>
  <c r="N8" i="13"/>
  <c r="K8" i="13"/>
  <c r="O7" i="13"/>
  <c r="P7" i="13" s="1"/>
  <c r="N7" i="13"/>
  <c r="K7" i="13"/>
  <c r="O6" i="13"/>
  <c r="P6" i="13" s="1"/>
  <c r="N6" i="13"/>
  <c r="O5" i="13"/>
  <c r="P5" i="13" s="1"/>
  <c r="N5" i="13"/>
  <c r="K5" i="13"/>
  <c r="O4" i="13"/>
  <c r="P4" i="13" s="1"/>
  <c r="O3" i="13"/>
  <c r="P3" i="13" s="1"/>
  <c r="O2" i="13"/>
  <c r="P2" i="13" s="1"/>
  <c r="O3" i="11"/>
  <c r="P3" i="11" s="1"/>
  <c r="O4" i="11"/>
  <c r="P4" i="11" s="1"/>
  <c r="O5" i="11"/>
  <c r="P5" i="11" s="1"/>
  <c r="O6" i="11"/>
  <c r="P6" i="11" s="1"/>
  <c r="O7" i="11"/>
  <c r="P7" i="11" s="1"/>
  <c r="O8" i="11"/>
  <c r="P8" i="11" s="1"/>
  <c r="O3" i="2"/>
  <c r="P3" i="2" s="1"/>
  <c r="O4" i="2"/>
  <c r="P4" i="2" s="1"/>
  <c r="O5" i="2"/>
  <c r="P5" i="2" s="1"/>
  <c r="O6" i="2"/>
  <c r="P6" i="2" s="1"/>
  <c r="O7" i="2"/>
  <c r="P7" i="2" s="1"/>
  <c r="O8" i="2"/>
  <c r="P8" i="2" s="1"/>
  <c r="O9" i="2"/>
  <c r="P9" i="2" s="1"/>
  <c r="O10" i="2"/>
  <c r="P10" i="2" s="1"/>
  <c r="O11" i="2"/>
  <c r="P11" i="2" s="1"/>
  <c r="O12" i="2"/>
  <c r="P12" i="2" s="1"/>
  <c r="O13" i="2"/>
  <c r="P13" i="2" s="1"/>
  <c r="O14" i="2"/>
  <c r="P14" i="2" s="1"/>
  <c r="O15" i="2"/>
  <c r="P15" i="2" s="1"/>
  <c r="O16" i="2"/>
  <c r="P16" i="2" s="1"/>
  <c r="O17" i="2"/>
  <c r="P17" i="2" s="1"/>
  <c r="O3" i="1"/>
  <c r="P3" i="1"/>
  <c r="Q3" i="1" s="1"/>
  <c r="O4" i="1"/>
  <c r="P4" i="1" s="1"/>
  <c r="O5" i="1"/>
  <c r="P5" i="1" s="1"/>
  <c r="O6" i="1"/>
  <c r="P6" i="1" s="1"/>
  <c r="O7" i="1"/>
  <c r="P7" i="1" s="1"/>
  <c r="O8" i="1"/>
  <c r="P8" i="1" s="1"/>
  <c r="O9" i="1"/>
  <c r="P9" i="1" s="1"/>
  <c r="O10" i="1"/>
  <c r="P10" i="1" s="1"/>
  <c r="O11" i="1"/>
  <c r="P11" i="1" s="1"/>
  <c r="O12" i="1"/>
  <c r="P12" i="1"/>
  <c r="Q12" i="1" s="1"/>
  <c r="O13" i="1"/>
  <c r="P13" i="1" s="1"/>
  <c r="O14" i="1"/>
  <c r="P14" i="1" s="1"/>
  <c r="O15" i="1"/>
  <c r="P15" i="1"/>
  <c r="Q15" i="1" s="1"/>
  <c r="O16" i="1"/>
  <c r="P16" i="1" s="1"/>
  <c r="O17" i="1"/>
  <c r="P17" i="1" s="1"/>
  <c r="O18" i="1"/>
  <c r="P18" i="1"/>
  <c r="Q18" i="1" s="1"/>
  <c r="O19" i="1"/>
  <c r="P19" i="1" s="1"/>
  <c r="O20" i="1"/>
  <c r="P20" i="1" s="1"/>
  <c r="O21" i="1"/>
  <c r="P21" i="1"/>
  <c r="Q21" i="1" s="1"/>
  <c r="O22" i="1"/>
  <c r="P22" i="1" s="1"/>
  <c r="O23" i="1"/>
  <c r="P23" i="1" s="1"/>
  <c r="O24" i="1"/>
  <c r="P24" i="1"/>
  <c r="Q24" i="1" s="1"/>
  <c r="O25" i="1"/>
  <c r="P25" i="1" s="1"/>
  <c r="O26" i="1"/>
  <c r="P26" i="1" s="1"/>
  <c r="K6" i="15"/>
  <c r="N6" i="15"/>
  <c r="N26" i="1"/>
  <c r="K26" i="1"/>
  <c r="J26" i="1"/>
  <c r="M26" i="1"/>
  <c r="K17" i="2"/>
  <c r="N17" i="2"/>
  <c r="O13" i="10"/>
  <c r="P13" i="10" s="1"/>
  <c r="K13" i="10"/>
  <c r="N13" i="10"/>
  <c r="O11" i="3"/>
  <c r="P11" i="3" s="1"/>
  <c r="O5" i="15"/>
  <c r="P5" i="15" s="1"/>
  <c r="N4" i="15"/>
  <c r="K4" i="15"/>
  <c r="O4" i="15"/>
  <c r="P4" i="15" s="1"/>
  <c r="O3" i="15"/>
  <c r="P3" i="15" s="1"/>
  <c r="N10" i="3"/>
  <c r="K10" i="3"/>
  <c r="O10" i="3" s="1"/>
  <c r="P10" i="3" s="1"/>
  <c r="O2" i="15"/>
  <c r="P2" i="15" s="1"/>
  <c r="N2" i="15"/>
  <c r="K2" i="15"/>
  <c r="O12" i="10"/>
  <c r="P12" i="10" s="1"/>
  <c r="O7" i="14"/>
  <c r="P7" i="14" s="1"/>
  <c r="K7" i="14"/>
  <c r="N7" i="14"/>
  <c r="O6" i="14"/>
  <c r="P6" i="14" s="1"/>
  <c r="K6" i="14"/>
  <c r="N6" i="14"/>
  <c r="O5" i="14"/>
  <c r="P5" i="14" s="1"/>
  <c r="O4" i="14"/>
  <c r="P4" i="14" s="1"/>
  <c r="K4" i="14"/>
  <c r="N4" i="14"/>
  <c r="O3" i="14"/>
  <c r="P3" i="14" s="1"/>
  <c r="N3" i="14"/>
  <c r="K3" i="14"/>
  <c r="N2" i="14"/>
  <c r="O2" i="14" s="1"/>
  <c r="M2" i="14"/>
  <c r="K2" i="14"/>
  <c r="O2" i="12"/>
  <c r="P2" i="12" s="1"/>
  <c r="O11" i="10"/>
  <c r="P11" i="10" s="1"/>
  <c r="N11" i="10"/>
  <c r="K11" i="10"/>
  <c r="N10" i="10"/>
  <c r="K10" i="10"/>
  <c r="O10" i="10" s="1"/>
  <c r="P10" i="10" s="1"/>
  <c r="O9" i="3"/>
  <c r="P9" i="3" s="1"/>
  <c r="N8" i="3"/>
  <c r="K8" i="3"/>
  <c r="O8" i="3"/>
  <c r="P8" i="3" s="1"/>
  <c r="L7" i="3"/>
  <c r="I7" i="3"/>
  <c r="O7" i="3" s="1"/>
  <c r="P7" i="3" s="1"/>
  <c r="K6" i="3"/>
  <c r="N6" i="3"/>
  <c r="N16" i="2"/>
  <c r="K16" i="2"/>
  <c r="N5" i="3"/>
  <c r="K5" i="3"/>
  <c r="O5" i="3"/>
  <c r="P5" i="3" s="1"/>
  <c r="O4" i="3"/>
  <c r="P4" i="3" s="1"/>
  <c r="O3" i="3"/>
  <c r="P3" i="3" s="1"/>
  <c r="O2" i="3"/>
  <c r="P2" i="3" s="1"/>
  <c r="O7" i="5"/>
  <c r="P7" i="5" s="1"/>
  <c r="N7" i="5"/>
  <c r="K7" i="5"/>
  <c r="K24" i="1"/>
  <c r="N24" i="1"/>
  <c r="N15" i="2"/>
  <c r="K15" i="2"/>
  <c r="I13" i="2"/>
  <c r="N22" i="1"/>
  <c r="K22" i="1"/>
  <c r="N12" i="2"/>
  <c r="K12" i="2"/>
  <c r="N7" i="11"/>
  <c r="K7" i="11"/>
  <c r="N6" i="11"/>
  <c r="K6" i="11"/>
  <c r="N5" i="11"/>
  <c r="K5" i="11"/>
  <c r="K4" i="11"/>
  <c r="N4" i="11"/>
  <c r="M2" i="11"/>
  <c r="J2" i="11"/>
  <c r="O2" i="11"/>
  <c r="O9" i="10"/>
  <c r="P9" i="10"/>
  <c r="Q9" i="10" s="1"/>
  <c r="N9" i="10"/>
  <c r="K9" i="10"/>
  <c r="O8" i="10"/>
  <c r="P8" i="10" s="1"/>
  <c r="N10" i="2"/>
  <c r="K10" i="2"/>
  <c r="N9" i="2"/>
  <c r="K9" i="2"/>
  <c r="O7" i="10"/>
  <c r="P7" i="10" s="1"/>
  <c r="O6" i="10"/>
  <c r="P6" i="10" s="1"/>
  <c r="N5" i="10"/>
  <c r="K5" i="10"/>
  <c r="O5" i="10"/>
  <c r="P5" i="10" s="1"/>
  <c r="O4" i="10"/>
  <c r="P4" i="10" s="1"/>
  <c r="N4" i="10"/>
  <c r="K4" i="10"/>
  <c r="O3" i="10"/>
  <c r="P3" i="10" s="1"/>
  <c r="O2" i="10"/>
  <c r="P2" i="10" s="1"/>
  <c r="K21" i="1"/>
  <c r="K12" i="8"/>
  <c r="O12" i="8" s="1"/>
  <c r="P12" i="8" s="1"/>
  <c r="K8" i="2"/>
  <c r="N7" i="2"/>
  <c r="K7" i="2"/>
  <c r="O11" i="8"/>
  <c r="P11" i="8" s="1"/>
  <c r="I10" i="8"/>
  <c r="O10" i="8"/>
  <c r="P10" i="8" s="1"/>
  <c r="O9" i="8"/>
  <c r="P9" i="8" s="1"/>
  <c r="L9" i="8"/>
  <c r="I9" i="8"/>
  <c r="O8" i="8"/>
  <c r="P8" i="8" s="1"/>
  <c r="N19" i="1"/>
  <c r="K19" i="1"/>
  <c r="O2" i="2"/>
  <c r="P2" i="2" s="1"/>
  <c r="N2" i="2"/>
  <c r="K2" i="2"/>
  <c r="O7" i="8"/>
  <c r="P7" i="8" s="1"/>
  <c r="N7" i="8"/>
  <c r="K7" i="8"/>
  <c r="O6" i="8"/>
  <c r="P6" i="8" s="1"/>
  <c r="O5" i="8"/>
  <c r="P5" i="8" s="1"/>
  <c r="N5" i="8"/>
  <c r="K5" i="8"/>
  <c r="O4" i="8"/>
  <c r="P4" i="8" s="1"/>
  <c r="O3" i="8"/>
  <c r="P3" i="8" s="1"/>
  <c r="O2" i="8"/>
  <c r="P2" i="8" s="1"/>
  <c r="O7" i="6"/>
  <c r="P7" i="6" s="1"/>
  <c r="N2" i="7"/>
  <c r="K2" i="7"/>
  <c r="O6" i="6"/>
  <c r="P6" i="6" s="1"/>
  <c r="N6" i="6"/>
  <c r="K6" i="6"/>
  <c r="O5" i="6"/>
  <c r="P5" i="6" s="1"/>
  <c r="J4" i="6"/>
  <c r="O4" i="6"/>
  <c r="O3" i="6"/>
  <c r="P3" i="6" s="1"/>
  <c r="O2" i="6"/>
  <c r="P2" i="6" s="1"/>
  <c r="L2" i="6"/>
  <c r="I2" i="6"/>
  <c r="O6" i="5"/>
  <c r="P6" i="5" s="1"/>
  <c r="K5" i="5"/>
  <c r="N5" i="5"/>
  <c r="O5" i="5"/>
  <c r="P5" i="5" s="1"/>
  <c r="O4" i="5"/>
  <c r="P4" i="5" s="1"/>
  <c r="O3" i="5"/>
  <c r="P3" i="5" s="1"/>
  <c r="P2" i="5"/>
  <c r="J2" i="5"/>
  <c r="O2" i="5"/>
  <c r="O3" i="4"/>
  <c r="P3" i="4" s="1"/>
  <c r="R2" i="4"/>
  <c r="R2" i="1"/>
  <c r="Q2" i="4"/>
  <c r="Q2" i="1"/>
  <c r="P2" i="4"/>
  <c r="P2" i="1"/>
  <c r="O2" i="4"/>
  <c r="O2" i="1"/>
  <c r="I5" i="1"/>
  <c r="N4" i="1"/>
  <c r="K4" i="1"/>
  <c r="R14" i="8" l="1"/>
  <c r="Q14" i="8"/>
  <c r="R19" i="2"/>
  <c r="Q19" i="2"/>
  <c r="Q31" i="1"/>
  <c r="R31" i="1"/>
  <c r="Q12" i="14"/>
  <c r="R12" i="14"/>
  <c r="Q11" i="14"/>
  <c r="R11" i="14"/>
  <c r="O30" i="1"/>
  <c r="P30" i="1" s="1"/>
  <c r="Q30" i="1" s="1"/>
  <c r="Q10" i="14"/>
  <c r="R10" i="14"/>
  <c r="Q9" i="14"/>
  <c r="R9" i="14"/>
  <c r="R29" i="1"/>
  <c r="Q29" i="1"/>
  <c r="R13" i="3"/>
  <c r="Q13" i="3"/>
  <c r="R14" i="10"/>
  <c r="R28" i="1"/>
  <c r="Q28" i="1"/>
  <c r="R12" i="3"/>
  <c r="Q12" i="3"/>
  <c r="R27" i="1"/>
  <c r="Q27" i="1"/>
  <c r="R18" i="2"/>
  <c r="Q18" i="2"/>
  <c r="Q13" i="8"/>
  <c r="R13" i="8"/>
  <c r="R10" i="13"/>
  <c r="Q10" i="13"/>
  <c r="Q8" i="14"/>
  <c r="R8" i="14"/>
  <c r="R9" i="13"/>
  <c r="Q9" i="13"/>
  <c r="R3" i="7"/>
  <c r="Q3" i="7"/>
  <c r="R8" i="6"/>
  <c r="Q8" i="6"/>
  <c r="R7" i="13"/>
  <c r="Q7" i="13"/>
  <c r="Q6" i="13"/>
  <c r="R6" i="13"/>
  <c r="Q4" i="13"/>
  <c r="R4" i="13"/>
  <c r="Q5" i="13"/>
  <c r="R5" i="13"/>
  <c r="Q3" i="13"/>
  <c r="R3" i="13"/>
  <c r="R2" i="13"/>
  <c r="Q2" i="13"/>
  <c r="Q5" i="11"/>
  <c r="R5" i="11"/>
  <c r="Q4" i="11"/>
  <c r="R4" i="11"/>
  <c r="R3" i="11"/>
  <c r="Q3" i="11"/>
  <c r="Q8" i="11"/>
  <c r="R8" i="11"/>
  <c r="Q6" i="11"/>
  <c r="R6" i="11"/>
  <c r="Q7" i="11"/>
  <c r="R7" i="11"/>
  <c r="Q8" i="2"/>
  <c r="R8" i="2"/>
  <c r="Q17" i="2"/>
  <c r="R17" i="2"/>
  <c r="Q4" i="2"/>
  <c r="R4" i="2"/>
  <c r="Q15" i="2"/>
  <c r="R15" i="2"/>
  <c r="Q3" i="2"/>
  <c r="R3" i="2"/>
  <c r="Q14" i="2"/>
  <c r="R14" i="2"/>
  <c r="Q13" i="2"/>
  <c r="R13" i="2"/>
  <c r="Q16" i="2"/>
  <c r="R16" i="2"/>
  <c r="Q10" i="2"/>
  <c r="R10" i="2"/>
  <c r="Q5" i="2"/>
  <c r="R5" i="2"/>
  <c r="Q12" i="2"/>
  <c r="R12" i="2"/>
  <c r="Q11" i="2"/>
  <c r="R11" i="2"/>
  <c r="Q9" i="2"/>
  <c r="R9" i="2"/>
  <c r="Q7" i="2"/>
  <c r="R7" i="2"/>
  <c r="Q6" i="2"/>
  <c r="R6" i="2"/>
  <c r="Q25" i="1"/>
  <c r="R25" i="1"/>
  <c r="Q14" i="1"/>
  <c r="R14" i="1"/>
  <c r="Q13" i="1"/>
  <c r="R13" i="1"/>
  <c r="Q10" i="1"/>
  <c r="R10" i="1"/>
  <c r="Q9" i="1"/>
  <c r="R9" i="1"/>
  <c r="Q23" i="1"/>
  <c r="R23" i="1"/>
  <c r="Q22" i="1"/>
  <c r="R22" i="1"/>
  <c r="Q20" i="1"/>
  <c r="R20" i="1"/>
  <c r="Q11" i="1"/>
  <c r="R11" i="1"/>
  <c r="Q19" i="1"/>
  <c r="R19" i="1"/>
  <c r="Q8" i="1"/>
  <c r="R8" i="1"/>
  <c r="Q26" i="1"/>
  <c r="R26" i="1"/>
  <c r="Q17" i="1"/>
  <c r="R17" i="1"/>
  <c r="Q7" i="1"/>
  <c r="R7" i="1"/>
  <c r="Q16" i="1"/>
  <c r="R16" i="1"/>
  <c r="Q6" i="1"/>
  <c r="R6" i="1"/>
  <c r="Q5" i="1"/>
  <c r="R5" i="1"/>
  <c r="Q4" i="1"/>
  <c r="R4" i="1"/>
  <c r="R24" i="1"/>
  <c r="R21" i="1"/>
  <c r="R18" i="1"/>
  <c r="R15" i="1"/>
  <c r="R12" i="1"/>
  <c r="R3" i="1"/>
  <c r="O6" i="15"/>
  <c r="P6" i="15" s="1"/>
  <c r="Q6" i="15" s="1"/>
  <c r="Q13" i="10"/>
  <c r="R13" i="10"/>
  <c r="R11" i="3"/>
  <c r="Q11" i="3"/>
  <c r="Q5" i="15"/>
  <c r="R5" i="15"/>
  <c r="Q4" i="15"/>
  <c r="R4" i="15"/>
  <c r="Q3" i="15"/>
  <c r="R3" i="15"/>
  <c r="R10" i="3"/>
  <c r="Q10" i="3"/>
  <c r="R2" i="15"/>
  <c r="Q2" i="15"/>
  <c r="R12" i="10"/>
  <c r="Q12" i="10"/>
  <c r="Q7" i="14"/>
  <c r="R7" i="14"/>
  <c r="Q6" i="14"/>
  <c r="R6" i="14"/>
  <c r="R5" i="14"/>
  <c r="Q5" i="14"/>
  <c r="Q4" i="14"/>
  <c r="R4" i="14"/>
  <c r="R3" i="14"/>
  <c r="Q3" i="14"/>
  <c r="P2" i="14"/>
  <c r="R2" i="14" s="1"/>
  <c r="Q2" i="14"/>
  <c r="R2" i="12"/>
  <c r="Q2" i="12"/>
  <c r="Q11" i="10"/>
  <c r="R11" i="10"/>
  <c r="R10" i="10"/>
  <c r="Q10" i="10"/>
  <c r="R9" i="3"/>
  <c r="Q9" i="3"/>
  <c r="R8" i="3"/>
  <c r="Q8" i="3"/>
  <c r="Q7" i="3"/>
  <c r="R7" i="3"/>
  <c r="O6" i="3"/>
  <c r="P6" i="3" s="1"/>
  <c r="Q6" i="3" s="1"/>
  <c r="R5" i="3"/>
  <c r="Q5" i="3"/>
  <c r="R4" i="3"/>
  <c r="Q4" i="3"/>
  <c r="Q3" i="3"/>
  <c r="R3" i="3"/>
  <c r="R2" i="3"/>
  <c r="Q2" i="3"/>
  <c r="Q7" i="5"/>
  <c r="R7" i="5"/>
  <c r="P2" i="11"/>
  <c r="R2" i="11" s="1"/>
  <c r="R9" i="10"/>
  <c r="Q8" i="10"/>
  <c r="R8" i="10"/>
  <c r="Q7" i="10"/>
  <c r="R7" i="10"/>
  <c r="Q6" i="10"/>
  <c r="R6" i="10"/>
  <c r="Q5" i="10"/>
  <c r="R5" i="10"/>
  <c r="Q4" i="10"/>
  <c r="R4" i="10"/>
  <c r="Q3" i="10"/>
  <c r="R3" i="10"/>
  <c r="R2" i="10"/>
  <c r="Q2" i="10"/>
  <c r="R12" i="8"/>
  <c r="Q12" i="8"/>
  <c r="Q11" i="8"/>
  <c r="R11" i="8"/>
  <c r="Q10" i="8"/>
  <c r="R10" i="8"/>
  <c r="Q9" i="8"/>
  <c r="R9" i="8"/>
  <c r="Q8" i="8"/>
  <c r="R8" i="8"/>
  <c r="R2" i="2"/>
  <c r="Q2" i="2"/>
  <c r="Q7" i="8"/>
  <c r="R7" i="8"/>
  <c r="Q6" i="8"/>
  <c r="R6" i="8"/>
  <c r="Q5" i="8"/>
  <c r="R5" i="8"/>
  <c r="R4" i="8"/>
  <c r="Q4" i="8"/>
  <c r="Q3" i="8"/>
  <c r="R3" i="8"/>
  <c r="R2" i="8"/>
  <c r="Q2" i="8"/>
  <c r="Q7" i="6"/>
  <c r="R7" i="6"/>
  <c r="O2" i="7"/>
  <c r="P2" i="7" s="1"/>
  <c r="Q2" i="7" s="1"/>
  <c r="Q6" i="6"/>
  <c r="R6" i="6"/>
  <c r="R5" i="6"/>
  <c r="Q5" i="6"/>
  <c r="P4" i="6"/>
  <c r="R4" i="6" s="1"/>
  <c r="Q4" i="6"/>
  <c r="Q3" i="6"/>
  <c r="R3" i="6"/>
  <c r="R2" i="6"/>
  <c r="Q2" i="6"/>
  <c r="Q6" i="5"/>
  <c r="R6" i="5"/>
  <c r="R5" i="5"/>
  <c r="Q5" i="5"/>
  <c r="R4" i="5"/>
  <c r="Q4" i="5"/>
  <c r="Q3" i="5"/>
  <c r="R3" i="5"/>
  <c r="R2" i="5"/>
  <c r="Q3" i="4"/>
  <c r="R3" i="4"/>
  <c r="R30" i="1" l="1"/>
  <c r="R6" i="15"/>
  <c r="R6" i="3"/>
  <c r="Q2" i="11"/>
  <c r="R2" i="7"/>
  <c r="Q2" i="5"/>
</calcChain>
</file>

<file path=xl/sharedStrings.xml><?xml version="1.0" encoding="utf-8"?>
<sst xmlns="http://schemas.openxmlformats.org/spreadsheetml/2006/main" count="1031" uniqueCount="376">
  <si>
    <t>Author</t>
  </si>
  <si>
    <t>Year</t>
  </si>
  <si>
    <t>Study</t>
  </si>
  <si>
    <t>Mn</t>
  </si>
  <si>
    <t>Nn</t>
  </si>
  <si>
    <t>SDn</t>
  </si>
  <si>
    <t>Ne</t>
  </si>
  <si>
    <t>Me</t>
  </si>
  <si>
    <t>Koskinen et al.</t>
  </si>
  <si>
    <t>suture</t>
  </si>
  <si>
    <t>SDe</t>
  </si>
  <si>
    <t>boxsuture</t>
  </si>
  <si>
    <t>Chainey et al.</t>
  </si>
  <si>
    <t>Journal</t>
  </si>
  <si>
    <t>Journal of Surgical Research</t>
  </si>
  <si>
    <t>Eye-Hand Coordination of Neurosurgeons: Evidence of Action-Related Fixation in Microsuturing</t>
  </si>
  <si>
    <t xml:space="preserve">Utilizing Grasp Monitoring to Predict Microsurgical Expertise </t>
  </si>
  <si>
    <t>Harada et al.</t>
  </si>
  <si>
    <t>Assessing microneurosurgical skill with medico-engineering technology</t>
  </si>
  <si>
    <t>World Neurosurgery</t>
  </si>
  <si>
    <t>suturing</t>
  </si>
  <si>
    <t>SDpooled</t>
  </si>
  <si>
    <t>SMD</t>
  </si>
  <si>
    <t>g</t>
  </si>
  <si>
    <t>SDg</t>
  </si>
  <si>
    <t>i</t>
  </si>
  <si>
    <t>Vedula et al.</t>
  </si>
  <si>
    <t>Task-Level vs. Segment-Level Quantitative Metrics for Surgical Skill Assessment</t>
  </si>
  <si>
    <t>Journal of Surgical Education</t>
  </si>
  <si>
    <t>effects estimated from boxplot</t>
  </si>
  <si>
    <t>effects estimated from barplot. Sample size per group not given, estimated from total sample (135 trials total, 4 experts, 14 novices, expert sample size rounded from (4/18)*135)</t>
  </si>
  <si>
    <t>Judkins et al.</t>
  </si>
  <si>
    <t>Objective evaluation of expert and novice performance during robotic surgical training tasks</t>
  </si>
  <si>
    <t>Surgical Endoscopy</t>
  </si>
  <si>
    <t>suture tying</t>
  </si>
  <si>
    <t>effect estimated from barplot. Novices pre-training, three trials each, five novices and five experts</t>
  </si>
  <si>
    <t>Smith et al.</t>
  </si>
  <si>
    <t>Motion analysis: A tool for assessing laparoscopic dexterity in the performance of a laboratory-based laparoscopic cholecystectomy</t>
  </si>
  <si>
    <t>Surgical Endoscopy and Other Interventional Techniques</t>
  </si>
  <si>
    <t>laparoscopy</t>
  </si>
  <si>
    <t>Calot's triangle</t>
  </si>
  <si>
    <t>Worst and best groups compared, novices have performed &lt; tasks, experts &gt;100</t>
  </si>
  <si>
    <t>Francis et al.</t>
  </si>
  <si>
    <t>The performance of master surgeons on the Advanced Dundee Endoscopic Psychomotor Tester: Contrast validity study</t>
  </si>
  <si>
    <t>Archives of Surgery</t>
  </si>
  <si>
    <t>Advanced Dundee Endoscopic Psychomotor Tester</t>
  </si>
  <si>
    <t>effects estimated from boxplots</t>
  </si>
  <si>
    <t>Moorthy et al.</t>
  </si>
  <si>
    <t>Bimodal assessment of laparoscopic suturing skills: Construct and concurrent validity</t>
  </si>
  <si>
    <t>box trainer</t>
  </si>
  <si>
    <t>Van Sickle et al.</t>
  </si>
  <si>
    <t>Construct validity of an objective assessment method for laparoscopic intracorporeal suturing and knot tying</t>
  </si>
  <si>
    <t>The American Journal of Surgery</t>
  </si>
  <si>
    <t>Nissen fundoplication</t>
  </si>
  <si>
    <t>the expert group had only 2 trials, and outperformed the other groups vastly (task time 15.6 sec!). Thus I compared instead the trained residents (second most experiened group)</t>
  </si>
  <si>
    <t>Xeroulis et al.</t>
  </si>
  <si>
    <t>Simulation in laparoscopic surgery: A concurrent validity study for FLS</t>
  </si>
  <si>
    <t>intracorporeal suturing</t>
  </si>
  <si>
    <t>effect sizes estimated from barplot</t>
  </si>
  <si>
    <t>Huffman et al.</t>
  </si>
  <si>
    <t>Optimizing Assessment of Surgical Knot Tying Skill</t>
  </si>
  <si>
    <t>knot tying</t>
  </si>
  <si>
    <t>By hand, did not use instruments</t>
  </si>
  <si>
    <t>Law et al.</t>
  </si>
  <si>
    <t>Eye gaze patterns differentiate novice and experts in a virtual laparoscopic surgery training environment</t>
  </si>
  <si>
    <t>Proceedings of the Eye tracking research &amp; applications symposium on Eye tracking research &amp; applications - ETRA'2004</t>
  </si>
  <si>
    <t>virtual pointing</t>
  </si>
  <si>
    <t>Utilizing Grasp Monitoring to Predict Microsurgical Expertise</t>
  </si>
  <si>
    <t>microsurgery</t>
  </si>
  <si>
    <t>grasps</t>
  </si>
  <si>
    <t>Kazemi et al.</t>
  </si>
  <si>
    <t>Assessing suturing techniques using a virtual reality surgical simulator</t>
  </si>
  <si>
    <t>Microsurgery</t>
  </si>
  <si>
    <t>Needle piercing in VR</t>
  </si>
  <si>
    <t>task completed in VR. Medical students and medical surgeons compared. Times estimated from barplot</t>
  </si>
  <si>
    <t>Measuring and Developing Suturing Technique with a Virtual Reality Surgical Simulator</t>
  </si>
  <si>
    <t>O'Toole et al.</t>
  </si>
  <si>
    <t>Laparoscopy</t>
  </si>
  <si>
    <t>Anastomosis</t>
  </si>
  <si>
    <t>Journal ofthe American College of Surgeons</t>
  </si>
  <si>
    <t>Virtual reality, times from the trial taken after training</t>
  </si>
  <si>
    <t>Task and Motion Analysis in Endoscopic Surgery</t>
  </si>
  <si>
    <t>Cao et al.</t>
  </si>
  <si>
    <t>5th Annual Symposium on Haptic Interfaces for Virtual Environment and Teleoperator Systems</t>
  </si>
  <si>
    <t>Knot tying</t>
  </si>
  <si>
    <t>Laparoscopic training workshop, values estimated from barplots, did not report SD so I used expert's difference from the ideal (5) number of grasps as SD</t>
  </si>
  <si>
    <t>Movement-level process modeling of microsurgical bimanual and unimanual tasks</t>
  </si>
  <si>
    <t>International Journal of Computer Assisted Radiology and Surgery</t>
  </si>
  <si>
    <t>Bimanual efficiency defined as using both hand simultaneously for something productive</t>
  </si>
  <si>
    <t>Hofstad et al.</t>
  </si>
  <si>
    <t>Psychomotor skills assessment by motion analysis in minimally invasive surgery on an animal organ</t>
  </si>
  <si>
    <t>Minimally Invasive Therapy and Allied Technologies</t>
  </si>
  <si>
    <t>box trained</t>
  </si>
  <si>
    <t>Bimanual dexterity defined as the correlation between the two hands tool movements. Values estimated from boxplots</t>
  </si>
  <si>
    <t>Demirel et al.</t>
  </si>
  <si>
    <t>Scoring metrics for assessing skills in arthroscopic rotator cuff repair: performance comparison study of novice and expert surgeons</t>
  </si>
  <si>
    <t>Affordable, web-based surgical skill training and evaluation tool</t>
  </si>
  <si>
    <t>Islam et al.</t>
  </si>
  <si>
    <t>Journal of Biomedical Informatics</t>
  </si>
  <si>
    <t>Standard deviations estimated from the standard deviations of other metrics, not given directly in the paper</t>
  </si>
  <si>
    <t>Fundamentals of laparoscopy (FLS) training set</t>
  </si>
  <si>
    <t>Mean values estimated from boxplot. Standard deviations were not given, I used the similar-ish values as in our study (i = 0), so novice's SD is about 1/5 of the mean, experts is 1/12</t>
  </si>
  <si>
    <t>Zulbaran-Rojas et al.</t>
  </si>
  <si>
    <t>Utilization of Flexible-Wearable Sensors to Describe the Kinematics of Surgical Proficiency</t>
  </si>
  <si>
    <t>Vascular anastomosis</t>
  </si>
  <si>
    <t>I took the ratio of number of dominant and non-dominant hand movements as measure of bimanual dexterity. Other options were velocity and path length. No. Movements felt closest to our definition.</t>
  </si>
  <si>
    <t>Castner et al.</t>
  </si>
  <si>
    <t>Pupil diameter differentiates expertise in dental radiography visual search</t>
  </si>
  <si>
    <t>PLOS ONE</t>
  </si>
  <si>
    <t>Radiography</t>
  </si>
  <si>
    <t>Dental radiography, visual search</t>
  </si>
  <si>
    <t>Reported values are medians? Median change from baseline</t>
  </si>
  <si>
    <t>Cabrera-Mino et al.</t>
  </si>
  <si>
    <t>Task-Evoked Pupillary Responses in Nursing Simulation as an Indicator of Stress and Cognitive Load</t>
  </si>
  <si>
    <t>Clinical Simulation in Nursing</t>
  </si>
  <si>
    <t>Various nursing tasks</t>
  </si>
  <si>
    <t>Elevate HOB</t>
  </si>
  <si>
    <t>There were different tasks, picked the one that had the most significant result. Values estimated from barplot</t>
  </si>
  <si>
    <t>Bednarik et al.</t>
  </si>
  <si>
    <t>Pupil Size As an Indicator of Visual-motor Workload and Expertise in Microsurgical Training Tasks</t>
  </si>
  <si>
    <t>Proceedings of the 2018 ACM Symposium on Eye Tracking Research &amp; Applications</t>
  </si>
  <si>
    <t>Suturing</t>
  </si>
  <si>
    <t>Took the segment 'needle push', estimated from plots</t>
  </si>
  <si>
    <t>Gunawardena et al.</t>
  </si>
  <si>
    <t>Assessing Surgeons’ Skill Level in Laparoscopic Cholecystectomy using Eye Metrics</t>
  </si>
  <si>
    <t>Eye Tracking Research and Applications Symposium (ETRA)</t>
  </si>
  <si>
    <t>Laparoscopic cholecystectomy</t>
  </si>
  <si>
    <t>Study had only 4 participants of 3 skill levels who completed &gt;=7 tasks each. I picked the least experienced participant and expert E-2.</t>
  </si>
  <si>
    <t>Zheng et al.</t>
  </si>
  <si>
    <t>Action-related eye measures to assess surgical expertise</t>
  </si>
  <si>
    <t>BJS Open</t>
  </si>
  <si>
    <t>Box trainer</t>
  </si>
  <si>
    <t>Transporting and loading task</t>
  </si>
  <si>
    <t>Visual behaviour in robotic surgery—Demonstrating the validity of the simulated environment</t>
  </si>
  <si>
    <t>Dilley et al.</t>
  </si>
  <si>
    <t>International Journal of Medical Robotics and Computer Assisted Surgery</t>
  </si>
  <si>
    <t>Robotic surgery</t>
  </si>
  <si>
    <t>Fundamentals of Robotic Surgery, simulator task</t>
  </si>
  <si>
    <t>SDs calculated from inter-quartile ranges (SD = (3/4)*IQR). The paper reports medians.</t>
  </si>
  <si>
    <t>Gao et al.</t>
  </si>
  <si>
    <t>American Surgeon</t>
  </si>
  <si>
    <t>Quantitative evaluations of the effects of noise on mental workloads based on pupil dilation during laparoscopic surgery</t>
  </si>
  <si>
    <t>Appendectromy simulator</t>
  </si>
  <si>
    <t>They evaluated different noise conditions, I picked values from the no-noise condition. Paper does not give explicitly the number of participants in groups, only total number (24) which was "divided into experienced and moderately experienced". I assumed 12 per group</t>
  </si>
  <si>
    <t>Datta et al.</t>
  </si>
  <si>
    <t>The use of electromagnetic motion tracking analysis to objectively measure open surgical skill in the laboratory-based model</t>
  </si>
  <si>
    <t>Journal of the American College of Surgeons</t>
  </si>
  <si>
    <t>Open surgery</t>
  </si>
  <si>
    <t>Used ICSAD system to record data. Several skill groups, here we compare basic surgical trainees and consultants</t>
  </si>
  <si>
    <t>Pagador et al.</t>
  </si>
  <si>
    <t>Decomposition and analysis of laparoscopic suturing task using tool-motion analysis (TMA): Improving the objective assessment</t>
  </si>
  <si>
    <t>Study reported left and right hand movements separately, I picked left hand</t>
  </si>
  <si>
    <t>Bann et al.</t>
  </si>
  <si>
    <t>Measurement of surgical dexterity using motion analysis of simple bench tasks</t>
  </si>
  <si>
    <t>World Journal of Surgery</t>
  </si>
  <si>
    <t>Knot tying and suturing</t>
  </si>
  <si>
    <t>Used ICSAD system to record data. Reports medians and inter-quartile ranges.</t>
  </si>
  <si>
    <t>Cholecystectomy</t>
  </si>
  <si>
    <t>Multiple tasks, picked Calot's triangle. Surgeon groups A and C compared</t>
  </si>
  <si>
    <t>Aggarwal et al.</t>
  </si>
  <si>
    <t>An evaluation of the feasibility, validity, and reliability of laparoscopic skills assessment in the operating room</t>
  </si>
  <si>
    <t>Annals of Surgery</t>
  </si>
  <si>
    <t>Whole procedure, paper reports medians and inter-quartile ranges, the SDs are calculated from these (IQR*(3/4))</t>
  </si>
  <si>
    <t>Yamaguchi et al.</t>
  </si>
  <si>
    <t>Construct validity for eye-hand coordination skill on a virtual reality laparoscopic surgical simulator</t>
  </si>
  <si>
    <t>LAP-mentor simulator</t>
  </si>
  <si>
    <t>Effects and SDs estimated from barplots. Reported right hand movements</t>
  </si>
  <si>
    <t>Video-based fully automatic assessment of open surgery suturing skills</t>
  </si>
  <si>
    <t>Task:Balloon dominant hand</t>
  </si>
  <si>
    <t>Task-Level vs . Segment-Level Quantitative Metrics for Surgical Skill Assessment</t>
  </si>
  <si>
    <t>Effects and SDs estimated from barplots. Paper does not give Ne/Nn directly, total of 135 trials performed by 14 novices and 4 experts, so I estimated sample sizes by 135*(14/(14+4)) for novices and 135*(4/(14+4)) for experts</t>
  </si>
  <si>
    <t>Wilson et al.</t>
  </si>
  <si>
    <t>Psychomotor control in a virtual laparoscopic surgery training environment: Gaze control parameters differentiate novices from experts</t>
  </si>
  <si>
    <t>LapMentor</t>
  </si>
  <si>
    <t>reported left and right hand separately, I used left hand because usually differences are larger with non-dominant hand (all were right-handed)</t>
  </si>
  <si>
    <t>Jimbo et al.</t>
  </si>
  <si>
    <t>A new innovative laparoscopic fundoplication training simulator with a surgical skill validation system</t>
  </si>
  <si>
    <t>Estimated effects and SDs from barplots. Reports left/right hand separately, I used left hand results</t>
  </si>
  <si>
    <t>A study of psychomotor skills in minimally invasive surgery: What differentiates expert and nonexpert performance</t>
  </si>
  <si>
    <t>Ghasemloonia et al.</t>
  </si>
  <si>
    <t>Modified O’Connor Dexterity board and Tweezer Dexterity pegboard</t>
  </si>
  <si>
    <t>Results from task C included. Task had 4 groups of participants, results are from surgeons and residents. 9 trials per participant, 4 participants per group, so n=36 for both groups</t>
  </si>
  <si>
    <t>Hwang et al.</t>
  </si>
  <si>
    <t>Correlating motor performance with surgical error in laparoscopic cholecystectomy</t>
  </si>
  <si>
    <t>Ebina et al.</t>
  </si>
  <si>
    <t>Motion analysis for better understanding of psychomotor skills in laparoscopy: objective assessment-based simulation training using animal organs</t>
  </si>
  <si>
    <t>Applying Hem-o-lock, suturing, suturing and knot tying</t>
  </si>
  <si>
    <t>Results from task 3, knot tying and suturing. Results given in paper as medians and inter-quartile ranges</t>
  </si>
  <si>
    <t>Azari et al.</t>
  </si>
  <si>
    <t>Can surgical performance for varying experience be measured from hand motions?</t>
  </si>
  <si>
    <t>Proceedings of the Human Factors and Ergonomics Society</t>
  </si>
  <si>
    <t>Reported grand average results by skill group and by skill group and task. Results included here are the grand average by skill. Had 4 skill groups, picked medical students and attending surgeons. Paper did not report SDs for motion metrics, so I used the ratio of subjective evaluations mean and sd to estimate the sd. I.e. for novice's the subjective motion fluidity score was mean=4.1, sd=1.9, so the SD for jerk was calculated as 178.34*(1.9/4.1) (mean jerk * (sd of fluidity score / mean of fluidity score)</t>
  </si>
  <si>
    <t>Davids et al.</t>
  </si>
  <si>
    <t>Automated vision-based microsurgical skill analysis in neurosurgery using deep learning: Development and preclinical validation.</t>
  </si>
  <si>
    <t>Arachnoid dissection</t>
  </si>
  <si>
    <t>Values given as medians</t>
  </si>
  <si>
    <t>Oropesa et al.</t>
  </si>
  <si>
    <t>Relevance of Motion-Related Assessment Metrics in Laparoscopic Surgery</t>
  </si>
  <si>
    <t>Surgical Innovation</t>
  </si>
  <si>
    <t>Novel training tasks</t>
  </si>
  <si>
    <t>Means and SDs estimated from boxplots. Reports dominant and non-dominant hand separately, I picked non-dominant hand. Results for Coordinated pulling task.</t>
  </si>
  <si>
    <t>Pellen et al.</t>
  </si>
  <si>
    <t>Laparoscopic surgical skills assessment: Can simulators replace experts?</t>
  </si>
  <si>
    <t>Sharp dissection</t>
  </si>
  <si>
    <t>Values estimated from boxplots</t>
  </si>
  <si>
    <t>Maithel et al</t>
  </si>
  <si>
    <t>Simulated laparoscopy using a head-mounted display vs traditional video monitor: An assessment of performance and muscle fatigue</t>
  </si>
  <si>
    <t>Block moving training task</t>
  </si>
  <si>
    <t>Liang et al.</t>
  </si>
  <si>
    <t>Motion control skill assessment based on kinematic analysis of robotic end-effector movements</t>
  </si>
  <si>
    <t>The International Journal of Medical Robotics and Computer Assisted Surgery</t>
  </si>
  <si>
    <t>Ring-threading</t>
  </si>
  <si>
    <t>Estimated from boxplots. Reported left/right hand separately, here the results are for left hand</t>
  </si>
  <si>
    <t>Reports left/right hand separately, results are for left-hand. Paper reports suturing efficiency, which is the inverse of idle time (idle time = 1 - efficiency)</t>
  </si>
  <si>
    <t>Procedural surgical skill assessment in laparoscopic training environments</t>
  </si>
  <si>
    <t>Uemura et al.</t>
  </si>
  <si>
    <t>Surgical Skill Assessment Using Motion Quality and Smoothness</t>
  </si>
  <si>
    <t>Reports left/right hand separately, results are for left-hand. Max time given as 420s, every novice exceeded this.</t>
  </si>
  <si>
    <t>D'Angelo et al.</t>
  </si>
  <si>
    <t>Idle time: An underdeveloped performance metric for assessing surgical skill</t>
  </si>
  <si>
    <t>American Journal of Surgery</t>
  </si>
  <si>
    <t>Training task, suturing</t>
  </si>
  <si>
    <t>Does not report idle time directly per skill group, only number of idle periods. Took values from the first segment, entering tissue with needle. Did not report SD for idle periods, estimated it from the SD of total operative time: SD_idle = M_idle*(SD_time/M_time).</t>
  </si>
  <si>
    <t>Enhanced Training Benefits of Video Recording Surgery With Automated Hand Motion Analysis</t>
  </si>
  <si>
    <t>Axillary artery exposure and control (AA) on un-preserved cadavers.</t>
  </si>
  <si>
    <t>Values given as means and ranges. Compared experts and residents post-training. SD for idle time not given, estimated from variance of total active time.</t>
  </si>
  <si>
    <t>Hung et al.</t>
  </si>
  <si>
    <t>Development and Validation of Objective Performance Metrics for Robot-Assisted Radical Prostatectomy: A Pilot Study</t>
  </si>
  <si>
    <t>Journal of Urology</t>
  </si>
  <si>
    <t>Robot-assisted</t>
  </si>
  <si>
    <t>Radical Prostactectomy</t>
  </si>
  <si>
    <t>Values given as mean and 95% conf interval. SD calculated from conf interval by sqrt(N)*(upper lim - lower lim)/3.92</t>
  </si>
  <si>
    <t>Values given as mean and 95% conf interval. SD calculated from conf interval by sqrt(N)*(upper lim - lower lim)/3.92. Results for non-dominant hand</t>
  </si>
  <si>
    <t>Objective assessment of laparoscopic suturing skills using a motion-tracking system</t>
  </si>
  <si>
    <t>Used results for left hand, for the whole procedure</t>
  </si>
  <si>
    <t>Results for the whole procedure</t>
  </si>
  <si>
    <t>Assessing Microneurosurgical Skill with Medico-Engineering Technology</t>
  </si>
  <si>
    <t>Simulated anastomosis</t>
  </si>
  <si>
    <t>Results for left hand, estimated from boxplot</t>
  </si>
  <si>
    <t>Estimated effects and SDs from boxplots.</t>
  </si>
  <si>
    <t>Validation of a novel virtual reality simulation system with the focus on training for surgical dissection during laparoscopic sigmoid colectomy</t>
  </si>
  <si>
    <t>Mori et al.</t>
  </si>
  <si>
    <t>BMC Surgery</t>
  </si>
  <si>
    <t>Sigmoid Colectomy</t>
  </si>
  <si>
    <t>Bimanual dexterity measured in GOALS score (see paper for more information). Results given as medians and inter-quartile ranges. SD calculated from IQR as SD = IQR*(3/4)</t>
  </si>
  <si>
    <t>Pastewski et al.</t>
  </si>
  <si>
    <t>Analysis of Instrument Motion and the Impact of Residency Level and Concurrent Distraction on Laparoscopic Skills</t>
  </si>
  <si>
    <t>Peg transfer</t>
  </si>
  <si>
    <t>Junior and Senior residents. Did task with and without secondary task (to add distractions). Velocity was reported for three degrees of freedom of motion (yaw, pitch, roll). Results here are for Roll and NO secondary task.</t>
  </si>
  <si>
    <t>Results for needle holder (left hand), from task 3, knot tying and suturing. Results given in paper as medians and inter-quartile ranges</t>
  </si>
  <si>
    <t>Bimanual carryinig</t>
  </si>
  <si>
    <t>Estimated effects and SDs from barplots. Compared experts and novices post-training. Results are for bimanual carrying task, which was repeated 3 times by each participant (5 novices 5 experts)</t>
  </si>
  <si>
    <t>Frasier et al.</t>
  </si>
  <si>
    <t>A marker-less technique for measuring kinematics in the operating room</t>
  </si>
  <si>
    <t>Surgery (United States)</t>
  </si>
  <si>
    <t>Gives values for grand average and by different tasks. I used grand average results.</t>
  </si>
  <si>
    <t>Topalli et al.</t>
  </si>
  <si>
    <t>Eye-Hand Coordination Patterns of Intermediate and Novice Surgeons in a Simulation-Based Endoscopic Surgery Training Environment</t>
  </si>
  <si>
    <t>Journal of Eye Movement Research</t>
  </si>
  <si>
    <t>Endoscopy</t>
  </si>
  <si>
    <t>Simulated training tasks</t>
  </si>
  <si>
    <t>Reports "Stand still duration", which measures the time when tools were still. Corresponds roughly to idle time. Compares novices and intermediates</t>
  </si>
  <si>
    <t>Mean values estimated from boxplot. Standard deviations were not given, I used the similar-ish values as in our study (i = 0), so novice's SD is about 1/5 of the mean, experts is 1/12. Measured jerk with "jerkiness score"</t>
  </si>
  <si>
    <t>Technique</t>
  </si>
  <si>
    <t>Task</t>
  </si>
  <si>
    <t>Note</t>
  </si>
  <si>
    <t>Animal organ training task</t>
  </si>
  <si>
    <t>Values estimated from boxplot, used results for US hook</t>
  </si>
  <si>
    <t>Values not reported directly in paper, calculated from data</t>
  </si>
  <si>
    <t>Results for needle extraction phase (c), estimated from boxplot. Maximum needle gripping force</t>
  </si>
  <si>
    <t>Prasad et al.</t>
  </si>
  <si>
    <t>Objective Assessment of Laparoscopic Force and Psychomotor Skills in a Novel Virtual Reality-Based Haptic Simulator</t>
  </si>
  <si>
    <t>Virtual reality haptic simulator</t>
  </si>
  <si>
    <t>Results estimated from boxplot. Whole group data (subplot a) reported here.</t>
  </si>
  <si>
    <t>Horeman et al.</t>
  </si>
  <si>
    <t>Assessment of Laparoscopic Skills Based on Force and Motion Parameters</t>
  </si>
  <si>
    <t>IEEE Transactions on Biomedical Engineering</t>
  </si>
  <si>
    <t>Results estimated from boxplot, for task 2. Max force values used.</t>
  </si>
  <si>
    <t>Trejos et al.</t>
  </si>
  <si>
    <t>Development of force-based metrics for skills assessment in minimally invasive surgery</t>
  </si>
  <si>
    <t>Simulated tumor removal and suturing</t>
  </si>
  <si>
    <t>Used results for max grasp force, values evaluated from Fig. 4 (a). Compared experience level 1 and 6</t>
  </si>
  <si>
    <t>Woodrow et al.</t>
  </si>
  <si>
    <t>Training and evaluating spinal surgeons: The development of novel performance measures</t>
  </si>
  <si>
    <t>Spine</t>
  </si>
  <si>
    <t>Lumbar pedicle cannulation</t>
  </si>
  <si>
    <t>Values estimated from Fig. 2. Values are mean forces. Compared results for lumbar level L2.</t>
  </si>
  <si>
    <t>Sugiyama et al.</t>
  </si>
  <si>
    <t>JAMA Surgery</t>
  </si>
  <si>
    <t>Forces of Tool-Tissue Interaction to Assess Surgical Skill Level</t>
  </si>
  <si>
    <t xml:space="preserve">Evaluated values from Fig. 3 c. Standardizer, maximum force. </t>
  </si>
  <si>
    <t>Real neurosurgical procedures with various conditions</t>
  </si>
  <si>
    <t>Shafiel et al.</t>
  </si>
  <si>
    <t>Motor Skill Evaluation During Robot-Assisted Surgery</t>
  </si>
  <si>
    <t>Volume 5A: 41st Mechanisms and Robotics Conference</t>
  </si>
  <si>
    <t>Simple interrupted suturing</t>
  </si>
  <si>
    <t>Did not report SDs for motion metrics. I estimated SD from the subjective grading fluidity of motion SD, so acceleration SD = acceleration Mean * (grade SD/grade Mean).</t>
  </si>
  <si>
    <t>Used results for without secondary task</t>
  </si>
  <si>
    <t>Junior and Senior residents. Did task with and without secondary task (to add distractions). Acceleration was reported for three degrees of freedom of motion (yaw, pitch, roll). Results here are for Roll and NO secondary task.</t>
  </si>
  <si>
    <t>First subtask results</t>
  </si>
  <si>
    <t>Study reported left and right hand movements separately, I picked left hand. First subtask</t>
  </si>
  <si>
    <t>Chmarra et al.</t>
  </si>
  <si>
    <t>Objective classification of residents based on their psychomotor laparoscopic skills</t>
  </si>
  <si>
    <t>Values estimated from plots, used the pipe cleaner task results.</t>
  </si>
  <si>
    <t>Values given as medians. Sd estimated from boxplot</t>
  </si>
  <si>
    <t>Mackenzie et al.</t>
  </si>
  <si>
    <t>Goldbraikh et al.</t>
  </si>
  <si>
    <t>Robotic Surgery</t>
  </si>
  <si>
    <t>Nickel et al.</t>
  </si>
  <si>
    <t>Direct Observation versus Endoscopic Video Recording-Based Rating with the Objective Structured Assessment of Technical Skills for Training of Laparoscopic Cholecystectomy</t>
  </si>
  <si>
    <t>European Surgical Research</t>
  </si>
  <si>
    <t>OSATS score from Table 1, direct observation, novices and experts compared</t>
  </si>
  <si>
    <t>Paley et al.</t>
  </si>
  <si>
    <t>Crowdsourced Assessment of Surgical Skill Proficiency in Cataract Surgery</t>
  </si>
  <si>
    <t>Used modified OSATS. SD estimated from Figure 1F. Used expert ratings.</t>
  </si>
  <si>
    <t>Kassab et al.</t>
  </si>
  <si>
    <t>"Blowing up the barriers" in surgical training: Exploring and validating the concept of distributed simulation</t>
  </si>
  <si>
    <t>Study had two tasks, results are for DS (distributed simulation) because these results were given in the text (box trainer results only as figure). Note that DS was novel task developed for this study.</t>
  </si>
  <si>
    <t>Black et al.</t>
  </si>
  <si>
    <t>Assessment of surgical competence at carotid endarterectomy under local anaesthesia in a simulated operating theatre</t>
  </si>
  <si>
    <t>British Journal of Surgery</t>
  </si>
  <si>
    <t>Results for crisis scenario</t>
  </si>
  <si>
    <t>Willems et al.</t>
  </si>
  <si>
    <t>Assessing Endovascular Skills using the Simulator for Testing and Rating Endovascular Skills (STRESS) Machine</t>
  </si>
  <si>
    <t>European Journal of Vascular and Endovascular Surgery</t>
  </si>
  <si>
    <t>Combination of OSATS and some other score? May not be suitable for comparison here. Remove in the future. SDs estimated from Figure 2.</t>
  </si>
  <si>
    <t>Leong et al.</t>
  </si>
  <si>
    <t>Validation of orthopaedic bench models for trauma surgery</t>
  </si>
  <si>
    <t>Journal of Bone and Joint Surgery - Series B</t>
  </si>
  <si>
    <t>Used results for DCP, dynamic comperssion plate. Esimtaed values from boxplot.</t>
  </si>
  <si>
    <t>Hance et al.</t>
  </si>
  <si>
    <t>Objective assessment of technical skills in cardiac surgery</t>
  </si>
  <si>
    <t>European Journal of Cardio-thoracic Surgery</t>
  </si>
  <si>
    <t>LAD anastomosis</t>
  </si>
  <si>
    <t>Paper reported several tasks, live and blinded scoring. Values here are for LAD anastomosis, blinded scoring.</t>
  </si>
  <si>
    <t>Erridge et al.</t>
  </si>
  <si>
    <t>Comparison of gaze behaviour of trainee and experienced surgeons during laparoscopic gastric bypass</t>
  </si>
  <si>
    <t>Gastric bypass</t>
  </si>
  <si>
    <t>Results for Segment 1, maximum pupil size</t>
  </si>
  <si>
    <t>Zevin et al.</t>
  </si>
  <si>
    <t>Development, feasibility, validity, and reliability of a scale for objective assessment of operative performance in laparoscopic gastric bypass surgery</t>
  </si>
  <si>
    <t>Results are for Jejunojejunostomy</t>
  </si>
  <si>
    <t>Araki et al.</t>
  </si>
  <si>
    <t>Comparison of the performance of experienced and novice surgeons: measurement of gripping force during laparoscopic surgery performed on pigs using forceps with pressure sensors</t>
  </si>
  <si>
    <t>The plot shows that novices grasped with force that is slightly over 8, but the text reports 7.15. Typo in text? SDs evaluated from boxplots. 4 novices and 4 experts, task completed twice.</t>
  </si>
  <si>
    <t>Hopmans et al.</t>
  </si>
  <si>
    <t>Assessment of surgery residents' operative skills in the operating theater using a modified Objective Structured Assessment of Technical Skills (OSATS): A prospective multicenter study</t>
  </si>
  <si>
    <t>Laparoscopic Cholecystectomy</t>
  </si>
  <si>
    <t>Study included various tasks and techniques, results are for laparoscopic cholecystectomy. Novices are PGY1-2 and experts PGY5-6</t>
  </si>
  <si>
    <t>Rittenhouse et al.</t>
  </si>
  <si>
    <t>Design and validation of an assessment tool for open surgical procedures</t>
  </si>
  <si>
    <t>Used Wii (IR sensor) and Patrio EM tracking. Results are for the Patriot tracking system. Values estimated from barplot (Fig. 6)</t>
  </si>
  <si>
    <t>Mazomenos et al.</t>
  </si>
  <si>
    <t>Catheter manipulation analysis for objective performance and technical skills assessment in transcatheter aortic valve implantation</t>
  </si>
  <si>
    <t>Transcathether aortic valve implantation</t>
  </si>
  <si>
    <t>Task was performed with conventional tools and with robotic tools. Results are for conventional tools. There were 2 stages, results here are for stage 1. SDs evaluated from boxplots (Fig. 5). Expert jerk weirdly small?</t>
  </si>
  <si>
    <t>Face and Construct Validity of a Novel Virtual Reality–Based Bimanual Laparoscopic Force-Skills Trainer With Haptics Feedback</t>
  </si>
  <si>
    <t>Dissection and suturing, simulated</t>
  </si>
  <si>
    <t>Results are for the suturing task, non-dominant hand, mean needle force. Same dataset as in Prasad (2016)?</t>
  </si>
  <si>
    <t>Amiel et al.</t>
  </si>
  <si>
    <t>Experienced surgeons versus novice surgery residents: Validating a novel knot tying simulator for vessel ligation</t>
  </si>
  <si>
    <t>Surgery</t>
  </si>
  <si>
    <t>4 different knot types, each completed twice. 15 experts and 30 novices. Results are for the deep two hand knot (Fig. 2). Effects estimated from the plot, for Total Force.</t>
  </si>
  <si>
    <t>Yoshida et al.</t>
  </si>
  <si>
    <t>Analysis of laparoscopic dissection skill by instrument tip force measurement</t>
  </si>
  <si>
    <t>Dissection</t>
  </si>
  <si>
    <t>Peak horizontal force results used. 10 novices and 10 experts, each performed the task 10 times</t>
  </si>
  <si>
    <t>de Mathelin et al.</t>
  </si>
  <si>
    <t>Sensors</t>
  </si>
  <si>
    <t>Sensors for expert grip force profiling: Towards benchmarking manual control of a robotic device for surgical tool movements</t>
  </si>
  <si>
    <t>4-step-pick-and-drop</t>
  </si>
  <si>
    <t>Results are for non-dominant hand, sensor 6 (S6), which was placed on the ring finger. Expert user was right-handed and novice left-handed. One expert, one novice participant. Expert results are for 12 sessions, novice results are for 10 sessions.</t>
  </si>
  <si>
    <t>Balasundaram et al.</t>
  </si>
  <si>
    <t>Acquisition of microvascular suturing techniques is feasible using objective measures of performance outside of the operating room</t>
  </si>
  <si>
    <t>British Journal of Oral and Maxillofacial Surgery</t>
  </si>
  <si>
    <t>Results for novices are for post-intervention (training), fig 5. Effects estimated from the figure.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</si>
</sst>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1"/>
  <sheetViews>
    <sheetView topLeftCell="A13" workbookViewId="0">
      <selection activeCell="R31" sqref="B31:R31"/>
    </sheetView>
  </sheetViews>
  <sheetFormatPr defaultRowHeight="14.4" x14ac:dyDescent="0.3"/>
  <cols>
    <col min="2" max="2" width="16.44140625" customWidth="1"/>
    <col min="5" max="5" width="18.88671875" customWidth="1"/>
    <col min="6" max="6" width="27" customWidth="1"/>
    <col min="10" max="12" width="8.8867187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8</v>
      </c>
      <c r="C2">
        <v>2022</v>
      </c>
      <c r="D2" t="s">
        <v>16</v>
      </c>
      <c r="E2" t="s">
        <v>14</v>
      </c>
      <c r="F2" t="s">
        <v>72</v>
      </c>
      <c r="G2" t="s">
        <v>9</v>
      </c>
      <c r="I2">
        <v>60</v>
      </c>
      <c r="J2">
        <v>175.2</v>
      </c>
      <c r="K2">
        <v>73.2</v>
      </c>
      <c r="L2">
        <v>60</v>
      </c>
      <c r="M2">
        <v>76.7</v>
      </c>
      <c r="N2">
        <v>17.100000000000001</v>
      </c>
      <c r="O2">
        <f>SQRT(((I2-1)*POWER(K2,2) + (L2-1)*POWER(N2,2))/((I2-1)+(L2-1)))</f>
        <v>53.15378631856813</v>
      </c>
      <c r="P2">
        <f>(J2-M2)/O2</f>
        <v>1.8531135187558809</v>
      </c>
      <c r="Q2">
        <f>P2*(1- (3/(4*(I2+L2)-9)))</f>
        <v>1.8413102479357797</v>
      </c>
      <c r="R2">
        <f>SQRT((I2+L2)/(I2*L2)+(POWER(P2,2)/(2*(I2+L2))))</f>
        <v>0.21826999443918652</v>
      </c>
    </row>
    <row r="3" spans="1:18" x14ac:dyDescent="0.3">
      <c r="A3">
        <v>1</v>
      </c>
      <c r="B3" t="s">
        <v>12</v>
      </c>
      <c r="C3">
        <v>2021</v>
      </c>
      <c r="D3" t="s">
        <v>15</v>
      </c>
      <c r="E3" t="s">
        <v>19</v>
      </c>
      <c r="F3" t="s">
        <v>72</v>
      </c>
      <c r="G3" t="s">
        <v>11</v>
      </c>
      <c r="I3">
        <v>18</v>
      </c>
      <c r="J3">
        <v>330.02</v>
      </c>
      <c r="K3">
        <v>96.52</v>
      </c>
      <c r="L3">
        <v>19</v>
      </c>
      <c r="M3">
        <v>258.52</v>
      </c>
      <c r="N3">
        <v>102.14</v>
      </c>
      <c r="O3">
        <f t="shared" ref="O3:O30" si="0">SQRT(((I3-1)*POWER(K3,2) + (L3-1)*POWER(N3,2))/((I3-1)+(L3-1)))</f>
        <v>99.449960080434423</v>
      </c>
      <c r="P3">
        <f t="shared" ref="P3:P30" si="1">(J3-M3)/O3</f>
        <v>0.71895453695679024</v>
      </c>
      <c r="Q3">
        <f t="shared" ref="Q3:Q30" si="2">P3*(1- (3/(4*(I3+L3)-9)))</f>
        <v>0.70343753256203934</v>
      </c>
      <c r="R3">
        <f t="shared" ref="R3:R30" si="3">SQRT((I3+L3)/(I3*L3)+(POWER(P3,2)/(2*(I3+L3))))</f>
        <v>0.33937031474894647</v>
      </c>
    </row>
    <row r="4" spans="1:18" x14ac:dyDescent="0.3">
      <c r="A4">
        <v>2</v>
      </c>
      <c r="B4" t="s">
        <v>17</v>
      </c>
      <c r="C4">
        <v>2015</v>
      </c>
      <c r="D4" t="s">
        <v>18</v>
      </c>
      <c r="E4" t="s">
        <v>19</v>
      </c>
      <c r="F4" t="s">
        <v>72</v>
      </c>
      <c r="G4" t="s">
        <v>20</v>
      </c>
      <c r="H4" t="s">
        <v>29</v>
      </c>
      <c r="I4">
        <v>23</v>
      </c>
      <c r="J4">
        <v>125</v>
      </c>
      <c r="K4">
        <f>(3/4)*50</f>
        <v>37.5</v>
      </c>
      <c r="L4">
        <v>19</v>
      </c>
      <c r="M4">
        <v>75</v>
      </c>
      <c r="N4">
        <f>(3/4)*30</f>
        <v>22.5</v>
      </c>
      <c r="O4">
        <f t="shared" si="0"/>
        <v>31.64253466459348</v>
      </c>
      <c r="P4">
        <f t="shared" si="1"/>
        <v>1.5801515437999241</v>
      </c>
      <c r="Q4">
        <f t="shared" si="2"/>
        <v>1.5503373637282274</v>
      </c>
      <c r="R4">
        <f t="shared" si="3"/>
        <v>0.35473171361298678</v>
      </c>
    </row>
    <row r="5" spans="1:18" x14ac:dyDescent="0.3">
      <c r="A5">
        <v>3</v>
      </c>
      <c r="B5" t="s">
        <v>26</v>
      </c>
      <c r="C5">
        <v>2016</v>
      </c>
      <c r="D5" t="s">
        <v>27</v>
      </c>
      <c r="E5" t="s">
        <v>28</v>
      </c>
      <c r="F5" t="s">
        <v>307</v>
      </c>
      <c r="G5" t="s">
        <v>20</v>
      </c>
      <c r="H5" t="s">
        <v>30</v>
      </c>
      <c r="I5">
        <f>(14/18)*135</f>
        <v>105</v>
      </c>
      <c r="J5">
        <v>80</v>
      </c>
      <c r="K5">
        <v>15</v>
      </c>
      <c r="L5">
        <v>30</v>
      </c>
      <c r="M5">
        <v>50</v>
      </c>
      <c r="N5">
        <v>5</v>
      </c>
      <c r="O5">
        <f t="shared" si="0"/>
        <v>13.46814677094102</v>
      </c>
      <c r="P5">
        <f t="shared" si="1"/>
        <v>2.2274779529970847</v>
      </c>
      <c r="Q5">
        <f t="shared" si="2"/>
        <v>2.2148933317937116</v>
      </c>
      <c r="R5">
        <f t="shared" si="3"/>
        <v>0.24745434747321579</v>
      </c>
    </row>
    <row r="6" spans="1:18" x14ac:dyDescent="0.3">
      <c r="A6">
        <v>4</v>
      </c>
      <c r="B6" t="s">
        <v>31</v>
      </c>
      <c r="C6">
        <v>2009</v>
      </c>
      <c r="D6" t="s">
        <v>32</v>
      </c>
      <c r="E6" t="s">
        <v>33</v>
      </c>
      <c r="F6" t="s">
        <v>307</v>
      </c>
      <c r="G6" t="s">
        <v>34</v>
      </c>
      <c r="H6" t="s">
        <v>35</v>
      </c>
      <c r="I6">
        <v>15</v>
      </c>
      <c r="J6">
        <v>75</v>
      </c>
      <c r="K6">
        <v>10</v>
      </c>
      <c r="L6">
        <v>15</v>
      </c>
      <c r="M6">
        <v>35</v>
      </c>
      <c r="N6">
        <v>2</v>
      </c>
      <c r="O6">
        <f t="shared" si="0"/>
        <v>7.2111025509279782</v>
      </c>
      <c r="P6">
        <f t="shared" si="1"/>
        <v>5.5470019622522919</v>
      </c>
      <c r="Q6">
        <f t="shared" si="2"/>
        <v>5.3970829902995279</v>
      </c>
      <c r="R6">
        <f t="shared" si="3"/>
        <v>0.80383695246850051</v>
      </c>
    </row>
    <row r="7" spans="1:18" x14ac:dyDescent="0.3">
      <c r="A7">
        <v>5</v>
      </c>
      <c r="B7" t="s">
        <v>36</v>
      </c>
      <c r="C7">
        <v>2002</v>
      </c>
      <c r="D7" t="s">
        <v>37</v>
      </c>
      <c r="E7" t="s">
        <v>38</v>
      </c>
      <c r="F7" t="s">
        <v>77</v>
      </c>
      <c r="G7" t="s">
        <v>40</v>
      </c>
      <c r="H7" t="s">
        <v>41</v>
      </c>
      <c r="I7">
        <v>15</v>
      </c>
      <c r="J7">
        <v>428.1</v>
      </c>
      <c r="K7">
        <v>32.299999999999997</v>
      </c>
      <c r="L7">
        <v>9</v>
      </c>
      <c r="M7">
        <v>192.2</v>
      </c>
      <c r="N7">
        <v>19.3</v>
      </c>
      <c r="O7">
        <f t="shared" si="0"/>
        <v>28.273003506396822</v>
      </c>
      <c r="P7">
        <f t="shared" si="1"/>
        <v>8.3436483833996338</v>
      </c>
      <c r="Q7">
        <f t="shared" si="2"/>
        <v>8.0559363701789568</v>
      </c>
      <c r="R7">
        <f t="shared" si="3"/>
        <v>1.2759783964924447</v>
      </c>
    </row>
    <row r="8" spans="1:18" x14ac:dyDescent="0.3">
      <c r="A8">
        <v>6</v>
      </c>
      <c r="B8" t="s">
        <v>42</v>
      </c>
      <c r="C8">
        <v>2002</v>
      </c>
      <c r="D8" t="s">
        <v>43</v>
      </c>
      <c r="E8" t="s">
        <v>44</v>
      </c>
      <c r="F8" t="s">
        <v>77</v>
      </c>
      <c r="G8" t="s">
        <v>45</v>
      </c>
      <c r="H8" t="s">
        <v>46</v>
      </c>
      <c r="I8">
        <v>20</v>
      </c>
      <c r="J8">
        <v>8.5500000000000007</v>
      </c>
      <c r="K8">
        <v>0.1</v>
      </c>
      <c r="L8">
        <v>20</v>
      </c>
      <c r="M8">
        <v>8.4499999999999993</v>
      </c>
      <c r="N8">
        <v>0.1</v>
      </c>
      <c r="O8">
        <f t="shared" si="0"/>
        <v>0.1</v>
      </c>
      <c r="P8">
        <f t="shared" si="1"/>
        <v>1.0000000000000142</v>
      </c>
      <c r="Q8">
        <f t="shared" si="2"/>
        <v>0.98013245033113972</v>
      </c>
      <c r="R8">
        <f t="shared" si="3"/>
        <v>0.33541019662496901</v>
      </c>
    </row>
    <row r="9" spans="1:18" x14ac:dyDescent="0.3">
      <c r="A9">
        <v>7</v>
      </c>
      <c r="B9" t="s">
        <v>47</v>
      </c>
      <c r="C9">
        <v>2004</v>
      </c>
      <c r="D9" t="s">
        <v>48</v>
      </c>
      <c r="E9" t="s">
        <v>38</v>
      </c>
      <c r="F9" t="s">
        <v>77</v>
      </c>
      <c r="G9" t="s">
        <v>49</v>
      </c>
      <c r="I9">
        <v>13</v>
      </c>
      <c r="J9">
        <v>667</v>
      </c>
      <c r="K9">
        <v>432.2</v>
      </c>
      <c r="L9">
        <v>6</v>
      </c>
      <c r="M9">
        <v>128</v>
      </c>
      <c r="N9">
        <v>37.200000000000003</v>
      </c>
      <c r="O9">
        <f t="shared" si="0"/>
        <v>363.68063559376156</v>
      </c>
      <c r="P9">
        <f t="shared" si="1"/>
        <v>1.4820695611686998</v>
      </c>
      <c r="Q9">
        <f t="shared" si="2"/>
        <v>1.4157082375342804</v>
      </c>
      <c r="R9">
        <f t="shared" si="3"/>
        <v>0.54899286834005212</v>
      </c>
    </row>
    <row r="10" spans="1:18" x14ac:dyDescent="0.3">
      <c r="A10">
        <v>8</v>
      </c>
      <c r="B10" t="s">
        <v>50</v>
      </c>
      <c r="C10">
        <v>2008</v>
      </c>
      <c r="D10" t="s">
        <v>51</v>
      </c>
      <c r="E10" t="s">
        <v>52</v>
      </c>
      <c r="F10" t="s">
        <v>77</v>
      </c>
      <c r="G10" t="s">
        <v>53</v>
      </c>
      <c r="H10" t="s">
        <v>54</v>
      </c>
      <c r="I10">
        <v>10</v>
      </c>
      <c r="J10">
        <v>558.6</v>
      </c>
      <c r="K10">
        <v>128.69999999999999</v>
      </c>
      <c r="L10">
        <v>10</v>
      </c>
      <c r="M10">
        <v>285.3</v>
      </c>
      <c r="N10">
        <v>116</v>
      </c>
      <c r="O10">
        <f t="shared" si="0"/>
        <v>122.5146725906738</v>
      </c>
      <c r="P10">
        <f t="shared" si="1"/>
        <v>2.23075321690738</v>
      </c>
      <c r="Q10">
        <f t="shared" si="2"/>
        <v>2.136496038728195</v>
      </c>
      <c r="R10">
        <f t="shared" si="3"/>
        <v>0.5695669388830128</v>
      </c>
    </row>
    <row r="11" spans="1:18" x14ac:dyDescent="0.3">
      <c r="A11">
        <v>9</v>
      </c>
      <c r="B11" t="s">
        <v>55</v>
      </c>
      <c r="C11">
        <v>2009</v>
      </c>
      <c r="D11" t="s">
        <v>56</v>
      </c>
      <c r="E11" t="s">
        <v>38</v>
      </c>
      <c r="F11" t="s">
        <v>77</v>
      </c>
      <c r="G11" t="s">
        <v>57</v>
      </c>
      <c r="H11" t="s">
        <v>58</v>
      </c>
      <c r="I11">
        <v>13</v>
      </c>
      <c r="J11">
        <v>300</v>
      </c>
      <c r="K11">
        <v>33</v>
      </c>
      <c r="L11">
        <v>6</v>
      </c>
      <c r="M11">
        <v>150</v>
      </c>
      <c r="N11">
        <v>90</v>
      </c>
      <c r="O11">
        <f t="shared" si="0"/>
        <v>56.134292758788824</v>
      </c>
      <c r="P11">
        <f t="shared" si="1"/>
        <v>2.6721633537729899</v>
      </c>
      <c r="Q11">
        <f t="shared" si="2"/>
        <v>2.5525142483801693</v>
      </c>
      <c r="R11">
        <f t="shared" si="3"/>
        <v>0.65688393682953827</v>
      </c>
    </row>
    <row r="12" spans="1:18" x14ac:dyDescent="0.3">
      <c r="A12">
        <v>10</v>
      </c>
      <c r="B12" t="s">
        <v>59</v>
      </c>
      <c r="C12">
        <v>2020</v>
      </c>
      <c r="D12" t="s">
        <v>60</v>
      </c>
      <c r="E12" t="s">
        <v>28</v>
      </c>
      <c r="F12" t="s">
        <v>147</v>
      </c>
      <c r="G12" t="s">
        <v>61</v>
      </c>
      <c r="H12" t="s">
        <v>62</v>
      </c>
      <c r="I12">
        <v>26</v>
      </c>
      <c r="J12">
        <v>18.16</v>
      </c>
      <c r="K12">
        <v>1.06</v>
      </c>
      <c r="L12">
        <v>14</v>
      </c>
      <c r="M12">
        <v>11.85</v>
      </c>
      <c r="N12">
        <v>0.69</v>
      </c>
      <c r="O12">
        <f t="shared" si="0"/>
        <v>0.94978252358382709</v>
      </c>
      <c r="P12">
        <f t="shared" si="1"/>
        <v>6.6436261389506237</v>
      </c>
      <c r="Q12">
        <f t="shared" si="2"/>
        <v>6.5116335666535914</v>
      </c>
      <c r="R12">
        <f t="shared" si="3"/>
        <v>0.81339548395412153</v>
      </c>
    </row>
    <row r="13" spans="1:18" x14ac:dyDescent="0.3">
      <c r="A13">
        <v>11</v>
      </c>
      <c r="B13" t="s">
        <v>63</v>
      </c>
      <c r="C13">
        <v>2004</v>
      </c>
      <c r="D13" t="s">
        <v>64</v>
      </c>
      <c r="E13" t="s">
        <v>65</v>
      </c>
      <c r="F13" t="s">
        <v>77</v>
      </c>
      <c r="G13" t="s">
        <v>66</v>
      </c>
      <c r="I13">
        <v>25</v>
      </c>
      <c r="J13">
        <v>70</v>
      </c>
      <c r="K13">
        <v>20</v>
      </c>
      <c r="L13">
        <v>25</v>
      </c>
      <c r="M13">
        <v>40</v>
      </c>
      <c r="N13">
        <v>5</v>
      </c>
      <c r="O13">
        <f t="shared" si="0"/>
        <v>14.577379737113251</v>
      </c>
      <c r="P13">
        <f t="shared" si="1"/>
        <v>2.0579830217101063</v>
      </c>
      <c r="Q13">
        <f t="shared" si="2"/>
        <v>2.0256586810549737</v>
      </c>
      <c r="R13">
        <f t="shared" si="3"/>
        <v>0.34978985287808251</v>
      </c>
    </row>
    <row r="14" spans="1:18" x14ac:dyDescent="0.3">
      <c r="A14">
        <v>12</v>
      </c>
      <c r="B14" t="s">
        <v>70</v>
      </c>
      <c r="C14">
        <v>2010</v>
      </c>
      <c r="D14" t="s">
        <v>71</v>
      </c>
      <c r="E14" t="s">
        <v>72</v>
      </c>
      <c r="F14" t="s">
        <v>72</v>
      </c>
      <c r="G14" t="s">
        <v>73</v>
      </c>
      <c r="H14" t="s">
        <v>74</v>
      </c>
      <c r="I14">
        <v>7</v>
      </c>
      <c r="J14">
        <v>25</v>
      </c>
      <c r="K14">
        <v>6</v>
      </c>
      <c r="L14">
        <v>6</v>
      </c>
      <c r="M14">
        <v>20</v>
      </c>
      <c r="N14">
        <v>5</v>
      </c>
      <c r="O14">
        <f t="shared" si="0"/>
        <v>5.5677643628300215</v>
      </c>
      <c r="P14">
        <f t="shared" si="1"/>
        <v>0.89802651013387458</v>
      </c>
      <c r="Q14">
        <f t="shared" si="2"/>
        <v>0.83537349779895309</v>
      </c>
      <c r="R14">
        <f t="shared" si="3"/>
        <v>0.58355906235003896</v>
      </c>
    </row>
    <row r="15" spans="1:18" x14ac:dyDescent="0.3">
      <c r="A15">
        <v>13</v>
      </c>
      <c r="B15" t="s">
        <v>76</v>
      </c>
      <c r="C15">
        <v>1999</v>
      </c>
      <c r="D15" t="s">
        <v>75</v>
      </c>
      <c r="E15" t="s">
        <v>79</v>
      </c>
      <c r="F15" t="s">
        <v>77</v>
      </c>
      <c r="G15" t="s">
        <v>78</v>
      </c>
      <c r="H15" t="s">
        <v>80</v>
      </c>
      <c r="I15">
        <v>8</v>
      </c>
      <c r="J15">
        <v>70.61</v>
      </c>
      <c r="K15">
        <v>15.42</v>
      </c>
      <c r="L15">
        <v>12</v>
      </c>
      <c r="M15">
        <v>49.55</v>
      </c>
      <c r="N15">
        <v>8.76</v>
      </c>
      <c r="O15">
        <f t="shared" si="0"/>
        <v>11.805244597211868</v>
      </c>
      <c r="P15">
        <f t="shared" si="1"/>
        <v>1.7839528716731459</v>
      </c>
      <c r="Q15">
        <f t="shared" si="2"/>
        <v>1.7085745813207596</v>
      </c>
      <c r="R15">
        <f t="shared" si="3"/>
        <v>0.53655897116915763</v>
      </c>
    </row>
    <row r="16" spans="1:18" x14ac:dyDescent="0.3">
      <c r="A16">
        <v>14</v>
      </c>
      <c r="B16" t="s">
        <v>128</v>
      </c>
      <c r="C16">
        <v>2021</v>
      </c>
      <c r="D16" t="s">
        <v>129</v>
      </c>
      <c r="E16" t="s">
        <v>130</v>
      </c>
      <c r="F16" t="s">
        <v>77</v>
      </c>
      <c r="G16" t="s">
        <v>131</v>
      </c>
      <c r="H16" t="s">
        <v>132</v>
      </c>
      <c r="I16">
        <v>12</v>
      </c>
      <c r="J16">
        <v>6.2960000000000003</v>
      </c>
      <c r="K16">
        <v>1.853</v>
      </c>
      <c r="L16">
        <v>5</v>
      </c>
      <c r="M16">
        <v>2.96</v>
      </c>
      <c r="N16">
        <v>0.752</v>
      </c>
      <c r="O16">
        <f t="shared" si="0"/>
        <v>1.6336404133101019</v>
      </c>
      <c r="P16">
        <f t="shared" si="1"/>
        <v>2.0420650547206756</v>
      </c>
      <c r="Q16">
        <f t="shared" si="2"/>
        <v>1.9382312383789464</v>
      </c>
      <c r="R16">
        <f t="shared" si="3"/>
        <v>0.63716659150087573</v>
      </c>
    </row>
    <row r="17" spans="1:18" x14ac:dyDescent="0.3">
      <c r="A17">
        <v>15</v>
      </c>
      <c r="B17" t="s">
        <v>144</v>
      </c>
      <c r="C17">
        <v>2001</v>
      </c>
      <c r="D17" t="s">
        <v>145</v>
      </c>
      <c r="E17" t="s">
        <v>146</v>
      </c>
      <c r="F17" t="s">
        <v>147</v>
      </c>
      <c r="G17" t="s">
        <v>78</v>
      </c>
      <c r="H17" t="s">
        <v>148</v>
      </c>
      <c r="I17">
        <v>12</v>
      </c>
      <c r="J17">
        <v>1236</v>
      </c>
      <c r="K17">
        <v>202</v>
      </c>
      <c r="L17">
        <v>13</v>
      </c>
      <c r="M17">
        <v>782</v>
      </c>
      <c r="N17">
        <v>201</v>
      </c>
      <c r="O17">
        <f t="shared" si="0"/>
        <v>201.47888011013657</v>
      </c>
      <c r="P17">
        <f t="shared" si="1"/>
        <v>2.2533379168666468</v>
      </c>
      <c r="Q17">
        <f t="shared" si="2"/>
        <v>2.1790520514754386</v>
      </c>
      <c r="R17">
        <f t="shared" si="3"/>
        <v>0.511670837167987</v>
      </c>
    </row>
    <row r="18" spans="1:18" x14ac:dyDescent="0.3">
      <c r="A18">
        <v>16</v>
      </c>
      <c r="B18" t="s">
        <v>149</v>
      </c>
      <c r="C18">
        <v>2012</v>
      </c>
      <c r="D18" t="s">
        <v>150</v>
      </c>
      <c r="E18" t="s">
        <v>87</v>
      </c>
      <c r="F18" t="s">
        <v>77</v>
      </c>
      <c r="G18" t="s">
        <v>131</v>
      </c>
      <c r="H18" t="s">
        <v>299</v>
      </c>
      <c r="I18">
        <v>4</v>
      </c>
      <c r="J18">
        <v>108.07</v>
      </c>
      <c r="K18">
        <v>6.93</v>
      </c>
      <c r="L18">
        <v>4</v>
      </c>
      <c r="M18">
        <v>30.07</v>
      </c>
      <c r="N18">
        <v>13.37</v>
      </c>
      <c r="O18">
        <f t="shared" si="0"/>
        <v>10.648516328578362</v>
      </c>
      <c r="P18">
        <f t="shared" si="1"/>
        <v>7.3249641164247947</v>
      </c>
      <c r="Q18">
        <f t="shared" si="2"/>
        <v>6.3695340142824302</v>
      </c>
      <c r="R18">
        <f t="shared" si="3"/>
        <v>1.9630190286092313</v>
      </c>
    </row>
    <row r="19" spans="1:18" x14ac:dyDescent="0.3">
      <c r="A19">
        <v>17</v>
      </c>
      <c r="B19" t="s">
        <v>159</v>
      </c>
      <c r="C19">
        <v>2007</v>
      </c>
      <c r="D19" t="s">
        <v>160</v>
      </c>
      <c r="E19" t="s">
        <v>161</v>
      </c>
      <c r="F19" t="s">
        <v>77</v>
      </c>
      <c r="G19" t="s">
        <v>157</v>
      </c>
      <c r="H19" t="s">
        <v>162</v>
      </c>
      <c r="I19">
        <v>14</v>
      </c>
      <c r="J19">
        <v>2175</v>
      </c>
      <c r="K19">
        <f>(3127-1954)*(3/4)</f>
        <v>879.75</v>
      </c>
      <c r="L19">
        <v>33</v>
      </c>
      <c r="M19">
        <v>1979</v>
      </c>
      <c r="N19">
        <f>(2582-1137)*(3/4)</f>
        <v>1083.75</v>
      </c>
      <c r="O19">
        <f t="shared" si="0"/>
        <v>1028.9793304532409</v>
      </c>
      <c r="P19">
        <f t="shared" si="1"/>
        <v>0.19048001665268308</v>
      </c>
      <c r="Q19">
        <f t="shared" si="2"/>
        <v>0.18728761413895095</v>
      </c>
      <c r="R19">
        <f t="shared" si="3"/>
        <v>0.31955842537614054</v>
      </c>
    </row>
    <row r="20" spans="1:18" x14ac:dyDescent="0.3">
      <c r="A20">
        <v>18</v>
      </c>
      <c r="B20" t="s">
        <v>171</v>
      </c>
      <c r="C20">
        <v>2010</v>
      </c>
      <c r="D20" t="s">
        <v>172</v>
      </c>
      <c r="E20" t="s">
        <v>33</v>
      </c>
      <c r="F20" t="s">
        <v>77</v>
      </c>
      <c r="G20" t="s">
        <v>173</v>
      </c>
      <c r="I20">
        <v>6</v>
      </c>
      <c r="J20">
        <v>74.5</v>
      </c>
      <c r="K20">
        <v>13.44</v>
      </c>
      <c r="L20">
        <v>8</v>
      </c>
      <c r="M20">
        <v>56.56</v>
      </c>
      <c r="N20">
        <v>11.93</v>
      </c>
      <c r="O20">
        <f t="shared" si="0"/>
        <v>12.581210527343277</v>
      </c>
      <c r="P20">
        <f t="shared" si="1"/>
        <v>1.4259359193624681</v>
      </c>
      <c r="Q20">
        <f t="shared" si="2"/>
        <v>1.334918733020183</v>
      </c>
      <c r="R20">
        <f t="shared" si="3"/>
        <v>0.60355967608829919</v>
      </c>
    </row>
    <row r="21" spans="1:18" x14ac:dyDescent="0.3">
      <c r="A21">
        <v>19</v>
      </c>
      <c r="B21" t="s">
        <v>89</v>
      </c>
      <c r="C21">
        <v>2013</v>
      </c>
      <c r="D21" t="s">
        <v>178</v>
      </c>
      <c r="E21" t="s">
        <v>38</v>
      </c>
      <c r="F21" t="s">
        <v>77</v>
      </c>
      <c r="H21" t="s">
        <v>177</v>
      </c>
      <c r="I21">
        <v>11</v>
      </c>
      <c r="J21">
        <v>4.5</v>
      </c>
      <c r="K21">
        <f>3*(3/4)</f>
        <v>2.25</v>
      </c>
      <c r="L21">
        <v>7</v>
      </c>
      <c r="M21">
        <v>1.9</v>
      </c>
      <c r="N21">
        <v>0.4</v>
      </c>
      <c r="O21">
        <f t="shared" si="0"/>
        <v>1.7955674590502024</v>
      </c>
      <c r="P21">
        <f t="shared" si="1"/>
        <v>1.4480102025101951</v>
      </c>
      <c r="Q21">
        <f t="shared" si="2"/>
        <v>1.3790573357239952</v>
      </c>
      <c r="R21">
        <f t="shared" si="3"/>
        <v>0.54037841581818158</v>
      </c>
    </row>
    <row r="22" spans="1:18" x14ac:dyDescent="0.3">
      <c r="A22">
        <v>20</v>
      </c>
      <c r="B22" t="s">
        <v>226</v>
      </c>
      <c r="C22">
        <v>2018</v>
      </c>
      <c r="D22" t="s">
        <v>227</v>
      </c>
      <c r="E22" t="s">
        <v>228</v>
      </c>
      <c r="F22" t="s">
        <v>307</v>
      </c>
      <c r="G22" t="s">
        <v>230</v>
      </c>
      <c r="H22" t="s">
        <v>231</v>
      </c>
      <c r="I22">
        <v>42</v>
      </c>
      <c r="J22">
        <v>26.8</v>
      </c>
      <c r="K22">
        <f>SQRT(I22)*(29-24.2)/3.92</f>
        <v>7.9356008551933002</v>
      </c>
      <c r="L22">
        <v>54</v>
      </c>
      <c r="M22">
        <v>10.6</v>
      </c>
      <c r="N22">
        <f>SQRT(L22)*(12.5-9)/3.92</f>
        <v>6.5611332395977984</v>
      </c>
      <c r="O22">
        <f t="shared" si="0"/>
        <v>7.1930027137798414</v>
      </c>
      <c r="P22">
        <f t="shared" si="1"/>
        <v>2.252188779098498</v>
      </c>
      <c r="Q22">
        <f t="shared" si="2"/>
        <v>2.23417126886571</v>
      </c>
      <c r="R22">
        <f t="shared" si="3"/>
        <v>0.26219564124906203</v>
      </c>
    </row>
    <row r="23" spans="1:18" x14ac:dyDescent="0.3">
      <c r="A23">
        <v>21</v>
      </c>
      <c r="B23" t="s">
        <v>163</v>
      </c>
      <c r="C23">
        <v>2011</v>
      </c>
      <c r="D23" t="s">
        <v>233</v>
      </c>
      <c r="E23" t="s">
        <v>33</v>
      </c>
      <c r="F23" t="s">
        <v>77</v>
      </c>
      <c r="G23" t="s">
        <v>57</v>
      </c>
      <c r="H23" t="s">
        <v>235</v>
      </c>
      <c r="I23">
        <v>9</v>
      </c>
      <c r="J23">
        <v>279</v>
      </c>
      <c r="K23">
        <v>22</v>
      </c>
      <c r="L23">
        <v>9</v>
      </c>
      <c r="M23">
        <v>180</v>
      </c>
      <c r="N23">
        <v>19</v>
      </c>
      <c r="O23">
        <f t="shared" si="0"/>
        <v>20.554804791094465</v>
      </c>
      <c r="P23">
        <f t="shared" si="1"/>
        <v>4.8163921285641473</v>
      </c>
      <c r="Q23">
        <f t="shared" si="2"/>
        <v>4.587040122442045</v>
      </c>
      <c r="R23">
        <f t="shared" si="3"/>
        <v>0.93091402419722646</v>
      </c>
    </row>
    <row r="24" spans="1:18" x14ac:dyDescent="0.3">
      <c r="A24">
        <v>22</v>
      </c>
      <c r="B24" t="s">
        <v>201</v>
      </c>
      <c r="C24">
        <v>2009</v>
      </c>
      <c r="D24" t="s">
        <v>202</v>
      </c>
      <c r="E24" t="s">
        <v>154</v>
      </c>
      <c r="F24" t="s">
        <v>77</v>
      </c>
      <c r="G24" t="s">
        <v>203</v>
      </c>
      <c r="H24" t="s">
        <v>239</v>
      </c>
      <c r="I24">
        <v>10</v>
      </c>
      <c r="J24">
        <v>500</v>
      </c>
      <c r="K24">
        <f>(200/2.5)*(3/4)</f>
        <v>60</v>
      </c>
      <c r="L24">
        <v>10</v>
      </c>
      <c r="M24">
        <v>175</v>
      </c>
      <c r="N24">
        <f>(200/3)*(3/4)</f>
        <v>50</v>
      </c>
      <c r="O24">
        <f t="shared" si="0"/>
        <v>55.226805085936306</v>
      </c>
      <c r="P24">
        <f t="shared" si="1"/>
        <v>5.8848234927637044</v>
      </c>
      <c r="Q24">
        <f t="shared" si="2"/>
        <v>5.6361689789849567</v>
      </c>
      <c r="R24">
        <f t="shared" si="3"/>
        <v>1.0323655789131048</v>
      </c>
    </row>
    <row r="25" spans="1:18" x14ac:dyDescent="0.3">
      <c r="A25">
        <v>23</v>
      </c>
      <c r="B25" t="s">
        <v>245</v>
      </c>
      <c r="C25">
        <v>2021</v>
      </c>
      <c r="D25" t="s">
        <v>246</v>
      </c>
      <c r="E25" t="s">
        <v>28</v>
      </c>
      <c r="F25" t="s">
        <v>77</v>
      </c>
      <c r="G25" t="s">
        <v>131</v>
      </c>
      <c r="H25" t="s">
        <v>297</v>
      </c>
      <c r="I25">
        <v>14</v>
      </c>
      <c r="J25">
        <v>84.5</v>
      </c>
      <c r="K25">
        <v>27.9</v>
      </c>
      <c r="L25">
        <v>23</v>
      </c>
      <c r="M25">
        <v>71.099999999999994</v>
      </c>
      <c r="N25">
        <v>20.3</v>
      </c>
      <c r="O25">
        <f t="shared" si="0"/>
        <v>23.412640053734101</v>
      </c>
      <c r="P25">
        <f t="shared" si="1"/>
        <v>0.57234040967809729</v>
      </c>
      <c r="Q25">
        <f t="shared" si="2"/>
        <v>0.55998773896562037</v>
      </c>
      <c r="R25">
        <f t="shared" si="3"/>
        <v>0.34544681474734895</v>
      </c>
    </row>
    <row r="26" spans="1:18" x14ac:dyDescent="0.3">
      <c r="A26">
        <v>24</v>
      </c>
      <c r="B26" t="s">
        <v>301</v>
      </c>
      <c r="C26">
        <v>2010</v>
      </c>
      <c r="D26" t="s">
        <v>302</v>
      </c>
      <c r="E26" t="s">
        <v>38</v>
      </c>
      <c r="F26" t="s">
        <v>77</v>
      </c>
      <c r="G26" t="s">
        <v>131</v>
      </c>
      <c r="H26" t="s">
        <v>303</v>
      </c>
      <c r="I26">
        <v>11</v>
      </c>
      <c r="J26">
        <f>(3/7)*400</f>
        <v>171.42857142857142</v>
      </c>
      <c r="K26">
        <f>(400*(2/5))*(3/4)</f>
        <v>120</v>
      </c>
      <c r="L26">
        <v>10</v>
      </c>
      <c r="M26">
        <f>400/5</f>
        <v>80</v>
      </c>
      <c r="N26">
        <f>(400/10)*(3/4)</f>
        <v>30</v>
      </c>
      <c r="O26">
        <f t="shared" si="0"/>
        <v>89.472136209519093</v>
      </c>
      <c r="P26">
        <f t="shared" si="1"/>
        <v>1.021866418998546</v>
      </c>
      <c r="Q26">
        <f t="shared" si="2"/>
        <v>0.98099176223860418</v>
      </c>
      <c r="R26">
        <f t="shared" si="3"/>
        <v>0.46451184813580504</v>
      </c>
    </row>
    <row r="27" spans="1:18" x14ac:dyDescent="0.3">
      <c r="A27">
        <v>25</v>
      </c>
      <c r="B27" t="s">
        <v>349</v>
      </c>
      <c r="C27">
        <v>2014</v>
      </c>
      <c r="D27" t="s">
        <v>350</v>
      </c>
      <c r="E27" t="s">
        <v>33</v>
      </c>
      <c r="F27" t="s">
        <v>77</v>
      </c>
      <c r="G27" t="s">
        <v>157</v>
      </c>
      <c r="H27" t="s">
        <v>351</v>
      </c>
      <c r="I27">
        <v>11</v>
      </c>
      <c r="J27">
        <v>38</v>
      </c>
      <c r="K27">
        <v>5</v>
      </c>
      <c r="L27">
        <v>5</v>
      </c>
      <c r="M27">
        <v>20</v>
      </c>
      <c r="N27">
        <v>2</v>
      </c>
      <c r="O27">
        <f t="shared" si="0"/>
        <v>4.358898943540674</v>
      </c>
      <c r="P27">
        <f t="shared" si="1"/>
        <v>4.1294832096701111</v>
      </c>
      <c r="Q27">
        <f t="shared" si="2"/>
        <v>3.9042386709608321</v>
      </c>
      <c r="R27">
        <f t="shared" si="3"/>
        <v>0.90763639622438896</v>
      </c>
    </row>
    <row r="28" spans="1:18" x14ac:dyDescent="0.3">
      <c r="A28">
        <v>26</v>
      </c>
      <c r="B28" t="s">
        <v>305</v>
      </c>
      <c r="C28">
        <v>2021</v>
      </c>
      <c r="D28" t="s">
        <v>223</v>
      </c>
      <c r="E28" t="s">
        <v>154</v>
      </c>
      <c r="F28" t="s">
        <v>147</v>
      </c>
      <c r="G28" t="s">
        <v>224</v>
      </c>
      <c r="H28" t="s">
        <v>225</v>
      </c>
      <c r="I28">
        <v>2</v>
      </c>
      <c r="J28">
        <v>619</v>
      </c>
      <c r="K28">
        <f>(911-328)*(3/4)</f>
        <v>437.25</v>
      </c>
      <c r="L28">
        <v>2</v>
      </c>
      <c r="M28">
        <v>315</v>
      </c>
      <c r="N28">
        <f>(328-303)*(3/4)</f>
        <v>18.75</v>
      </c>
      <c r="O28">
        <f t="shared" si="0"/>
        <v>309.46657735529374</v>
      </c>
      <c r="P28">
        <f t="shared" si="1"/>
        <v>0.98233548384445524</v>
      </c>
      <c r="Q28">
        <f t="shared" si="2"/>
        <v>0.56133456219683153</v>
      </c>
      <c r="R28">
        <f t="shared" si="3"/>
        <v>1.0585947644648968</v>
      </c>
    </row>
    <row r="29" spans="1:18" x14ac:dyDescent="0.3">
      <c r="A29">
        <v>27</v>
      </c>
      <c r="B29" t="s">
        <v>352</v>
      </c>
      <c r="C29">
        <v>2016</v>
      </c>
      <c r="D29" t="s">
        <v>353</v>
      </c>
      <c r="E29" t="s">
        <v>87</v>
      </c>
      <c r="F29" t="s">
        <v>259</v>
      </c>
      <c r="G29" t="s">
        <v>354</v>
      </c>
      <c r="H29" t="s">
        <v>355</v>
      </c>
      <c r="I29">
        <v>6</v>
      </c>
      <c r="J29">
        <v>239.1</v>
      </c>
      <c r="K29">
        <f>150*(3/4)</f>
        <v>112.5</v>
      </c>
      <c r="L29">
        <v>6</v>
      </c>
      <c r="M29">
        <v>34.9</v>
      </c>
      <c r="N29">
        <f>20*(3/4)</f>
        <v>15</v>
      </c>
      <c r="O29">
        <f t="shared" si="0"/>
        <v>80.253504596372608</v>
      </c>
      <c r="P29">
        <f t="shared" si="1"/>
        <v>2.5444371685324465</v>
      </c>
      <c r="Q29">
        <f t="shared" si="2"/>
        <v>2.3487112324914894</v>
      </c>
      <c r="R29">
        <f t="shared" si="3"/>
        <v>0.77658870776324851</v>
      </c>
    </row>
    <row r="30" spans="1:18" x14ac:dyDescent="0.3">
      <c r="A30">
        <v>28</v>
      </c>
      <c r="B30" t="s">
        <v>359</v>
      </c>
      <c r="C30">
        <v>2020</v>
      </c>
      <c r="D30" t="s">
        <v>360</v>
      </c>
      <c r="E30" t="s">
        <v>361</v>
      </c>
      <c r="F30" t="s">
        <v>147</v>
      </c>
      <c r="G30" t="s">
        <v>84</v>
      </c>
      <c r="H30" t="s">
        <v>362</v>
      </c>
      <c r="I30">
        <f>30*2</f>
        <v>60</v>
      </c>
      <c r="J30">
        <v>22</v>
      </c>
      <c r="K30">
        <v>6</v>
      </c>
      <c r="L30">
        <f>15*2</f>
        <v>30</v>
      </c>
      <c r="M30">
        <v>12.5</v>
      </c>
      <c r="N30">
        <v>2.5</v>
      </c>
      <c r="O30">
        <f t="shared" si="0"/>
        <v>5.1182050298198023</v>
      </c>
      <c r="P30">
        <f t="shared" si="1"/>
        <v>1.8561194685736278</v>
      </c>
      <c r="Q30">
        <f t="shared" si="2"/>
        <v>1.84025519961146</v>
      </c>
      <c r="R30">
        <f t="shared" si="3"/>
        <v>0.26294464438164389</v>
      </c>
    </row>
    <row r="31" spans="1:18" x14ac:dyDescent="0.3">
      <c r="A31">
        <v>29</v>
      </c>
      <c r="B31" t="s">
        <v>372</v>
      </c>
      <c r="C31">
        <v>2022</v>
      </c>
      <c r="D31" t="s">
        <v>373</v>
      </c>
      <c r="E31" t="s">
        <v>374</v>
      </c>
      <c r="F31" t="s">
        <v>72</v>
      </c>
      <c r="G31" t="s">
        <v>78</v>
      </c>
      <c r="H31" t="s">
        <v>375</v>
      </c>
      <c r="I31">
        <v>10</v>
      </c>
      <c r="J31">
        <v>1000</v>
      </c>
      <c r="K31">
        <f>500*(3/4)</f>
        <v>375</v>
      </c>
      <c r="L31">
        <v>10</v>
      </c>
      <c r="M31">
        <v>750</v>
      </c>
      <c r="N31">
        <f>200*(3/4)</f>
        <v>150</v>
      </c>
      <c r="O31">
        <f t="shared" ref="O31" si="4">SQRT(((I31-1)*POWER(K31,2) + (L31-1)*POWER(N31,2))/((I31-1)+(L31-1)))</f>
        <v>285.59149146989654</v>
      </c>
      <c r="P31">
        <f t="shared" ref="P31" si="5">(J31-M31)/O31</f>
        <v>0.87537621906481711</v>
      </c>
      <c r="Q31">
        <f t="shared" ref="Q31" si="6">P31*(1- (3/(4*(I31+L31)-9)))</f>
        <v>0.8383884914986981</v>
      </c>
      <c r="R31">
        <f t="shared" ref="R31" si="7">SQRT((I31+L31)/(I31*L31)+(POWER(P31,2)/(2*(I31+L31))))</f>
        <v>0.46814216657187097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8FF69-1A01-44B7-9B68-125032E688E1}">
  <dimension ref="A1:R8"/>
  <sheetViews>
    <sheetView workbookViewId="0">
      <selection activeCell="H40" sqref="H40"/>
    </sheetView>
  </sheetViews>
  <sheetFormatPr defaultRowHeight="14.4" x14ac:dyDescent="0.3"/>
  <cols>
    <col min="2" max="2" width="20.3320312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106</v>
      </c>
      <c r="C2">
        <v>2020</v>
      </c>
      <c r="D2" t="s">
        <v>107</v>
      </c>
      <c r="E2" t="s">
        <v>108</v>
      </c>
      <c r="F2" t="s">
        <v>109</v>
      </c>
      <c r="G2" t="s">
        <v>110</v>
      </c>
      <c r="H2" t="s">
        <v>111</v>
      </c>
      <c r="I2">
        <f>50*20</f>
        <v>1000</v>
      </c>
      <c r="J2">
        <v>0.314</v>
      </c>
      <c r="K2">
        <v>0.315</v>
      </c>
      <c r="L2">
        <f>26*15</f>
        <v>390</v>
      </c>
      <c r="M2">
        <v>5.7000000000000002E-2</v>
      </c>
      <c r="N2">
        <v>0.35299999999999998</v>
      </c>
      <c r="O2">
        <f t="shared" ref="O2:O7" si="0">SQRT(((I2-1)*POWER(K2,2) + (L2-1)*POWER(N2,2))/((I2-1)+(L2-1)))</f>
        <v>0.32609677052433023</v>
      </c>
      <c r="P2">
        <f t="shared" ref="P2:P7" si="1">(J2-M2)/O2</f>
        <v>0.78810961416996039</v>
      </c>
      <c r="Q2">
        <f t="shared" ref="Q2:Q7" si="2">P2*(1- (3/(4*(I2+L2)-9)))</f>
        <v>0.78768368571697722</v>
      </c>
      <c r="R2">
        <f t="shared" ref="R2:R7" si="3">SQRT((I2+L2)/(I2*L2)+(POWER(P2,2)/(2*(I2+L2))))</f>
        <v>6.1542878227187438E-2</v>
      </c>
    </row>
    <row r="3" spans="1:18" x14ac:dyDescent="0.3">
      <c r="A3">
        <v>1</v>
      </c>
      <c r="B3" t="s">
        <v>112</v>
      </c>
      <c r="C3">
        <v>2019</v>
      </c>
      <c r="D3" t="s">
        <v>113</v>
      </c>
      <c r="E3" t="s">
        <v>114</v>
      </c>
      <c r="F3" t="s">
        <v>115</v>
      </c>
      <c r="G3" t="s">
        <v>116</v>
      </c>
      <c r="H3" t="s">
        <v>117</v>
      </c>
      <c r="I3">
        <v>13</v>
      </c>
      <c r="J3">
        <v>0.75</v>
      </c>
      <c r="K3">
        <v>0.75</v>
      </c>
      <c r="L3">
        <v>15</v>
      </c>
      <c r="M3">
        <v>0.25</v>
      </c>
      <c r="N3">
        <v>0.4</v>
      </c>
      <c r="O3">
        <f t="shared" si="0"/>
        <v>0.58802145434433839</v>
      </c>
      <c r="P3">
        <f t="shared" si="1"/>
        <v>0.8503091108427584</v>
      </c>
      <c r="Q3">
        <f t="shared" si="2"/>
        <v>0.82554282606093055</v>
      </c>
      <c r="R3">
        <f t="shared" si="3"/>
        <v>0.39560196502581091</v>
      </c>
    </row>
    <row r="4" spans="1:18" x14ac:dyDescent="0.3">
      <c r="A4">
        <v>2</v>
      </c>
      <c r="B4" t="s">
        <v>118</v>
      </c>
      <c r="C4">
        <v>2018</v>
      </c>
      <c r="D4" t="s">
        <v>119</v>
      </c>
      <c r="E4" t="s">
        <v>120</v>
      </c>
      <c r="F4" t="s">
        <v>72</v>
      </c>
      <c r="G4" t="s">
        <v>121</v>
      </c>
      <c r="H4" t="s">
        <v>122</v>
      </c>
      <c r="I4">
        <v>50</v>
      </c>
      <c r="J4">
        <f>0.02/8</f>
        <v>2.5000000000000001E-3</v>
      </c>
      <c r="K4">
        <v>5.0000000000000001E-3</v>
      </c>
      <c r="L4">
        <v>60</v>
      </c>
      <c r="M4">
        <v>1.7500000000000002E-2</v>
      </c>
      <c r="N4">
        <v>5.0000000000000001E-3</v>
      </c>
      <c r="O4">
        <f t="shared" si="0"/>
        <v>5.0000000000000001E-3</v>
      </c>
      <c r="P4">
        <f t="shared" si="1"/>
        <v>-3</v>
      </c>
      <c r="Q4">
        <f t="shared" si="2"/>
        <v>-2.9791183294663575</v>
      </c>
      <c r="R4">
        <f t="shared" si="3"/>
        <v>0.27852424952911653</v>
      </c>
    </row>
    <row r="5" spans="1:18" x14ac:dyDescent="0.3">
      <c r="A5">
        <v>3</v>
      </c>
      <c r="B5" t="s">
        <v>123</v>
      </c>
      <c r="C5">
        <v>2019</v>
      </c>
      <c r="D5" t="s">
        <v>124</v>
      </c>
      <c r="E5" t="s">
        <v>125</v>
      </c>
      <c r="F5" t="s">
        <v>77</v>
      </c>
      <c r="G5" t="s">
        <v>126</v>
      </c>
      <c r="H5" t="s">
        <v>127</v>
      </c>
      <c r="I5">
        <v>7</v>
      </c>
      <c r="J5">
        <v>4.87</v>
      </c>
      <c r="K5">
        <v>0.56000000000000005</v>
      </c>
      <c r="L5">
        <v>7</v>
      </c>
      <c r="M5">
        <v>4.0999999999999996</v>
      </c>
      <c r="N5">
        <v>0.31</v>
      </c>
      <c r="O5">
        <f t="shared" si="0"/>
        <v>0.45260357930533429</v>
      </c>
      <c r="P5">
        <f t="shared" si="1"/>
        <v>1.7012680305838788</v>
      </c>
      <c r="Q5">
        <f t="shared" si="2"/>
        <v>1.5926764541636311</v>
      </c>
      <c r="R5">
        <f t="shared" si="3"/>
        <v>0.62376486274553433</v>
      </c>
    </row>
    <row r="6" spans="1:18" x14ac:dyDescent="0.3">
      <c r="A6">
        <v>4</v>
      </c>
      <c r="B6" t="s">
        <v>134</v>
      </c>
      <c r="C6">
        <v>2020</v>
      </c>
      <c r="D6" t="s">
        <v>133</v>
      </c>
      <c r="E6" t="s">
        <v>135</v>
      </c>
      <c r="F6" t="s">
        <v>136</v>
      </c>
      <c r="G6" t="s">
        <v>137</v>
      </c>
      <c r="H6" t="s">
        <v>138</v>
      </c>
      <c r="I6">
        <v>18</v>
      </c>
      <c r="J6">
        <v>3.25</v>
      </c>
      <c r="K6">
        <f>0.96*(3/4)</f>
        <v>0.72</v>
      </c>
      <c r="L6">
        <v>14</v>
      </c>
      <c r="M6">
        <v>3.26</v>
      </c>
      <c r="N6">
        <f>0.7*(3/4)</f>
        <v>0.52499999999999991</v>
      </c>
      <c r="O6">
        <f t="shared" si="0"/>
        <v>0.6428044025984887</v>
      </c>
      <c r="P6">
        <f t="shared" si="1"/>
        <v>-1.5556831844299035E-2</v>
      </c>
      <c r="Q6">
        <f t="shared" si="2"/>
        <v>-1.5164642806207463E-2</v>
      </c>
      <c r="R6">
        <f t="shared" si="3"/>
        <v>0.35635362839287621</v>
      </c>
    </row>
    <row r="7" spans="1:18" x14ac:dyDescent="0.3">
      <c r="A7">
        <v>5</v>
      </c>
      <c r="B7" t="s">
        <v>139</v>
      </c>
      <c r="C7">
        <v>2018</v>
      </c>
      <c r="D7" t="s">
        <v>141</v>
      </c>
      <c r="E7" t="s">
        <v>140</v>
      </c>
      <c r="F7" t="s">
        <v>77</v>
      </c>
      <c r="G7" t="s">
        <v>142</v>
      </c>
      <c r="H7" t="s">
        <v>143</v>
      </c>
      <c r="I7">
        <v>12</v>
      </c>
      <c r="J7">
        <v>0.108</v>
      </c>
      <c r="K7">
        <v>7.4999999999999997E-2</v>
      </c>
      <c r="L7">
        <v>12</v>
      </c>
      <c r="M7">
        <v>3.7999999999999999E-2</v>
      </c>
      <c r="N7">
        <v>2.3E-2</v>
      </c>
      <c r="O7">
        <f t="shared" si="0"/>
        <v>5.5470712993434652E-2</v>
      </c>
      <c r="P7">
        <f t="shared" si="1"/>
        <v>1.2619271724213279</v>
      </c>
      <c r="Q7">
        <f t="shared" si="2"/>
        <v>1.218412442337834</v>
      </c>
      <c r="R7">
        <f t="shared" si="3"/>
        <v>0.44703794088830068</v>
      </c>
    </row>
    <row r="8" spans="1:18" x14ac:dyDescent="0.3">
      <c r="A8">
        <v>6</v>
      </c>
      <c r="B8" t="s">
        <v>335</v>
      </c>
      <c r="C8">
        <v>2018</v>
      </c>
      <c r="D8" t="s">
        <v>336</v>
      </c>
      <c r="E8" t="s">
        <v>320</v>
      </c>
      <c r="F8" t="s">
        <v>77</v>
      </c>
      <c r="G8" t="s">
        <v>337</v>
      </c>
      <c r="H8" t="s">
        <v>338</v>
      </c>
      <c r="I8">
        <v>2</v>
      </c>
      <c r="J8">
        <v>4.9000000000000004</v>
      </c>
      <c r="K8">
        <f>(6.7-3.6)*(3/4)</f>
        <v>2.3250000000000002</v>
      </c>
      <c r="L8">
        <v>2</v>
      </c>
      <c r="M8">
        <v>4.1500000000000004</v>
      </c>
      <c r="N8">
        <f>(6.4-4)*(3/4)</f>
        <v>1.8000000000000003</v>
      </c>
      <c r="O8">
        <f t="shared" ref="O8" si="4">SQRT(((I8-1)*POWER(K8,2) + (L8-1)*POWER(N8,2))/((I8-1)+(L8-1)))</f>
        <v>2.0791374413443671</v>
      </c>
      <c r="P8">
        <f t="shared" ref="P8" si="5">(J8-M8)/O8</f>
        <v>0.36072651335404321</v>
      </c>
      <c r="Q8">
        <f t="shared" ref="Q8" si="6">P8*(1- (3/(4*(I8+L8)-9)))</f>
        <v>0.20612943620231039</v>
      </c>
      <c r="R8">
        <f t="shared" ref="R8" si="7">SQRT((I8+L8)/(I8*L8)+(POWER(P8,2)/(2*(I8+L8))))</f>
        <v>1.0080999217238193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C3E7-A606-4632-BFE8-84337DA69629}">
  <dimension ref="A1:R3"/>
  <sheetViews>
    <sheetView workbookViewId="0">
      <selection activeCell="F7" sqref="F7"/>
    </sheetView>
  </sheetViews>
  <sheetFormatPr defaultRowHeight="14.4" x14ac:dyDescent="0.3"/>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134</v>
      </c>
      <c r="C2">
        <v>2020</v>
      </c>
      <c r="D2" t="s">
        <v>133</v>
      </c>
      <c r="E2" t="s">
        <v>135</v>
      </c>
      <c r="F2" t="s">
        <v>136</v>
      </c>
      <c r="G2" t="s">
        <v>137</v>
      </c>
      <c r="H2" t="s">
        <v>138</v>
      </c>
      <c r="I2">
        <v>18</v>
      </c>
      <c r="J2">
        <v>22.7</v>
      </c>
      <c r="K2">
        <f>(3/4)*20.87</f>
        <v>15.6525</v>
      </c>
      <c r="L2">
        <v>14</v>
      </c>
      <c r="M2">
        <v>25.28</v>
      </c>
      <c r="N2">
        <f>(3/4)*20.08</f>
        <v>15.059999999999999</v>
      </c>
      <c r="O2">
        <f>SQRT(((I2-1)*POWER(K2,2) + (L2-1)*POWER(N2,2))/((I2-1)+(L2-1)))</f>
        <v>15.398549343201131</v>
      </c>
      <c r="P2">
        <f>(J2-M2)/O2</f>
        <v>-0.16754825032522563</v>
      </c>
      <c r="Q2">
        <f>P2*(1- (3/(4*(I2+L2)-9)))</f>
        <v>-0.16332434485484179</v>
      </c>
      <c r="R2">
        <f>SQRT((I2+L2)/(I2*L2)+(POWER(P2,2)/(2*(I2+L2))))</f>
        <v>0.35696324528871254</v>
      </c>
    </row>
    <row r="3" spans="1:18" x14ac:dyDescent="0.3">
      <c r="A3">
        <v>1</v>
      </c>
      <c r="B3" t="s">
        <v>335</v>
      </c>
      <c r="C3">
        <v>2018</v>
      </c>
      <c r="D3" t="s">
        <v>336</v>
      </c>
      <c r="E3" t="s">
        <v>320</v>
      </c>
      <c r="F3" t="s">
        <v>77</v>
      </c>
      <c r="G3" t="s">
        <v>337</v>
      </c>
      <c r="H3" t="s">
        <v>338</v>
      </c>
      <c r="I3">
        <v>2</v>
      </c>
      <c r="J3">
        <v>1</v>
      </c>
      <c r="K3">
        <f>(1.7-0.4)*(3/4)</f>
        <v>0.97499999999999987</v>
      </c>
      <c r="L3">
        <v>2</v>
      </c>
      <c r="M3">
        <v>0.3</v>
      </c>
      <c r="N3">
        <f>(0.4-0.3)*(3/4)</f>
        <v>7.5000000000000025E-2</v>
      </c>
      <c r="O3">
        <f t="shared" ref="O3" si="0">SQRT(((I3-1)*POWER(K3,2) + (L3-1)*POWER(N3,2))/((I3-1)+(L3-1)))</f>
        <v>0.6914658342969664</v>
      </c>
      <c r="P3">
        <f t="shared" ref="P3" si="1">(J3-M3)/O3</f>
        <v>1.0123421364870624</v>
      </c>
      <c r="Q3">
        <f t="shared" ref="Q3" si="2">P3*(1- (3/(4*(I3+L3)-9)))</f>
        <v>0.57848122084974996</v>
      </c>
      <c r="R3">
        <f t="shared" ref="R3" si="3">SQRT((I3+L3)/(I3*L3)+(POWER(P3,2)/(2*(I3+L3))))</f>
        <v>1.0621226742534964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B5582-C584-406A-ABB8-AA0332D414F1}">
  <dimension ref="A1:R12"/>
  <sheetViews>
    <sheetView topLeftCell="B1" workbookViewId="0">
      <selection activeCell="H23" sqref="H23"/>
    </sheetView>
  </sheetViews>
  <sheetFormatPr defaultRowHeight="14.4" x14ac:dyDescent="0.3"/>
  <cols>
    <col min="2" max="2" width="16.6640625" customWidth="1"/>
    <col min="8" max="8" width="49.7773437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17</v>
      </c>
      <c r="C2">
        <v>2015</v>
      </c>
      <c r="D2" t="s">
        <v>236</v>
      </c>
      <c r="E2" t="s">
        <v>19</v>
      </c>
      <c r="F2" t="s">
        <v>72</v>
      </c>
      <c r="G2" t="s">
        <v>237</v>
      </c>
      <c r="H2" t="s">
        <v>269</v>
      </c>
      <c r="I2">
        <v>23</v>
      </c>
      <c r="J2">
        <v>1</v>
      </c>
      <c r="K2">
        <f>1*(3/4)</f>
        <v>0.75</v>
      </c>
      <c r="L2">
        <v>19</v>
      </c>
      <c r="M2">
        <f>2/3</f>
        <v>0.66666666666666663</v>
      </c>
      <c r="N2">
        <f>0.5*(3/4)</f>
        <v>0.375</v>
      </c>
      <c r="O2">
        <f t="shared" ref="O2" si="0">SQRT(((I2-1)*POWER(K2,2) + (L2-1)*POWER(N2,2))/((I2-1)+(L2-1)))</f>
        <v>0.61045577235373905</v>
      </c>
      <c r="P2">
        <f t="shared" ref="P2" si="1">(J2-M2)/O2</f>
        <v>0.54604010385240109</v>
      </c>
      <c r="Q2">
        <f t="shared" ref="Q2" si="2">P2*(1- (3/(4*(I2+L2)-9)))</f>
        <v>0.53573746038348791</v>
      </c>
      <c r="R2">
        <f t="shared" ref="R2" si="3">SQRT((I2+L2)/(I2*L2)+(POWER(P2,2)/(2*(I2+L2))))</f>
        <v>0.31568870931055087</v>
      </c>
    </row>
    <row r="3" spans="1:18" x14ac:dyDescent="0.3">
      <c r="A3">
        <v>1</v>
      </c>
      <c r="B3" t="s">
        <v>270</v>
      </c>
      <c r="C3">
        <v>2016</v>
      </c>
      <c r="D3" t="s">
        <v>271</v>
      </c>
      <c r="E3" t="s">
        <v>28</v>
      </c>
      <c r="F3" t="s">
        <v>77</v>
      </c>
      <c r="G3" t="s">
        <v>272</v>
      </c>
      <c r="H3" t="s">
        <v>273</v>
      </c>
      <c r="I3">
        <v>25</v>
      </c>
      <c r="J3">
        <v>10</v>
      </c>
      <c r="K3">
        <f>4*(3/4)</f>
        <v>3</v>
      </c>
      <c r="L3">
        <v>25</v>
      </c>
      <c r="M3">
        <v>7</v>
      </c>
      <c r="N3">
        <f>2*(3/4)</f>
        <v>1.5</v>
      </c>
      <c r="O3">
        <f t="shared" ref="O3" si="4">SQRT(((I3-1)*POWER(K3,2) + (L3-1)*POWER(N3,2))/((I3-1)+(L3-1)))</f>
        <v>2.3717082451262845</v>
      </c>
      <c r="P3">
        <f t="shared" ref="P3" si="5">(J3-M3)/O3</f>
        <v>1.2649110640673518</v>
      </c>
      <c r="Q3">
        <f t="shared" ref="Q3" si="6">P3*(1- (3/(4*(I3+L3)-9)))</f>
        <v>1.2450433510191734</v>
      </c>
      <c r="R3">
        <f t="shared" ref="R3" si="7">SQRT((I3+L3)/(I3*L3)+(POWER(P3,2)/(2*(I3+L3))))</f>
        <v>0.30983866769659335</v>
      </c>
    </row>
    <row r="4" spans="1:18" x14ac:dyDescent="0.3">
      <c r="A4">
        <v>3</v>
      </c>
      <c r="B4" t="s">
        <v>274</v>
      </c>
      <c r="C4">
        <v>2014</v>
      </c>
      <c r="D4" t="s">
        <v>275</v>
      </c>
      <c r="E4" t="s">
        <v>276</v>
      </c>
      <c r="F4" t="s">
        <v>77</v>
      </c>
      <c r="G4" t="s">
        <v>131</v>
      </c>
      <c r="H4" t="s">
        <v>277</v>
      </c>
      <c r="I4">
        <v>12</v>
      </c>
      <c r="J4">
        <v>10</v>
      </c>
      <c r="K4">
        <f>4*(3/4)</f>
        <v>3</v>
      </c>
      <c r="L4">
        <v>11</v>
      </c>
      <c r="M4">
        <v>2.5</v>
      </c>
      <c r="N4">
        <f>3*(3/4)</f>
        <v>2.25</v>
      </c>
      <c r="O4">
        <f t="shared" ref="O4" si="8">SQRT(((I4-1)*POWER(K4,2) + (L4-1)*POWER(N4,2))/((I4-1)+(L4-1)))</f>
        <v>2.6692695630078278</v>
      </c>
      <c r="P4">
        <f t="shared" ref="P4" si="9">(J4-M4)/O4</f>
        <v>2.809757434745082</v>
      </c>
      <c r="Q4">
        <f t="shared" ref="Q4" si="10">P4*(1- (3/(4*(I4+L4)-9)))</f>
        <v>2.7081999371036933</v>
      </c>
      <c r="R4">
        <f t="shared" ref="R4" si="11">SQRT((I4+L4)/(I4*L4)+(POWER(P4,2)/(2*(I4+L4))))</f>
        <v>0.58810470003328008</v>
      </c>
    </row>
    <row r="5" spans="1:18" x14ac:dyDescent="0.3">
      <c r="A5">
        <v>4</v>
      </c>
      <c r="B5" t="s">
        <v>278</v>
      </c>
      <c r="C5">
        <v>2014</v>
      </c>
      <c r="D5" t="s">
        <v>279</v>
      </c>
      <c r="E5" t="s">
        <v>33</v>
      </c>
      <c r="F5" t="s">
        <v>77</v>
      </c>
      <c r="G5" t="s">
        <v>280</v>
      </c>
      <c r="H5" t="s">
        <v>281</v>
      </c>
      <c r="I5">
        <v>6</v>
      </c>
      <c r="J5">
        <v>20</v>
      </c>
      <c r="K5">
        <v>8</v>
      </c>
      <c r="L5">
        <v>6</v>
      </c>
      <c r="M5">
        <v>7.5</v>
      </c>
      <c r="N5">
        <v>7</v>
      </c>
      <c r="O5">
        <f t="shared" ref="O5" si="12">SQRT(((I5-1)*POWER(K5,2) + (L5-1)*POWER(N5,2))/((I5-1)+(L5-1)))</f>
        <v>7.5166481891864541</v>
      </c>
      <c r="P5">
        <f t="shared" ref="P5" si="13">(J5-M5)/O5</f>
        <v>1.6629752630943482</v>
      </c>
      <c r="Q5">
        <f t="shared" ref="Q5" si="14">P5*(1- (3/(4*(I5+L5)-9)))</f>
        <v>1.5350540890101676</v>
      </c>
      <c r="R5">
        <f t="shared" ref="R5" si="15">SQRT((I5+L5)/(I5*L5)+(POWER(P5,2)/(2*(I5+L5))))</f>
        <v>0.66974767405542723</v>
      </c>
    </row>
    <row r="6" spans="1:18" x14ac:dyDescent="0.3">
      <c r="A6">
        <v>5</v>
      </c>
      <c r="B6" t="s">
        <v>282</v>
      </c>
      <c r="C6">
        <v>2007</v>
      </c>
      <c r="D6" t="s">
        <v>283</v>
      </c>
      <c r="E6" t="s">
        <v>284</v>
      </c>
      <c r="F6" t="s">
        <v>147</v>
      </c>
      <c r="G6" t="s">
        <v>285</v>
      </c>
      <c r="H6" t="s">
        <v>286</v>
      </c>
      <c r="I6">
        <v>12</v>
      </c>
      <c r="J6">
        <v>122</v>
      </c>
      <c r="K6">
        <f>12*(3/4)</f>
        <v>9</v>
      </c>
      <c r="L6">
        <v>7</v>
      </c>
      <c r="M6">
        <v>88</v>
      </c>
      <c r="N6">
        <f>10*(3/4)</f>
        <v>7.5</v>
      </c>
      <c r="O6">
        <f t="shared" ref="O6:O8" si="16">SQRT(((I6-1)*POWER(K6,2) + (L6-1)*POWER(N6,2))/((I6-1)+(L6-1)))</f>
        <v>8.5008650078890753</v>
      </c>
      <c r="P6">
        <f t="shared" ref="P6:P8" si="17">(J6-M6)/O6</f>
        <v>3.9995929788847264</v>
      </c>
      <c r="Q6">
        <f t="shared" ref="Q6:Q8" si="18">P6*(1- (3/(4*(I6+L6)-9)))</f>
        <v>3.8205067260988432</v>
      </c>
      <c r="R6">
        <f t="shared" ref="R6:R8" si="19">SQRT((I6+L6)/(I6*L6)+(POWER(P6,2)/(2*(I6+L6))))</f>
        <v>0.80446095211216628</v>
      </c>
    </row>
    <row r="7" spans="1:18" x14ac:dyDescent="0.3">
      <c r="A7">
        <v>6</v>
      </c>
      <c r="B7" t="s">
        <v>287</v>
      </c>
      <c r="C7">
        <v>2018</v>
      </c>
      <c r="D7" t="s">
        <v>289</v>
      </c>
      <c r="E7" t="s">
        <v>288</v>
      </c>
      <c r="F7" t="s">
        <v>72</v>
      </c>
      <c r="G7" t="s">
        <v>291</v>
      </c>
      <c r="H7" t="s">
        <v>290</v>
      </c>
      <c r="I7">
        <v>6</v>
      </c>
      <c r="J7">
        <v>0.5</v>
      </c>
      <c r="K7">
        <f>2.9*(3/4)</f>
        <v>2.1749999999999998</v>
      </c>
      <c r="L7">
        <v>5</v>
      </c>
      <c r="M7">
        <v>-0.1</v>
      </c>
      <c r="N7">
        <f>1.5*(3/4)</f>
        <v>1.125</v>
      </c>
      <c r="O7">
        <f t="shared" si="16"/>
        <v>1.7862320677896251</v>
      </c>
      <c r="P7">
        <f t="shared" si="17"/>
        <v>0.33590260236592362</v>
      </c>
      <c r="Q7">
        <f t="shared" si="18"/>
        <v>0.30711095073455874</v>
      </c>
      <c r="R7">
        <f t="shared" si="19"/>
        <v>0.60975021804546647</v>
      </c>
    </row>
    <row r="8" spans="1:18" x14ac:dyDescent="0.3">
      <c r="A8">
        <v>7</v>
      </c>
      <c r="B8" t="s">
        <v>342</v>
      </c>
      <c r="C8">
        <v>2017</v>
      </c>
      <c r="D8" t="s">
        <v>343</v>
      </c>
      <c r="E8" t="s">
        <v>33</v>
      </c>
      <c r="H8" t="s">
        <v>344</v>
      </c>
      <c r="I8">
        <v>8</v>
      </c>
      <c r="J8">
        <v>8.16</v>
      </c>
      <c r="K8">
        <f>6*(3/4)</f>
        <v>4.5</v>
      </c>
      <c r="L8">
        <v>8</v>
      </c>
      <c r="M8">
        <v>3.06</v>
      </c>
      <c r="N8">
        <f>1.4*(3/4)</f>
        <v>1.0499999999999998</v>
      </c>
      <c r="O8">
        <f t="shared" si="16"/>
        <v>3.2674531366187947</v>
      </c>
      <c r="P8">
        <f t="shared" si="17"/>
        <v>1.5608487059366212</v>
      </c>
      <c r="Q8">
        <f t="shared" si="18"/>
        <v>1.4757115037946236</v>
      </c>
      <c r="R8">
        <f t="shared" si="19"/>
        <v>0.57108035453712713</v>
      </c>
    </row>
    <row r="9" spans="1:18" x14ac:dyDescent="0.3">
      <c r="A9">
        <v>8</v>
      </c>
      <c r="B9" t="s">
        <v>270</v>
      </c>
      <c r="C9">
        <v>2018</v>
      </c>
      <c r="D9" t="s">
        <v>356</v>
      </c>
      <c r="E9" t="s">
        <v>198</v>
      </c>
      <c r="F9" t="s">
        <v>77</v>
      </c>
      <c r="G9" t="s">
        <v>357</v>
      </c>
      <c r="H9" t="s">
        <v>358</v>
      </c>
      <c r="I9">
        <v>25</v>
      </c>
      <c r="J9">
        <v>7.52</v>
      </c>
      <c r="K9">
        <v>0.55000000000000004</v>
      </c>
      <c r="L9">
        <v>25</v>
      </c>
      <c r="M9">
        <v>9.8800000000000008</v>
      </c>
      <c r="N9">
        <v>0.82</v>
      </c>
      <c r="O9">
        <f t="shared" ref="O9" si="20">SQRT(((I9-1)*POWER(K9,2) + (L9-1)*POWER(N9,2))/((I9-1)+(L9-1)))</f>
        <v>0.69817619552660204</v>
      </c>
      <c r="P9">
        <f t="shared" ref="P9" si="21">(J9-M9)/O9</f>
        <v>-3.3802355553242003</v>
      </c>
      <c r="Q9">
        <f t="shared" ref="Q9" si="22">P9*(1- (3/(4*(I9+L9)-9)))</f>
        <v>-3.3271428502667524</v>
      </c>
      <c r="R9">
        <f t="shared" ref="R9" si="23">SQRT((I9+L9)/(I9*L9)+(POWER(P9,2)/(2*(I9+L9))))</f>
        <v>0.44074927577340278</v>
      </c>
    </row>
    <row r="10" spans="1:18" x14ac:dyDescent="0.3">
      <c r="A10">
        <v>9</v>
      </c>
      <c r="B10" t="s">
        <v>359</v>
      </c>
      <c r="C10">
        <v>2020</v>
      </c>
      <c r="D10" t="s">
        <v>360</v>
      </c>
      <c r="E10" t="s">
        <v>361</v>
      </c>
      <c r="F10" t="s">
        <v>147</v>
      </c>
      <c r="G10" t="s">
        <v>84</v>
      </c>
      <c r="H10" t="s">
        <v>362</v>
      </c>
      <c r="I10">
        <f>30*2</f>
        <v>60</v>
      </c>
      <c r="J10">
        <v>12</v>
      </c>
      <c r="K10">
        <v>7.5</v>
      </c>
      <c r="L10">
        <f>15*2</f>
        <v>30</v>
      </c>
      <c r="M10">
        <v>5</v>
      </c>
      <c r="N10">
        <v>2.5</v>
      </c>
      <c r="O10">
        <f t="shared" ref="O10" si="24">SQRT(((I10-1)*POWER(K10,2) + (L10-1)*POWER(N10,2))/((I10-1)+(L10-1)))</f>
        <v>6.3065622388689127</v>
      </c>
      <c r="P10">
        <f t="shared" ref="P10" si="25">(J10-M10)/O10</f>
        <v>1.1099549540409286</v>
      </c>
      <c r="Q10">
        <f t="shared" ref="Q10" si="26">P10*(1- (3/(4*(I10+L10)-9)))</f>
        <v>1.1004681595619463</v>
      </c>
      <c r="R10">
        <f t="shared" ref="R10" si="27">SQRT((I10+L10)/(I10*L10)+(POWER(P10,2)/(2*(I10+L10))))</f>
        <v>0.23842072989663557</v>
      </c>
    </row>
    <row r="11" spans="1:18" x14ac:dyDescent="0.3">
      <c r="A11">
        <v>10</v>
      </c>
      <c r="B11" t="s">
        <v>363</v>
      </c>
      <c r="C11">
        <v>2013</v>
      </c>
      <c r="D11" t="s">
        <v>364</v>
      </c>
      <c r="E11" t="s">
        <v>33</v>
      </c>
      <c r="F11" t="s">
        <v>77</v>
      </c>
      <c r="G11" t="s">
        <v>365</v>
      </c>
      <c r="H11" t="s">
        <v>366</v>
      </c>
      <c r="I11">
        <f>10*10</f>
        <v>100</v>
      </c>
      <c r="J11">
        <v>3.25</v>
      </c>
      <c r="K11">
        <v>1.59</v>
      </c>
      <c r="L11">
        <f>10*10</f>
        <v>100</v>
      </c>
      <c r="M11">
        <v>2.8</v>
      </c>
      <c r="N11">
        <v>1.39</v>
      </c>
      <c r="O11">
        <f t="shared" ref="O11" si="28">SQRT(((I11-1)*POWER(K11,2) + (L11-1)*POWER(N11,2))/((I11-1)+(L11-1)))</f>
        <v>1.4933519344079613</v>
      </c>
      <c r="P11">
        <f t="shared" ref="P11" si="29">(J11-M11)/O11</f>
        <v>0.30133553225576559</v>
      </c>
      <c r="Q11">
        <f t="shared" ref="Q11" si="30">P11*(1- (3/(4*(I11+L11)-9)))</f>
        <v>0.30019266677312678</v>
      </c>
      <c r="R11">
        <f t="shared" ref="R11" si="31">SQRT((I11+L11)/(I11*L11)+(POWER(P11,2)/(2*(I11+L11))))</f>
        <v>0.14222168525755721</v>
      </c>
    </row>
    <row r="12" spans="1:18" x14ac:dyDescent="0.3">
      <c r="A12">
        <v>11</v>
      </c>
      <c r="B12" t="s">
        <v>367</v>
      </c>
      <c r="C12">
        <v>2019</v>
      </c>
      <c r="D12" t="s">
        <v>369</v>
      </c>
      <c r="E12" t="s">
        <v>368</v>
      </c>
      <c r="F12" t="s">
        <v>136</v>
      </c>
      <c r="G12" t="s">
        <v>370</v>
      </c>
      <c r="H12" t="s">
        <v>371</v>
      </c>
      <c r="I12">
        <v>10</v>
      </c>
      <c r="J12">
        <v>1063</v>
      </c>
      <c r="K12">
        <v>120</v>
      </c>
      <c r="L12">
        <v>12</v>
      </c>
      <c r="M12">
        <v>371</v>
      </c>
      <c r="N12">
        <v>68</v>
      </c>
      <c r="O12">
        <f t="shared" ref="O12" si="32">SQRT(((I12-1)*POWER(K12,2) + (L12-1)*POWER(N12,2))/((I12-1)+(L12-1)))</f>
        <v>94.990525843370293</v>
      </c>
      <c r="P12">
        <f t="shared" ref="P12" si="33">(J12-M12)/O12</f>
        <v>7.2849370382582945</v>
      </c>
      <c r="Q12">
        <f t="shared" ref="Q12" si="34">P12*(1- (3/(4*(I12+L12)-9)))</f>
        <v>7.0082938595902577</v>
      </c>
      <c r="R12">
        <f t="shared" ref="R12" si="35">SQRT((I12+L12)/(I12*L12)+(POWER(P12,2)/(2*(I12+L12))))</f>
        <v>1.1787606580840262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A9462-4AD5-4A95-B8F1-A29FBB82FC76}">
  <dimension ref="A1:R2"/>
  <sheetViews>
    <sheetView workbookViewId="0">
      <selection activeCell="R1" sqref="A1:R1"/>
    </sheetView>
  </sheetViews>
  <sheetFormatPr defaultRowHeight="14.4" x14ac:dyDescent="0.3"/>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8</v>
      </c>
      <c r="C2">
        <v>2022</v>
      </c>
      <c r="D2" t="s">
        <v>67</v>
      </c>
      <c r="E2" t="s">
        <v>14</v>
      </c>
      <c r="F2" t="s">
        <v>68</v>
      </c>
      <c r="G2" t="s">
        <v>20</v>
      </c>
      <c r="H2" t="s">
        <v>268</v>
      </c>
      <c r="I2">
        <v>30</v>
      </c>
      <c r="J2">
        <v>1.8</v>
      </c>
      <c r="K2">
        <v>0.85</v>
      </c>
      <c r="L2">
        <v>30</v>
      </c>
      <c r="M2">
        <v>4.13</v>
      </c>
      <c r="N2">
        <v>0.68</v>
      </c>
      <c r="O2">
        <f t="shared" ref="O2" si="0">SQRT(((I2-1)*POWER(K2,2) + (L2-1)*POWER(N2,2))/((I2-1)+(L2-1)))</f>
        <v>0.76970773674168036</v>
      </c>
      <c r="P2">
        <f t="shared" ref="P2" si="1">(J2-M2)/O2</f>
        <v>-3.0271230088752055</v>
      </c>
      <c r="Q2">
        <f t="shared" ref="Q2" si="2">P2*(1- (3/(4*(I2+L2)-9)))</f>
        <v>-2.9878097230456575</v>
      </c>
      <c r="R2">
        <f t="shared" ref="R2" si="3">SQRT((I2+L2)/(I2*L2)+(POWER(P2,2)/(2*(I2+L2))))</f>
        <v>0.37819168101706574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254F-A5B3-4B18-98B0-711AB8CE8C49}">
  <dimension ref="A1:R10"/>
  <sheetViews>
    <sheetView workbookViewId="0">
      <selection activeCell="R13" sqref="R13"/>
    </sheetView>
  </sheetViews>
  <sheetFormatPr defaultRowHeight="14.4" x14ac:dyDescent="0.3"/>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308</v>
      </c>
      <c r="C2">
        <v>2016</v>
      </c>
      <c r="D2" t="s">
        <v>309</v>
      </c>
      <c r="E2" t="s">
        <v>310</v>
      </c>
      <c r="F2" t="s">
        <v>77</v>
      </c>
      <c r="H2" t="s">
        <v>311</v>
      </c>
      <c r="I2">
        <v>15</v>
      </c>
      <c r="J2">
        <v>48.6</v>
      </c>
      <c r="K2">
        <v>8.8000000000000007</v>
      </c>
      <c r="L2">
        <v>6</v>
      </c>
      <c r="M2">
        <v>65.3</v>
      </c>
      <c r="N2">
        <v>10.4</v>
      </c>
      <c r="O2">
        <f t="shared" ref="O2" si="0">SQRT(((I2-1)*POWER(K2,2) + (L2-1)*POWER(N2,2))/((I2-1)+(L2-1)))</f>
        <v>9.2479300671185758</v>
      </c>
      <c r="P2">
        <f t="shared" ref="P2" si="1">(J2-M2)/O2</f>
        <v>-1.8058095031857544</v>
      </c>
      <c r="Q2">
        <f t="shared" ref="Q2" si="2">P2*(1- (3/(4*(I2+L2)-9)))</f>
        <v>-1.7335771230583241</v>
      </c>
      <c r="R2">
        <f t="shared" ref="R2" si="3">SQRT((I2+L2)/(I2*L2)+(POWER(P2,2)/(2*(I2+L2))))</f>
        <v>0.55765128124243823</v>
      </c>
    </row>
    <row r="3" spans="1:18" x14ac:dyDescent="0.3">
      <c r="A3">
        <v>1</v>
      </c>
      <c r="B3" t="s">
        <v>312</v>
      </c>
      <c r="C3">
        <v>2021</v>
      </c>
      <c r="D3" t="s">
        <v>313</v>
      </c>
      <c r="E3" t="s">
        <v>28</v>
      </c>
      <c r="H3" t="s">
        <v>314</v>
      </c>
      <c r="I3">
        <v>6</v>
      </c>
      <c r="J3">
        <v>7.3</v>
      </c>
      <c r="K3">
        <v>2</v>
      </c>
      <c r="L3">
        <v>9</v>
      </c>
      <c r="M3">
        <v>21</v>
      </c>
      <c r="N3">
        <v>4</v>
      </c>
      <c r="O3">
        <f t="shared" ref="O3" si="4">SQRT(((I3-1)*POWER(K3,2) + (L3-1)*POWER(N3,2))/((I3-1)+(L3-1)))</f>
        <v>3.3741095691478935</v>
      </c>
      <c r="P3">
        <f t="shared" ref="P3" si="5">(J3-M3)/O3</f>
        <v>-4.0603305017921612</v>
      </c>
      <c r="Q3">
        <f t="shared" ref="Q3" si="6">P3*(1- (3/(4*(I3+L3)-9)))</f>
        <v>-3.8214875310985046</v>
      </c>
      <c r="R3">
        <f t="shared" ref="R3" si="7">SQRT((I3+L3)/(I3*L3)+(POWER(P3,2)/(2*(I3+L3))))</f>
        <v>0.9095716412523922</v>
      </c>
    </row>
    <row r="4" spans="1:18" x14ac:dyDescent="0.3">
      <c r="A4">
        <v>2</v>
      </c>
      <c r="B4" t="s">
        <v>315</v>
      </c>
      <c r="C4">
        <v>2011</v>
      </c>
      <c r="D4" t="s">
        <v>316</v>
      </c>
      <c r="E4" t="s">
        <v>161</v>
      </c>
      <c r="F4" t="s">
        <v>77</v>
      </c>
      <c r="G4" t="s">
        <v>131</v>
      </c>
      <c r="H4" t="s">
        <v>317</v>
      </c>
      <c r="I4">
        <v>10</v>
      </c>
      <c r="J4">
        <v>16.3</v>
      </c>
      <c r="K4">
        <v>3.8</v>
      </c>
      <c r="L4">
        <v>10</v>
      </c>
      <c r="M4">
        <v>27.3</v>
      </c>
      <c r="N4">
        <v>5.7</v>
      </c>
      <c r="O4">
        <f t="shared" ref="O4" si="8">SQRT(((I4-1)*POWER(K4,2) + (L4-1)*POWER(N4,2))/((I4-1)+(L4-1)))</f>
        <v>4.8440685379131452</v>
      </c>
      <c r="P4">
        <f t="shared" ref="P4" si="9">(J4-M4)/O4</f>
        <v>-2.2708184068631838</v>
      </c>
      <c r="Q4">
        <f t="shared" ref="Q4" si="10">P4*(1- (3/(4*(I4+L4)-9)))</f>
        <v>-2.1748683333337535</v>
      </c>
      <c r="R4">
        <f t="shared" ref="R4" si="11">SQRT((I4+L4)/(I4*L4)+(POWER(P4,2)/(2*(I4+L4))))</f>
        <v>0.5735114697403324</v>
      </c>
    </row>
    <row r="5" spans="1:18" x14ac:dyDescent="0.3">
      <c r="A5">
        <v>3</v>
      </c>
      <c r="B5" t="s">
        <v>318</v>
      </c>
      <c r="C5">
        <v>2010</v>
      </c>
      <c r="D5" t="s">
        <v>319</v>
      </c>
      <c r="E5" t="s">
        <v>320</v>
      </c>
      <c r="H5" t="s">
        <v>321</v>
      </c>
      <c r="I5">
        <v>10</v>
      </c>
      <c r="J5">
        <v>15.5</v>
      </c>
      <c r="K5">
        <f>(19-12)*(3/4)</f>
        <v>5.25</v>
      </c>
      <c r="L5">
        <v>10</v>
      </c>
      <c r="M5">
        <v>36</v>
      </c>
      <c r="N5">
        <f>(36-35)*(3/4)</f>
        <v>0.75</v>
      </c>
      <c r="O5">
        <f t="shared" ref="O5" si="12">SQRT(((I5-1)*POWER(K5,2) + (L5-1)*POWER(N5,2))/((I5-1)+(L5-1)))</f>
        <v>3.75</v>
      </c>
      <c r="P5">
        <f t="shared" ref="P5" si="13">(J5-M5)/O5</f>
        <v>-5.4666666666666668</v>
      </c>
      <c r="Q5">
        <f t="shared" ref="Q5" si="14">P5*(1- (3/(4*(I5+L5)-9)))</f>
        <v>-5.2356807511737093</v>
      </c>
      <c r="R5">
        <f t="shared" ref="R5" si="15">SQRT((I5+L5)/(I5*L5)+(POWER(P5,2)/(2*(I5+L5))))</f>
        <v>0.97319633739092493</v>
      </c>
    </row>
    <row r="6" spans="1:18" x14ac:dyDescent="0.3">
      <c r="A6">
        <v>4</v>
      </c>
      <c r="B6" t="s">
        <v>322</v>
      </c>
      <c r="C6">
        <v>2009</v>
      </c>
      <c r="D6" t="s">
        <v>323</v>
      </c>
      <c r="E6" t="s">
        <v>324</v>
      </c>
      <c r="H6" t="s">
        <v>325</v>
      </c>
      <c r="I6">
        <v>8</v>
      </c>
      <c r="J6">
        <v>42.75</v>
      </c>
      <c r="K6">
        <v>5</v>
      </c>
      <c r="L6">
        <v>5</v>
      </c>
      <c r="M6">
        <v>82.8</v>
      </c>
      <c r="N6">
        <f>25*(3/5)</f>
        <v>15</v>
      </c>
      <c r="O6">
        <f t="shared" ref="O6" si="16">SQRT(((I6-1)*POWER(K6,2) + (L6-1)*POWER(N6,2))/((I6-1)+(L6-1)))</f>
        <v>9.8857105322416121</v>
      </c>
      <c r="P6">
        <f t="shared" ref="P6" si="17">(J6-M6)/O6</f>
        <v>-4.0513021162595733</v>
      </c>
      <c r="Q6">
        <f t="shared" ref="Q6" si="18">P6*(1- (3/(4*(I6+L6)-9)))</f>
        <v>-3.7686531314042542</v>
      </c>
      <c r="R6">
        <f t="shared" ref="R6" si="19">SQRT((I6+L6)/(I6*L6)+(POWER(P6,2)/(2*(I6+L6))))</f>
        <v>0.977891154026579</v>
      </c>
    </row>
    <row r="7" spans="1:18" x14ac:dyDescent="0.3">
      <c r="A7">
        <v>5</v>
      </c>
      <c r="B7" t="s">
        <v>326</v>
      </c>
      <c r="C7">
        <v>2008</v>
      </c>
      <c r="D7" t="s">
        <v>327</v>
      </c>
      <c r="E7" t="s">
        <v>328</v>
      </c>
      <c r="H7" t="s">
        <v>329</v>
      </c>
      <c r="I7">
        <v>8</v>
      </c>
      <c r="J7">
        <v>35</v>
      </c>
      <c r="K7">
        <f>15*(3/4)</f>
        <v>11.25</v>
      </c>
      <c r="L7">
        <v>6</v>
      </c>
      <c r="M7">
        <v>65</v>
      </c>
      <c r="N7">
        <f>12*(3/4)</f>
        <v>9</v>
      </c>
      <c r="O7">
        <f t="shared" ref="O7:O8" si="20">SQRT(((I7-1)*POWER(K7,2) + (L7-1)*POWER(N7,2))/((I7-1)+(L7-1)))</f>
        <v>10.371987514454498</v>
      </c>
      <c r="P7">
        <f t="shared" ref="P7:P8" si="21">(J7-M7)/O7</f>
        <v>-2.892406104248749</v>
      </c>
      <c r="Q7">
        <f t="shared" ref="Q7:Q8" si="22">P7*(1- (3/(4*(I7+L7)-9)))</f>
        <v>-2.7077844380201057</v>
      </c>
      <c r="R7">
        <f t="shared" ref="R7:R8" si="23">SQRT((I7+L7)/(I7*L7)+(POWER(P7,2)/(2*(I7+L7))))</f>
        <v>0.768409297058403</v>
      </c>
    </row>
    <row r="8" spans="1:18" x14ac:dyDescent="0.3">
      <c r="A8">
        <v>6</v>
      </c>
      <c r="B8" t="s">
        <v>330</v>
      </c>
      <c r="C8">
        <v>2005</v>
      </c>
      <c r="D8" t="s">
        <v>331</v>
      </c>
      <c r="E8" t="s">
        <v>332</v>
      </c>
      <c r="G8" t="s">
        <v>333</v>
      </c>
      <c r="H8" t="s">
        <v>334</v>
      </c>
      <c r="I8">
        <v>12</v>
      </c>
      <c r="J8">
        <v>15.5</v>
      </c>
      <c r="K8">
        <f>(19.5-13.25)*(3/4)</f>
        <v>4.6875</v>
      </c>
      <c r="L8">
        <v>13</v>
      </c>
      <c r="M8">
        <v>24</v>
      </c>
      <c r="N8">
        <f>(34-21)*(3/4)</f>
        <v>9.75</v>
      </c>
      <c r="O8">
        <f t="shared" si="20"/>
        <v>7.752837401347918</v>
      </c>
      <c r="P8">
        <f t="shared" si="21"/>
        <v>-1.0963727935945335</v>
      </c>
      <c r="Q8">
        <f t="shared" si="22"/>
        <v>-1.0602286355639445</v>
      </c>
      <c r="R8">
        <f t="shared" si="23"/>
        <v>0.42929835348752027</v>
      </c>
    </row>
    <row r="9" spans="1:18" x14ac:dyDescent="0.3">
      <c r="A9">
        <v>7</v>
      </c>
      <c r="B9" t="s">
        <v>339</v>
      </c>
      <c r="C9">
        <v>2013</v>
      </c>
      <c r="D9" t="s">
        <v>340</v>
      </c>
      <c r="E9" t="s">
        <v>146</v>
      </c>
      <c r="F9" t="s">
        <v>77</v>
      </c>
      <c r="G9" t="s">
        <v>337</v>
      </c>
      <c r="H9" t="s">
        <v>341</v>
      </c>
      <c r="I9">
        <v>22</v>
      </c>
      <c r="J9">
        <v>24.5</v>
      </c>
      <c r="K9">
        <f>(27-21)*(3/4)</f>
        <v>4.5</v>
      </c>
      <c r="L9">
        <v>30</v>
      </c>
      <c r="M9">
        <v>31</v>
      </c>
      <c r="N9">
        <f>(32-29)*(3/4)</f>
        <v>2.25</v>
      </c>
      <c r="O9">
        <f t="shared" ref="O9" si="24">SQRT(((I9-1)*POWER(K9,2) + (L9-1)*POWER(N9,2))/((I9-1)+(L9-1)))</f>
        <v>3.3824916851339042</v>
      </c>
      <c r="P9">
        <f t="shared" ref="P9" si="25">(J9-M9)/O9</f>
        <v>-1.9216603040201359</v>
      </c>
      <c r="Q9">
        <f t="shared" ref="Q9" si="26">P9*(1- (3/(4*(I9+L9)-9)))</f>
        <v>-1.8926905506931992</v>
      </c>
      <c r="R9">
        <f t="shared" ref="R9" si="27">SQRT((I9+L9)/(I9*L9)+(POWER(P9,2)/(2*(I9+L9))))</f>
        <v>0.33807597174739257</v>
      </c>
    </row>
    <row r="10" spans="1:18" x14ac:dyDescent="0.3">
      <c r="A10">
        <v>8</v>
      </c>
      <c r="B10" t="s">
        <v>345</v>
      </c>
      <c r="C10">
        <v>2014</v>
      </c>
      <c r="D10" t="s">
        <v>346</v>
      </c>
      <c r="E10" t="s">
        <v>254</v>
      </c>
      <c r="F10" t="s">
        <v>77</v>
      </c>
      <c r="G10" t="s">
        <v>347</v>
      </c>
      <c r="H10" t="s">
        <v>348</v>
      </c>
      <c r="I10">
        <v>29</v>
      </c>
      <c r="J10">
        <v>7.5</v>
      </c>
      <c r="K10">
        <v>0.77</v>
      </c>
      <c r="L10">
        <v>16</v>
      </c>
      <c r="M10">
        <v>8.8000000000000007</v>
      </c>
      <c r="N10">
        <v>0.49</v>
      </c>
      <c r="O10">
        <f t="shared" ref="O10" si="28">SQRT(((I10-1)*POWER(K10,2) + (L10-1)*POWER(N10,2))/((I10-1)+(L10-1)))</f>
        <v>0.68544163322498841</v>
      </c>
      <c r="P10">
        <f t="shared" ref="P10" si="29">(J10-M10)/O10</f>
        <v>-1.8965874510474774</v>
      </c>
      <c r="Q10">
        <f t="shared" ref="Q10" si="30">P10*(1- (3/(4*(I10+L10)-9)))</f>
        <v>-1.8633139869940127</v>
      </c>
      <c r="R10">
        <f t="shared" ref="R10" si="31">SQRT((I10+L10)/(I10*L10)+(POWER(P10,2)/(2*(I10+L10))))</f>
        <v>0.37006744483393889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BB68-8CAB-46D4-B803-BAB5987C358F}">
  <dimension ref="A1:R19"/>
  <sheetViews>
    <sheetView workbookViewId="0">
      <selection activeCell="B19" sqref="B19:R19"/>
    </sheetView>
  </sheetViews>
  <sheetFormatPr defaultRowHeight="14.4" x14ac:dyDescent="0.3"/>
  <cols>
    <col min="2" max="2" width="25.554687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159</v>
      </c>
      <c r="C2">
        <v>2007</v>
      </c>
      <c r="D2" t="s">
        <v>160</v>
      </c>
      <c r="E2" t="s">
        <v>161</v>
      </c>
      <c r="F2" t="s">
        <v>77</v>
      </c>
      <c r="G2" t="s">
        <v>157</v>
      </c>
      <c r="H2" t="s">
        <v>162</v>
      </c>
      <c r="I2">
        <v>14</v>
      </c>
      <c r="J2">
        <v>440</v>
      </c>
      <c r="K2">
        <f>(565-391)*(3/4)</f>
        <v>130.5</v>
      </c>
      <c r="L2">
        <v>33</v>
      </c>
      <c r="M2">
        <v>423</v>
      </c>
      <c r="N2">
        <f>(667-274)*(3/4)</f>
        <v>294.75</v>
      </c>
      <c r="O2">
        <f t="shared" ref="O2" si="0">SQRT(((I2-1)*POWER(K2,2) + (L2-1)*POWER(N2,2))/((I2-1)+(L2-1)))</f>
        <v>258.26236659645167</v>
      </c>
      <c r="P2">
        <f t="shared" ref="P2" si="1">(J2-M2)/O2</f>
        <v>6.58245342673692E-2</v>
      </c>
      <c r="Q2">
        <f t="shared" ref="Q2" si="2">P2*(1- (3/(4*(I2+L2)-9)))</f>
        <v>6.4721329782441217E-2</v>
      </c>
      <c r="R2">
        <f t="shared" ref="R2" si="3">SQRT((I2+L2)/(I2*L2)+(POWER(P2,2)/(2*(I2+L2))))</f>
        <v>0.31902616834043496</v>
      </c>
    </row>
    <row r="3" spans="1:18" x14ac:dyDescent="0.3">
      <c r="A3">
        <v>1</v>
      </c>
      <c r="B3" t="s">
        <v>47</v>
      </c>
      <c r="C3">
        <v>2004</v>
      </c>
      <c r="D3" t="s">
        <v>48</v>
      </c>
      <c r="E3" t="s">
        <v>38</v>
      </c>
      <c r="F3" t="s">
        <v>77</v>
      </c>
      <c r="G3" t="s">
        <v>39</v>
      </c>
      <c r="H3" t="s">
        <v>49</v>
      </c>
      <c r="I3">
        <v>13</v>
      </c>
      <c r="J3">
        <v>10050</v>
      </c>
      <c r="K3">
        <v>7554.5</v>
      </c>
      <c r="L3">
        <v>6</v>
      </c>
      <c r="M3">
        <v>1299.23</v>
      </c>
      <c r="N3">
        <v>437.7</v>
      </c>
      <c r="O3">
        <f t="shared" ref="O3:O19" si="4">SQRT(((I3-1)*POWER(K3,2) + (L3-1)*POWER(N3,2))/((I3-1)+(L3-1)))</f>
        <v>6351.4868544117062</v>
      </c>
      <c r="P3">
        <f t="shared" ref="P3:P19" si="5">(J3-M3)/O3</f>
        <v>1.3777514148394665</v>
      </c>
      <c r="Q3">
        <f t="shared" ref="Q3:Q19" si="6">P3*(1- (3/(4*(I3+L3)-9)))</f>
        <v>1.3160610529809829</v>
      </c>
      <c r="R3">
        <f t="shared" ref="R3:R19" si="7">SQRT((I3+L3)/(I3*L3)+(POWER(P3,2)/(2*(I3+L3))))</f>
        <v>0.54179548524236587</v>
      </c>
    </row>
    <row r="4" spans="1:18" x14ac:dyDescent="0.3">
      <c r="A4">
        <v>2</v>
      </c>
      <c r="B4" t="s">
        <v>36</v>
      </c>
      <c r="C4">
        <v>2002</v>
      </c>
      <c r="D4" t="s">
        <v>37</v>
      </c>
      <c r="E4" t="s">
        <v>38</v>
      </c>
      <c r="F4" t="s">
        <v>77</v>
      </c>
      <c r="G4" t="s">
        <v>157</v>
      </c>
      <c r="H4" t="s">
        <v>158</v>
      </c>
      <c r="I4">
        <v>15</v>
      </c>
      <c r="J4">
        <v>1329.5</v>
      </c>
      <c r="K4">
        <v>403.9</v>
      </c>
      <c r="L4">
        <v>9</v>
      </c>
      <c r="M4">
        <v>422.7</v>
      </c>
      <c r="N4">
        <v>117.3</v>
      </c>
      <c r="O4">
        <f t="shared" si="4"/>
        <v>329.87375408838398</v>
      </c>
      <c r="P4">
        <f t="shared" si="5"/>
        <v>2.7489304279631734</v>
      </c>
      <c r="Q4">
        <f t="shared" si="6"/>
        <v>2.6541397235506503</v>
      </c>
      <c r="R4">
        <f t="shared" si="7"/>
        <v>0.57897092311695464</v>
      </c>
    </row>
    <row r="5" spans="1:18" x14ac:dyDescent="0.3">
      <c r="A5">
        <v>3</v>
      </c>
      <c r="B5" t="s">
        <v>149</v>
      </c>
      <c r="C5">
        <v>2012</v>
      </c>
      <c r="D5" t="s">
        <v>150</v>
      </c>
      <c r="E5" t="s">
        <v>87</v>
      </c>
      <c r="F5" t="s">
        <v>77</v>
      </c>
      <c r="G5" t="s">
        <v>131</v>
      </c>
      <c r="H5" t="s">
        <v>151</v>
      </c>
      <c r="I5">
        <v>4</v>
      </c>
      <c r="J5">
        <v>203.06</v>
      </c>
      <c r="K5">
        <v>16.79</v>
      </c>
      <c r="L5">
        <v>4</v>
      </c>
      <c r="M5">
        <v>55.54</v>
      </c>
      <c r="N5">
        <v>23.47</v>
      </c>
      <c r="O5">
        <f t="shared" si="4"/>
        <v>20.405207668632045</v>
      </c>
      <c r="P5">
        <f t="shared" si="5"/>
        <v>7.229527010733416</v>
      </c>
      <c r="Q5">
        <f t="shared" si="6"/>
        <v>6.2865452267247095</v>
      </c>
      <c r="R5">
        <f t="shared" si="7"/>
        <v>1.9407804615496191</v>
      </c>
    </row>
    <row r="6" spans="1:18" x14ac:dyDescent="0.3">
      <c r="A6">
        <v>4</v>
      </c>
      <c r="B6" t="s">
        <v>306</v>
      </c>
      <c r="C6">
        <v>2021</v>
      </c>
      <c r="D6" t="s">
        <v>167</v>
      </c>
      <c r="E6" t="s">
        <v>87</v>
      </c>
      <c r="F6" t="s">
        <v>147</v>
      </c>
      <c r="H6" t="s">
        <v>168</v>
      </c>
      <c r="I6">
        <v>24</v>
      </c>
      <c r="J6">
        <v>12000</v>
      </c>
      <c r="K6">
        <v>2500</v>
      </c>
      <c r="L6">
        <v>26</v>
      </c>
      <c r="M6">
        <v>8000</v>
      </c>
      <c r="N6">
        <v>1250</v>
      </c>
      <c r="O6">
        <f t="shared" si="4"/>
        <v>1951.5618744994995</v>
      </c>
      <c r="P6">
        <f t="shared" si="5"/>
        <v>2.0496403687051155</v>
      </c>
      <c r="Q6">
        <f t="shared" si="6"/>
        <v>2.0174470644846165</v>
      </c>
      <c r="R6">
        <f t="shared" si="7"/>
        <v>0.34948313484124172</v>
      </c>
    </row>
    <row r="7" spans="1:18" x14ac:dyDescent="0.3">
      <c r="A7">
        <v>5</v>
      </c>
      <c r="B7" t="s">
        <v>175</v>
      </c>
      <c r="C7">
        <v>2017</v>
      </c>
      <c r="D7" t="s">
        <v>176</v>
      </c>
      <c r="E7" t="s">
        <v>33</v>
      </c>
      <c r="F7" t="s">
        <v>77</v>
      </c>
      <c r="G7" t="s">
        <v>121</v>
      </c>
      <c r="H7" t="s">
        <v>177</v>
      </c>
      <c r="I7">
        <v>24</v>
      </c>
      <c r="J7">
        <v>15000</v>
      </c>
      <c r="K7">
        <f>9000*(3/4)</f>
        <v>6750</v>
      </c>
      <c r="L7">
        <v>15</v>
      </c>
      <c r="M7">
        <v>10000</v>
      </c>
      <c r="N7">
        <f>4000*(3/4)</f>
        <v>3000</v>
      </c>
      <c r="O7">
        <f t="shared" si="4"/>
        <v>5632.7649108178248</v>
      </c>
      <c r="P7">
        <f t="shared" si="5"/>
        <v>0.88766353277009868</v>
      </c>
      <c r="Q7">
        <f t="shared" si="6"/>
        <v>0.86954795046866806</v>
      </c>
      <c r="R7">
        <f t="shared" si="7"/>
        <v>0.34414417348878751</v>
      </c>
    </row>
    <row r="8" spans="1:18" x14ac:dyDescent="0.3">
      <c r="A8">
        <v>6</v>
      </c>
      <c r="B8" t="s">
        <v>89</v>
      </c>
      <c r="C8">
        <v>2013</v>
      </c>
      <c r="D8" t="s">
        <v>178</v>
      </c>
      <c r="E8" t="s">
        <v>38</v>
      </c>
      <c r="F8" t="s">
        <v>77</v>
      </c>
      <c r="H8" t="s">
        <v>177</v>
      </c>
      <c r="I8">
        <v>11</v>
      </c>
      <c r="J8">
        <v>6</v>
      </c>
      <c r="K8">
        <f>5*(3/4)</f>
        <v>3.75</v>
      </c>
      <c r="L8">
        <v>7</v>
      </c>
      <c r="M8">
        <v>3.5</v>
      </c>
      <c r="N8">
        <v>0.5</v>
      </c>
      <c r="O8">
        <f t="shared" si="4"/>
        <v>2.980404754391591</v>
      </c>
      <c r="P8">
        <f t="shared" si="5"/>
        <v>0.83881224398004317</v>
      </c>
      <c r="Q8">
        <f t="shared" si="6"/>
        <v>0.79886880379051728</v>
      </c>
      <c r="R8">
        <f t="shared" si="7"/>
        <v>0.50329995463924693</v>
      </c>
    </row>
    <row r="9" spans="1:18" x14ac:dyDescent="0.3">
      <c r="A9">
        <v>7</v>
      </c>
      <c r="B9" t="s">
        <v>196</v>
      </c>
      <c r="C9">
        <v>2013</v>
      </c>
      <c r="D9" t="s">
        <v>197</v>
      </c>
      <c r="E9" t="s">
        <v>198</v>
      </c>
      <c r="F9" t="s">
        <v>77</v>
      </c>
      <c r="G9" t="s">
        <v>199</v>
      </c>
      <c r="H9" t="s">
        <v>200</v>
      </c>
      <c r="I9">
        <v>16</v>
      </c>
      <c r="J9">
        <v>1000</v>
      </c>
      <c r="K9">
        <f>900*(3/4)</f>
        <v>675</v>
      </c>
      <c r="L9">
        <v>4</v>
      </c>
      <c r="M9">
        <v>800</v>
      </c>
      <c r="N9">
        <f>800*(3/4)</f>
        <v>600</v>
      </c>
      <c r="O9">
        <f t="shared" si="4"/>
        <v>663.08936049374222</v>
      </c>
      <c r="P9">
        <f t="shared" si="5"/>
        <v>0.30161847243496448</v>
      </c>
      <c r="Q9">
        <f t="shared" si="6"/>
        <v>0.2888740299377125</v>
      </c>
      <c r="R9">
        <f t="shared" si="7"/>
        <v>0.5610475403857057</v>
      </c>
    </row>
    <row r="10" spans="1:18" x14ac:dyDescent="0.3">
      <c r="A10">
        <v>8</v>
      </c>
      <c r="B10" t="s">
        <v>201</v>
      </c>
      <c r="C10">
        <v>2009</v>
      </c>
      <c r="D10" t="s">
        <v>202</v>
      </c>
      <c r="E10" t="s">
        <v>154</v>
      </c>
      <c r="F10" t="s">
        <v>77</v>
      </c>
      <c r="G10" t="s">
        <v>203</v>
      </c>
      <c r="H10" t="s">
        <v>204</v>
      </c>
      <c r="I10">
        <v>10</v>
      </c>
      <c r="J10">
        <v>1750</v>
      </c>
      <c r="K10">
        <f>1000*(3/4)</f>
        <v>750</v>
      </c>
      <c r="L10">
        <v>10</v>
      </c>
      <c r="M10">
        <v>500</v>
      </c>
      <c r="N10">
        <f>400*(3/4)</f>
        <v>300</v>
      </c>
      <c r="O10">
        <f t="shared" si="4"/>
        <v>571.18298293979308</v>
      </c>
      <c r="P10">
        <f t="shared" si="5"/>
        <v>2.1884405476620428</v>
      </c>
      <c r="Q10">
        <f t="shared" si="6"/>
        <v>2.0959712287467451</v>
      </c>
      <c r="R10">
        <f t="shared" si="7"/>
        <v>0.565448318386644</v>
      </c>
    </row>
    <row r="11" spans="1:18" x14ac:dyDescent="0.3">
      <c r="A11">
        <v>9</v>
      </c>
      <c r="B11" t="s">
        <v>218</v>
      </c>
      <c r="C11">
        <v>2015</v>
      </c>
      <c r="D11" t="s">
        <v>219</v>
      </c>
      <c r="E11" t="s">
        <v>220</v>
      </c>
      <c r="F11" t="s">
        <v>147</v>
      </c>
      <c r="G11" t="s">
        <v>221</v>
      </c>
      <c r="I11">
        <v>5</v>
      </c>
      <c r="J11">
        <v>6.5</v>
      </c>
      <c r="K11">
        <v>1.29</v>
      </c>
      <c r="L11">
        <v>6</v>
      </c>
      <c r="M11">
        <v>4.03</v>
      </c>
      <c r="N11">
        <v>1.29</v>
      </c>
      <c r="O11">
        <f t="shared" si="4"/>
        <v>1.29</v>
      </c>
      <c r="P11">
        <f t="shared" si="5"/>
        <v>1.9147286821705425</v>
      </c>
      <c r="Q11">
        <f t="shared" si="6"/>
        <v>1.7506090808416388</v>
      </c>
      <c r="R11">
        <f t="shared" si="7"/>
        <v>0.73028178225921214</v>
      </c>
    </row>
    <row r="12" spans="1:18" x14ac:dyDescent="0.3">
      <c r="A12">
        <v>10</v>
      </c>
      <c r="B12" t="s">
        <v>226</v>
      </c>
      <c r="C12">
        <v>2018</v>
      </c>
      <c r="D12" t="s">
        <v>227</v>
      </c>
      <c r="E12" t="s">
        <v>228</v>
      </c>
      <c r="F12" t="s">
        <v>229</v>
      </c>
      <c r="G12" t="s">
        <v>230</v>
      </c>
      <c r="H12" t="s">
        <v>232</v>
      </c>
      <c r="I12">
        <v>42</v>
      </c>
      <c r="J12">
        <v>18.2</v>
      </c>
      <c r="K12">
        <f>SQRT(I12)*(20-16.4)/3.92</f>
        <v>5.951700641394976</v>
      </c>
      <c r="L12">
        <v>54</v>
      </c>
      <c r="M12">
        <v>8.1</v>
      </c>
      <c r="N12">
        <f>SQRT(L12)*(9.6-6.8)/3.92</f>
        <v>5.2489065916782387</v>
      </c>
      <c r="O12">
        <f t="shared" si="4"/>
        <v>5.5663659820625027</v>
      </c>
      <c r="P12">
        <f t="shared" si="5"/>
        <v>1.8144692664023596</v>
      </c>
      <c r="Q12">
        <f t="shared" si="6"/>
        <v>1.7999535122711408</v>
      </c>
      <c r="R12">
        <f t="shared" si="7"/>
        <v>0.24387585261365186</v>
      </c>
    </row>
    <row r="13" spans="1:18" x14ac:dyDescent="0.3">
      <c r="A13">
        <v>11</v>
      </c>
      <c r="B13" t="s">
        <v>26</v>
      </c>
      <c r="C13">
        <v>2016</v>
      </c>
      <c r="D13" t="s">
        <v>169</v>
      </c>
      <c r="E13" t="s">
        <v>28</v>
      </c>
      <c r="F13" t="s">
        <v>136</v>
      </c>
      <c r="G13" t="s">
        <v>155</v>
      </c>
      <c r="H13" t="s">
        <v>170</v>
      </c>
      <c r="I13">
        <f>(14/18)*135</f>
        <v>105</v>
      </c>
      <c r="J13">
        <v>2.25</v>
      </c>
      <c r="K13">
        <v>0.25</v>
      </c>
      <c r="L13">
        <v>30</v>
      </c>
      <c r="M13">
        <v>1.7</v>
      </c>
      <c r="N13">
        <v>0.1</v>
      </c>
      <c r="O13">
        <f t="shared" si="4"/>
        <v>0.22594829403858613</v>
      </c>
      <c r="P13">
        <f t="shared" si="5"/>
        <v>2.4341852295909536</v>
      </c>
      <c r="Q13">
        <f t="shared" si="6"/>
        <v>2.4204327706667113</v>
      </c>
      <c r="R13">
        <f t="shared" si="7"/>
        <v>0.25456343387139785</v>
      </c>
    </row>
    <row r="14" spans="1:18" x14ac:dyDescent="0.3">
      <c r="A14">
        <v>12</v>
      </c>
      <c r="B14" t="s">
        <v>163</v>
      </c>
      <c r="C14">
        <v>2011</v>
      </c>
      <c r="D14" t="s">
        <v>233</v>
      </c>
      <c r="E14" t="s">
        <v>33</v>
      </c>
      <c r="F14" t="s">
        <v>77</v>
      </c>
      <c r="G14" t="s">
        <v>57</v>
      </c>
      <c r="H14" t="s">
        <v>234</v>
      </c>
      <c r="I14">
        <v>9</v>
      </c>
      <c r="J14">
        <v>3453</v>
      </c>
      <c r="K14">
        <v>309</v>
      </c>
      <c r="L14">
        <v>9</v>
      </c>
      <c r="M14">
        <v>2505</v>
      </c>
      <c r="N14">
        <v>220</v>
      </c>
      <c r="O14">
        <f t="shared" si="4"/>
        <v>268.21726268083489</v>
      </c>
      <c r="P14">
        <f t="shared" si="5"/>
        <v>3.5344481206195608</v>
      </c>
      <c r="Q14">
        <f t="shared" si="6"/>
        <v>3.3661410672567245</v>
      </c>
      <c r="R14">
        <f t="shared" si="7"/>
        <v>0.75447412733327679</v>
      </c>
    </row>
    <row r="15" spans="1:18" x14ac:dyDescent="0.3">
      <c r="A15">
        <v>13</v>
      </c>
      <c r="B15" t="s">
        <v>17</v>
      </c>
      <c r="C15">
        <v>2015</v>
      </c>
      <c r="D15" t="s">
        <v>236</v>
      </c>
      <c r="E15" t="s">
        <v>19</v>
      </c>
      <c r="F15" t="s">
        <v>72</v>
      </c>
      <c r="G15" t="s">
        <v>237</v>
      </c>
      <c r="H15" t="s">
        <v>238</v>
      </c>
      <c r="I15">
        <v>23</v>
      </c>
      <c r="J15">
        <v>1100</v>
      </c>
      <c r="K15">
        <f>1000*(3/4)</f>
        <v>750</v>
      </c>
      <c r="L15">
        <v>19</v>
      </c>
      <c r="M15">
        <v>500</v>
      </c>
      <c r="N15">
        <f>300*(3/4)</f>
        <v>225</v>
      </c>
      <c r="O15">
        <f t="shared" si="4"/>
        <v>576.32998360314377</v>
      </c>
      <c r="P15">
        <f t="shared" si="5"/>
        <v>1.0410702498052837</v>
      </c>
      <c r="Q15">
        <f t="shared" si="6"/>
        <v>1.0214274149032974</v>
      </c>
      <c r="R15">
        <f t="shared" si="7"/>
        <v>0.33017047922702103</v>
      </c>
    </row>
    <row r="16" spans="1:18" x14ac:dyDescent="0.3">
      <c r="A16">
        <v>14</v>
      </c>
      <c r="B16" t="s">
        <v>184</v>
      </c>
      <c r="C16">
        <v>2021</v>
      </c>
      <c r="D16" t="s">
        <v>185</v>
      </c>
      <c r="E16" t="s">
        <v>33</v>
      </c>
      <c r="F16" t="s">
        <v>77</v>
      </c>
      <c r="G16" t="s">
        <v>186</v>
      </c>
      <c r="H16" t="s">
        <v>249</v>
      </c>
      <c r="I16">
        <v>15</v>
      </c>
      <c r="J16">
        <v>8.8000000000000007</v>
      </c>
      <c r="K16">
        <f>(14.9-6.9)*(3/4)</f>
        <v>6</v>
      </c>
      <c r="L16">
        <v>18</v>
      </c>
      <c r="M16">
        <v>5</v>
      </c>
      <c r="N16">
        <f>(5.6-4.4)*(3/4)</f>
        <v>0.89999999999999947</v>
      </c>
      <c r="O16">
        <f t="shared" si="4"/>
        <v>4.0868396181543671</v>
      </c>
      <c r="P16">
        <f t="shared" si="5"/>
        <v>0.92981383050115773</v>
      </c>
      <c r="Q16">
        <f t="shared" si="6"/>
        <v>0.90713544439137339</v>
      </c>
      <c r="R16">
        <f t="shared" si="7"/>
        <v>0.36786073670199965</v>
      </c>
    </row>
    <row r="17" spans="1:18" x14ac:dyDescent="0.3">
      <c r="A17">
        <v>15</v>
      </c>
      <c r="B17" t="s">
        <v>301</v>
      </c>
      <c r="C17">
        <v>2010</v>
      </c>
      <c r="D17" t="s">
        <v>302</v>
      </c>
      <c r="E17" t="s">
        <v>38</v>
      </c>
      <c r="F17" t="s">
        <v>77</v>
      </c>
      <c r="G17" t="s">
        <v>131</v>
      </c>
      <c r="H17" t="s">
        <v>303</v>
      </c>
      <c r="I17">
        <v>11</v>
      </c>
      <c r="J17">
        <v>3</v>
      </c>
      <c r="K17">
        <f>(10/9)*(3/4)</f>
        <v>0.83333333333333337</v>
      </c>
      <c r="L17">
        <v>10</v>
      </c>
      <c r="M17">
        <v>2</v>
      </c>
      <c r="N17">
        <f>(10/10)*(3/4)</f>
        <v>0.75</v>
      </c>
      <c r="O17">
        <f t="shared" si="4"/>
        <v>0.79494933451412142</v>
      </c>
      <c r="P17">
        <f t="shared" si="5"/>
        <v>1.257941804066302</v>
      </c>
      <c r="Q17">
        <f t="shared" si="6"/>
        <v>1.2076241319036498</v>
      </c>
      <c r="R17">
        <f t="shared" si="7"/>
        <v>0.47810636893297231</v>
      </c>
    </row>
    <row r="18" spans="1:18" x14ac:dyDescent="0.3">
      <c r="A18">
        <v>16</v>
      </c>
      <c r="B18" t="s">
        <v>349</v>
      </c>
      <c r="C18">
        <v>2014</v>
      </c>
      <c r="D18" t="s">
        <v>350</v>
      </c>
      <c r="E18" t="s">
        <v>33</v>
      </c>
      <c r="F18" t="s">
        <v>77</v>
      </c>
      <c r="G18" t="s">
        <v>157</v>
      </c>
      <c r="H18" t="s">
        <v>351</v>
      </c>
      <c r="I18">
        <v>11</v>
      </c>
      <c r="J18">
        <v>290</v>
      </c>
      <c r="K18">
        <v>50</v>
      </c>
      <c r="L18">
        <v>5</v>
      </c>
      <c r="M18">
        <v>140</v>
      </c>
      <c r="N18">
        <v>40</v>
      </c>
      <c r="O18">
        <f t="shared" si="4"/>
        <v>47.358812726430784</v>
      </c>
      <c r="P18">
        <f t="shared" si="5"/>
        <v>3.1673091313854989</v>
      </c>
      <c r="Q18">
        <f t="shared" si="6"/>
        <v>2.9945468151281078</v>
      </c>
      <c r="R18">
        <f t="shared" si="7"/>
        <v>0.77743444343496082</v>
      </c>
    </row>
    <row r="19" spans="1:18" x14ac:dyDescent="0.3">
      <c r="A19">
        <v>17</v>
      </c>
      <c r="B19" t="s">
        <v>372</v>
      </c>
      <c r="C19">
        <v>2022</v>
      </c>
      <c r="D19" t="s">
        <v>373</v>
      </c>
      <c r="E19" t="s">
        <v>374</v>
      </c>
      <c r="F19" t="s">
        <v>72</v>
      </c>
      <c r="G19" t="s">
        <v>78</v>
      </c>
      <c r="H19" t="s">
        <v>375</v>
      </c>
      <c r="I19">
        <v>10</v>
      </c>
      <c r="J19">
        <v>40</v>
      </c>
      <c r="K19">
        <f>20*(3/4)</f>
        <v>15</v>
      </c>
      <c r="L19">
        <v>10</v>
      </c>
      <c r="M19">
        <v>20</v>
      </c>
      <c r="N19">
        <f>20*(3/4)</f>
        <v>15</v>
      </c>
      <c r="O19">
        <f t="shared" si="4"/>
        <v>15</v>
      </c>
      <c r="P19">
        <f t="shared" si="5"/>
        <v>1.3333333333333333</v>
      </c>
      <c r="Q19">
        <f t="shared" si="6"/>
        <v>1.2769953051643192</v>
      </c>
      <c r="R19">
        <f t="shared" si="7"/>
        <v>0.4944132324730442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C6236-8F35-404B-A05E-33379B58B182}">
  <dimension ref="A1:R13"/>
  <sheetViews>
    <sheetView workbookViewId="0">
      <selection activeCell="B13" sqref="B13:R13"/>
    </sheetView>
  </sheetViews>
  <sheetFormatPr defaultRowHeight="14.4" x14ac:dyDescent="0.3"/>
  <cols>
    <col min="2" max="2" width="20.664062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192</v>
      </c>
      <c r="C2">
        <v>2021</v>
      </c>
      <c r="D2" t="s">
        <v>193</v>
      </c>
      <c r="E2" t="s">
        <v>19</v>
      </c>
      <c r="F2" t="s">
        <v>72</v>
      </c>
      <c r="G2" t="s">
        <v>194</v>
      </c>
      <c r="H2" t="s">
        <v>195</v>
      </c>
      <c r="I2">
        <v>12</v>
      </c>
      <c r="J2">
        <v>190.38</v>
      </c>
      <c r="K2">
        <v>133.91999999999999</v>
      </c>
      <c r="L2">
        <v>1</v>
      </c>
      <c r="M2">
        <v>116.38</v>
      </c>
      <c r="N2">
        <v>94.4</v>
      </c>
      <c r="O2">
        <f t="shared" ref="O2" si="0">SQRT(((I2-1)*POWER(K2,2) + (L2-1)*POWER(N2,2))/((I2-1)+(L2-1)))</f>
        <v>133.91999999999999</v>
      </c>
      <c r="P2">
        <f t="shared" ref="P2" si="1">(J2-M2)/O2</f>
        <v>0.55256869772998807</v>
      </c>
      <c r="Q2">
        <f t="shared" ref="Q2" si="2">P2*(1- (3/(4*(I2+L2)-9)))</f>
        <v>0.51401739323719819</v>
      </c>
      <c r="R2">
        <f t="shared" ref="R2" si="3">SQRT((I2+L2)/(I2*L2)+(POWER(P2,2)/(2*(I2+L2))))</f>
        <v>1.0464592099878391</v>
      </c>
    </row>
    <row r="3" spans="1:18" x14ac:dyDescent="0.3">
      <c r="A3">
        <v>1</v>
      </c>
      <c r="B3" t="s">
        <v>245</v>
      </c>
      <c r="C3">
        <v>2021</v>
      </c>
      <c r="D3" t="s">
        <v>246</v>
      </c>
      <c r="E3" t="s">
        <v>28</v>
      </c>
      <c r="F3" t="s">
        <v>77</v>
      </c>
      <c r="G3" t="s">
        <v>247</v>
      </c>
      <c r="H3" t="s">
        <v>248</v>
      </c>
      <c r="I3">
        <v>14</v>
      </c>
      <c r="J3">
        <v>15.11</v>
      </c>
      <c r="K3">
        <v>1.46</v>
      </c>
      <c r="L3">
        <v>23</v>
      </c>
      <c r="M3">
        <v>16.14</v>
      </c>
      <c r="N3">
        <v>1.37</v>
      </c>
      <c r="O3">
        <f t="shared" ref="O3:O4" si="4">SQRT(((I3-1)*POWER(K3,2) + (L3-1)*POWER(N3,2))/((I3-1)+(L3-1)))</f>
        <v>1.4041021533858771</v>
      </c>
      <c r="P3">
        <f t="shared" ref="P3:P4" si="5">(J3-M3)/O3</f>
        <v>-0.73356486030324841</v>
      </c>
      <c r="Q3">
        <f t="shared" ref="Q3:Q4" si="6">P3*(1- (3/(4*(I3+L3)-9)))</f>
        <v>-0.71773252518878983</v>
      </c>
      <c r="R3">
        <f t="shared" ref="R3:R4" si="7">SQRT((I3+L3)/(I3*L3)+(POWER(P3,2)/(2*(I3+L3))))</f>
        <v>0.34954068305795166</v>
      </c>
    </row>
    <row r="4" spans="1:18" x14ac:dyDescent="0.3">
      <c r="A4">
        <v>3</v>
      </c>
      <c r="B4" t="s">
        <v>182</v>
      </c>
      <c r="C4">
        <v>2006</v>
      </c>
      <c r="D4" t="s">
        <v>183</v>
      </c>
      <c r="E4" t="s">
        <v>38</v>
      </c>
      <c r="F4" t="s">
        <v>77</v>
      </c>
      <c r="G4" t="s">
        <v>157</v>
      </c>
      <c r="I4">
        <v>3</v>
      </c>
      <c r="J4">
        <v>566</v>
      </c>
      <c r="K4">
        <v>83</v>
      </c>
      <c r="L4">
        <v>3</v>
      </c>
      <c r="M4">
        <v>85</v>
      </c>
      <c r="N4">
        <v>32</v>
      </c>
      <c r="O4">
        <f t="shared" si="4"/>
        <v>62.900715417235119</v>
      </c>
      <c r="P4">
        <f t="shared" si="5"/>
        <v>7.6469718477669897</v>
      </c>
      <c r="Q4">
        <f t="shared" si="6"/>
        <v>6.1175774782135921</v>
      </c>
      <c r="R4">
        <f t="shared" si="7"/>
        <v>2.3536528071726597</v>
      </c>
    </row>
    <row r="5" spans="1:18" x14ac:dyDescent="0.3">
      <c r="A5">
        <v>4</v>
      </c>
      <c r="B5" t="s">
        <v>184</v>
      </c>
      <c r="C5">
        <v>2021</v>
      </c>
      <c r="D5" t="s">
        <v>185</v>
      </c>
      <c r="E5" t="s">
        <v>33</v>
      </c>
      <c r="F5" t="s">
        <v>77</v>
      </c>
      <c r="G5" t="s">
        <v>186</v>
      </c>
      <c r="H5" t="s">
        <v>249</v>
      </c>
      <c r="I5">
        <v>15</v>
      </c>
      <c r="J5">
        <v>1.7</v>
      </c>
      <c r="K5">
        <f>(1.7-1.6)*(3/4)</f>
        <v>7.49999999999999E-2</v>
      </c>
      <c r="L5">
        <v>18</v>
      </c>
      <c r="M5">
        <v>2</v>
      </c>
      <c r="N5">
        <f>(2.4-1.8)*(3/4)</f>
        <v>0.4499999999999999</v>
      </c>
      <c r="O5">
        <f t="shared" ref="O5:O6" si="8">SQRT(((I5-1)*POWER(K5,2) + (L5-1)*POWER(N5,2))/((I5-1)+(L5-1)))</f>
        <v>0.33702924157618619</v>
      </c>
      <c r="P5">
        <f t="shared" ref="P5:P6" si="9">(J5-M5)/O5</f>
        <v>-0.89013047828428382</v>
      </c>
      <c r="Q5">
        <f t="shared" ref="Q5:Q6" si="10">P5*(1- (3/(4*(I5+L5)-9)))</f>
        <v>-0.8684199788139354</v>
      </c>
      <c r="R5">
        <f t="shared" ref="R5:R6" si="11">SQRT((I5+L5)/(I5*L5)+(POWER(P5,2)/(2*(I5+L5))))</f>
        <v>0.36637038170610059</v>
      </c>
    </row>
    <row r="6" spans="1:18" x14ac:dyDescent="0.3">
      <c r="A6">
        <v>5</v>
      </c>
      <c r="B6" t="s">
        <v>175</v>
      </c>
      <c r="C6">
        <v>2017</v>
      </c>
      <c r="D6" t="s">
        <v>176</v>
      </c>
      <c r="E6" t="s">
        <v>33</v>
      </c>
      <c r="F6" t="s">
        <v>77</v>
      </c>
      <c r="G6" t="s">
        <v>121</v>
      </c>
      <c r="H6" t="s">
        <v>177</v>
      </c>
      <c r="I6">
        <v>24</v>
      </c>
      <c r="J6">
        <v>23</v>
      </c>
      <c r="K6">
        <f>6*(3/4)</f>
        <v>4.5</v>
      </c>
      <c r="L6">
        <v>15</v>
      </c>
      <c r="M6">
        <v>27</v>
      </c>
      <c r="N6">
        <f>8*(3/4)</f>
        <v>6</v>
      </c>
      <c r="O6">
        <f t="shared" si="8"/>
        <v>5.1195175026030979</v>
      </c>
      <c r="P6">
        <f t="shared" si="9"/>
        <v>-0.78132363019877127</v>
      </c>
      <c r="Q6">
        <f t="shared" si="10"/>
        <v>-0.76537824999063309</v>
      </c>
      <c r="R6">
        <f t="shared" si="11"/>
        <v>0.34082228272049281</v>
      </c>
    </row>
    <row r="7" spans="1:18" x14ac:dyDescent="0.3">
      <c r="A7">
        <v>6</v>
      </c>
      <c r="B7" t="s">
        <v>31</v>
      </c>
      <c r="C7">
        <v>2009</v>
      </c>
      <c r="D7" t="s">
        <v>32</v>
      </c>
      <c r="E7" t="s">
        <v>33</v>
      </c>
      <c r="F7" t="s">
        <v>136</v>
      </c>
      <c r="G7" t="s">
        <v>250</v>
      </c>
      <c r="H7" t="s">
        <v>251</v>
      </c>
      <c r="I7">
        <f>5*3</f>
        <v>15</v>
      </c>
      <c r="J7">
        <v>35</v>
      </c>
      <c r="K7">
        <v>2</v>
      </c>
      <c r="L7">
        <f>5*3</f>
        <v>15</v>
      </c>
      <c r="M7">
        <v>34</v>
      </c>
      <c r="N7">
        <v>0.5</v>
      </c>
      <c r="O7">
        <f t="shared" ref="O7:O8" si="12">SQRT(((I7-1)*POWER(K7,2) + (L7-1)*POWER(N7,2))/((I7-1)+(L7-1)))</f>
        <v>1.4577379737113252</v>
      </c>
      <c r="P7">
        <f t="shared" ref="P7:P8" si="13">(J7-M7)/O7</f>
        <v>0.68599434057003528</v>
      </c>
      <c r="Q7">
        <f t="shared" ref="Q7:Q8" si="14">P7*(1- (3/(4*(I7+L7)-9)))</f>
        <v>0.66745395298706134</v>
      </c>
      <c r="R7">
        <f t="shared" ref="R7:R8" si="15">SQRT((I7+L7)/(I7*L7)+(POWER(P7,2)/(2*(I7+L7))))</f>
        <v>0.37573457465108967</v>
      </c>
    </row>
    <row r="8" spans="1:18" x14ac:dyDescent="0.3">
      <c r="A8">
        <v>7</v>
      </c>
      <c r="B8" t="s">
        <v>89</v>
      </c>
      <c r="C8">
        <v>2013</v>
      </c>
      <c r="D8" t="s">
        <v>178</v>
      </c>
      <c r="E8" t="s">
        <v>38</v>
      </c>
      <c r="F8" t="s">
        <v>77</v>
      </c>
      <c r="H8" t="s">
        <v>177</v>
      </c>
      <c r="I8">
        <v>11</v>
      </c>
      <c r="J8">
        <v>30</v>
      </c>
      <c r="K8">
        <f>5*(3/4)</f>
        <v>3.75</v>
      </c>
      <c r="L8">
        <v>7</v>
      </c>
      <c r="M8">
        <v>25</v>
      </c>
      <c r="N8">
        <f>8*(3/4)</f>
        <v>6</v>
      </c>
      <c r="O8">
        <f t="shared" si="12"/>
        <v>4.7211293670053145</v>
      </c>
      <c r="P8">
        <f t="shared" si="13"/>
        <v>1.0590686277193835</v>
      </c>
      <c r="Q8">
        <f t="shared" si="14"/>
        <v>1.0086367883041747</v>
      </c>
      <c r="R8">
        <f t="shared" si="15"/>
        <v>0.51470624777104745</v>
      </c>
    </row>
    <row r="9" spans="1:18" x14ac:dyDescent="0.3">
      <c r="A9">
        <v>8</v>
      </c>
      <c r="B9" t="s">
        <v>252</v>
      </c>
      <c r="C9">
        <v>2016</v>
      </c>
      <c r="D9" t="s">
        <v>253</v>
      </c>
      <c r="E9" t="s">
        <v>254</v>
      </c>
      <c r="H9" t="s">
        <v>255</v>
      </c>
      <c r="I9">
        <v>21</v>
      </c>
      <c r="J9">
        <v>219.22</v>
      </c>
      <c r="K9">
        <v>60.81</v>
      </c>
      <c r="L9">
        <v>39</v>
      </c>
      <c r="M9">
        <v>386.7</v>
      </c>
      <c r="N9">
        <v>172.87</v>
      </c>
      <c r="O9">
        <f t="shared" ref="O9:O13" si="16">SQRT(((I9-1)*POWER(K9,2) + (L9-1)*POWER(N9,2))/((I9-1)+(L9-1)))</f>
        <v>144.41024680665365</v>
      </c>
      <c r="P9">
        <f t="shared" ref="P9:P13" si="17">(J9-M9)/O9</f>
        <v>-1.1597514975805956</v>
      </c>
      <c r="Q9">
        <f t="shared" ref="Q9:Q13" si="18">P9*(1- (3/(4*(I9+L9)-9)))</f>
        <v>-1.1446897898198087</v>
      </c>
      <c r="R9">
        <f t="shared" ref="R9:R13" si="19">SQRT((I9+L9)/(I9*L9)+(POWER(P9,2)/(2*(I9+L9))))</f>
        <v>0.29063482710767857</v>
      </c>
    </row>
    <row r="10" spans="1:18" x14ac:dyDescent="0.3">
      <c r="A10">
        <v>9</v>
      </c>
      <c r="B10" t="s">
        <v>188</v>
      </c>
      <c r="C10">
        <v>2018</v>
      </c>
      <c r="D10" t="s">
        <v>189</v>
      </c>
      <c r="E10" t="s">
        <v>190</v>
      </c>
      <c r="F10" t="s">
        <v>147</v>
      </c>
      <c r="G10" t="s">
        <v>295</v>
      </c>
      <c r="H10" t="s">
        <v>296</v>
      </c>
      <c r="I10">
        <v>9</v>
      </c>
      <c r="J10">
        <v>70.11</v>
      </c>
      <c r="K10">
        <f>J10*(1.9/4.1)</f>
        <v>32.49</v>
      </c>
      <c r="L10">
        <v>10</v>
      </c>
      <c r="M10">
        <v>78.010000000000005</v>
      </c>
      <c r="N10">
        <f>M10*(1.5/7.1)</f>
        <v>16.480985915492962</v>
      </c>
      <c r="O10">
        <f t="shared" si="16"/>
        <v>25.309155365923935</v>
      </c>
      <c r="P10">
        <f t="shared" si="17"/>
        <v>-0.31214000964396105</v>
      </c>
      <c r="Q10">
        <f t="shared" si="18"/>
        <v>-0.29816359130169412</v>
      </c>
      <c r="R10">
        <f t="shared" si="19"/>
        <v>0.46225003509273027</v>
      </c>
    </row>
    <row r="11" spans="1:18" x14ac:dyDescent="0.3">
      <c r="A11">
        <v>10</v>
      </c>
      <c r="B11" t="s">
        <v>149</v>
      </c>
      <c r="C11">
        <v>2012</v>
      </c>
      <c r="D11" t="s">
        <v>150</v>
      </c>
      <c r="E11" t="s">
        <v>87</v>
      </c>
      <c r="F11" t="s">
        <v>77</v>
      </c>
      <c r="G11" t="s">
        <v>131</v>
      </c>
      <c r="H11" t="s">
        <v>300</v>
      </c>
      <c r="I11">
        <v>4</v>
      </c>
      <c r="J11">
        <v>1.94</v>
      </c>
      <c r="K11">
        <v>0.26</v>
      </c>
      <c r="L11">
        <v>4</v>
      </c>
      <c r="M11">
        <v>1.92</v>
      </c>
      <c r="N11">
        <v>0.33</v>
      </c>
      <c r="O11">
        <f t="shared" si="16"/>
        <v>0.297069015550259</v>
      </c>
      <c r="P11">
        <f t="shared" si="17"/>
        <v>6.7324422787594151E-2</v>
      </c>
      <c r="Q11">
        <f t="shared" si="18"/>
        <v>5.8542976337038394E-2</v>
      </c>
      <c r="R11">
        <f t="shared" si="19"/>
        <v>0.70730706635730722</v>
      </c>
    </row>
    <row r="12" spans="1:18" x14ac:dyDescent="0.3">
      <c r="A12">
        <v>11</v>
      </c>
      <c r="B12" t="s">
        <v>226</v>
      </c>
      <c r="C12">
        <v>2018</v>
      </c>
      <c r="D12" t="s">
        <v>227</v>
      </c>
      <c r="E12" t="s">
        <v>228</v>
      </c>
      <c r="F12" t="s">
        <v>229</v>
      </c>
      <c r="G12" t="s">
        <v>230</v>
      </c>
      <c r="H12" t="s">
        <v>232</v>
      </c>
      <c r="I12">
        <v>42</v>
      </c>
      <c r="J12">
        <v>1.3</v>
      </c>
      <c r="K12">
        <f>SQRT(I12)*(1.3-1.2)/3.92</f>
        <v>0.1653250178165272</v>
      </c>
      <c r="L12">
        <v>54</v>
      </c>
      <c r="M12">
        <v>1.6</v>
      </c>
      <c r="N12">
        <f>SQRT(L12)*(1.6-1.5)/3.92</f>
        <v>0.18746094970279442</v>
      </c>
      <c r="O12">
        <f t="shared" si="16"/>
        <v>0.17814445573692042</v>
      </c>
      <c r="P12">
        <f t="shared" si="17"/>
        <v>-1.6840265881921863</v>
      </c>
      <c r="Q12">
        <f t="shared" si="18"/>
        <v>-1.6705543754866488</v>
      </c>
      <c r="R12">
        <f t="shared" si="19"/>
        <v>0.2389531168791531</v>
      </c>
    </row>
    <row r="13" spans="1:18" x14ac:dyDescent="0.3">
      <c r="A13">
        <v>12</v>
      </c>
      <c r="B13" t="s">
        <v>352</v>
      </c>
      <c r="C13">
        <v>2016</v>
      </c>
      <c r="D13" t="s">
        <v>353</v>
      </c>
      <c r="E13" t="s">
        <v>87</v>
      </c>
      <c r="F13" t="s">
        <v>259</v>
      </c>
      <c r="G13" t="s">
        <v>354</v>
      </c>
      <c r="H13" t="s">
        <v>355</v>
      </c>
      <c r="I13">
        <v>6</v>
      </c>
      <c r="J13">
        <v>10.5</v>
      </c>
      <c r="K13">
        <f>8*(3/4)</f>
        <v>6</v>
      </c>
      <c r="L13">
        <v>6</v>
      </c>
      <c r="M13">
        <v>22.3</v>
      </c>
      <c r="N13">
        <f>9*(3/4)</f>
        <v>6.75</v>
      </c>
      <c r="O13">
        <f t="shared" si="16"/>
        <v>6.3860198872224005</v>
      </c>
      <c r="P13">
        <f t="shared" si="17"/>
        <v>-1.8477862907396003</v>
      </c>
      <c r="Q13">
        <f t="shared" si="18"/>
        <v>-1.7056488837596311</v>
      </c>
      <c r="R13">
        <f t="shared" si="19"/>
        <v>0.68963499331908695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E573-6817-4853-A70A-1BB8041487EC}">
  <dimension ref="A1:R8"/>
  <sheetViews>
    <sheetView workbookViewId="0">
      <selection activeCell="C23" sqref="C23"/>
    </sheetView>
  </sheetViews>
  <sheetFormatPr defaultRowHeight="14.4" x14ac:dyDescent="0.3"/>
  <cols>
    <col min="2" max="2" width="16"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8</v>
      </c>
      <c r="C2">
        <v>2021</v>
      </c>
      <c r="D2" t="s">
        <v>86</v>
      </c>
      <c r="E2" t="s">
        <v>87</v>
      </c>
      <c r="F2" t="s">
        <v>72</v>
      </c>
      <c r="G2" t="s">
        <v>121</v>
      </c>
      <c r="H2" t="s">
        <v>213</v>
      </c>
      <c r="I2">
        <v>25</v>
      </c>
      <c r="J2">
        <f>1-(0.85124-0.09546)</f>
        <v>0.24421999999999999</v>
      </c>
      <c r="K2">
        <v>4.2380000000000001E-2</v>
      </c>
      <c r="L2">
        <v>25</v>
      </c>
      <c r="M2">
        <f>1-0.85124</f>
        <v>0.14876</v>
      </c>
      <c r="N2">
        <v>2.997E-2</v>
      </c>
      <c r="O2">
        <f t="shared" ref="O2" si="0">SQRT(((I2-1)*POWER(K2,2) + (L2-1)*POWER(N2,2))/((I2-1)+(L2-1)))</f>
        <v>3.6703305709431679E-2</v>
      </c>
      <c r="P2">
        <f t="shared" ref="P2" si="1">(J2-M2)/O2</f>
        <v>2.6008556492356916</v>
      </c>
      <c r="Q2">
        <f t="shared" ref="Q2" si="2">P2*(1- (3/(4*(I2+L2)-9)))</f>
        <v>2.5600045133838223</v>
      </c>
      <c r="R2">
        <f t="shared" ref="R2" si="3">SQRT((I2+L2)/(I2*L2)+(POWER(P2,2)/(2*(I2+L2))))</f>
        <v>0.38424536572561563</v>
      </c>
    </row>
    <row r="3" spans="1:18" x14ac:dyDescent="0.3">
      <c r="A3">
        <v>1</v>
      </c>
      <c r="B3" t="s">
        <v>215</v>
      </c>
      <c r="C3">
        <v>2015</v>
      </c>
      <c r="D3" t="s">
        <v>214</v>
      </c>
      <c r="E3" t="s">
        <v>87</v>
      </c>
      <c r="F3" t="s">
        <v>77</v>
      </c>
      <c r="G3" t="s">
        <v>121</v>
      </c>
      <c r="H3" t="s">
        <v>217</v>
      </c>
      <c r="I3">
        <v>15</v>
      </c>
      <c r="J3">
        <v>17.739999999999998</v>
      </c>
      <c r="K3">
        <v>9.11</v>
      </c>
      <c r="L3">
        <v>11</v>
      </c>
      <c r="M3">
        <v>5.46</v>
      </c>
      <c r="N3">
        <v>1.48</v>
      </c>
      <c r="O3">
        <f t="shared" ref="O3:O8" si="4">SQRT(((I3-1)*POWER(K3,2) + (L3-1)*POWER(N3,2))/((I3-1)+(L3-1)))</f>
        <v>7.0231563417027818</v>
      </c>
      <c r="P3">
        <f t="shared" ref="P3:P8" si="5">(J3-M3)/O3</f>
        <v>1.7485015856877082</v>
      </c>
      <c r="Q3">
        <f t="shared" ref="Q3:Q8" si="6">P3*(1- (3/(4*(I3+L3)-9)))</f>
        <v>1.6932857461396753</v>
      </c>
      <c r="R3">
        <f t="shared" ref="R3:R8" si="7">SQRT((I3+L3)/(I3*L3)+(POWER(P3,2)/(2*(I3+L3))))</f>
        <v>0.46515500288968653</v>
      </c>
    </row>
    <row r="4" spans="1:18" x14ac:dyDescent="0.3">
      <c r="A4">
        <v>2</v>
      </c>
      <c r="B4" t="s">
        <v>218</v>
      </c>
      <c r="C4">
        <v>2015</v>
      </c>
      <c r="D4" t="s">
        <v>219</v>
      </c>
      <c r="E4" t="s">
        <v>220</v>
      </c>
      <c r="F4" t="s">
        <v>147</v>
      </c>
      <c r="G4" t="s">
        <v>221</v>
      </c>
      <c r="H4" t="s">
        <v>222</v>
      </c>
      <c r="I4">
        <v>5</v>
      </c>
      <c r="J4">
        <v>64</v>
      </c>
      <c r="K4">
        <f>64*(17.83/85.52)</f>
        <v>13.343311506080449</v>
      </c>
      <c r="L4">
        <v>6</v>
      </c>
      <c r="M4">
        <v>29</v>
      </c>
      <c r="N4">
        <f>29*(17.84/52.43)</f>
        <v>9.8676330345222194</v>
      </c>
      <c r="O4">
        <f t="shared" si="4"/>
        <v>11.542321913112083</v>
      </c>
      <c r="P4">
        <f t="shared" si="5"/>
        <v>3.0323188231511704</v>
      </c>
      <c r="Q4">
        <f t="shared" si="6"/>
        <v>2.7724057811667842</v>
      </c>
      <c r="R4">
        <f t="shared" si="7"/>
        <v>0.88578737731681323</v>
      </c>
    </row>
    <row r="5" spans="1:18" x14ac:dyDescent="0.3">
      <c r="A5">
        <v>3</v>
      </c>
      <c r="B5" t="s">
        <v>305</v>
      </c>
      <c r="C5">
        <v>2021</v>
      </c>
      <c r="D5" t="s">
        <v>223</v>
      </c>
      <c r="E5" t="s">
        <v>154</v>
      </c>
      <c r="F5" t="s">
        <v>147</v>
      </c>
      <c r="G5" t="s">
        <v>224</v>
      </c>
      <c r="H5" t="s">
        <v>225</v>
      </c>
      <c r="I5">
        <v>2</v>
      </c>
      <c r="J5">
        <v>5.0999999999999996</v>
      </c>
      <c r="K5">
        <f>5.1*((871-308)/589)</f>
        <v>4.8748726655348049</v>
      </c>
      <c r="L5">
        <v>2</v>
      </c>
      <c r="M5">
        <v>2.9</v>
      </c>
      <c r="N5">
        <f>2.9*((320-294)/307)</f>
        <v>0.24560260586319216</v>
      </c>
      <c r="O5">
        <f t="shared" si="4"/>
        <v>3.4514275412635569</v>
      </c>
      <c r="P5">
        <f t="shared" si="5"/>
        <v>0.63741740879618369</v>
      </c>
      <c r="Q5">
        <f t="shared" si="6"/>
        <v>0.36423851931210494</v>
      </c>
      <c r="R5">
        <f t="shared" si="7"/>
        <v>1.0250793233352993</v>
      </c>
    </row>
    <row r="6" spans="1:18" x14ac:dyDescent="0.3">
      <c r="A6">
        <v>4</v>
      </c>
      <c r="B6" t="s">
        <v>196</v>
      </c>
      <c r="C6">
        <v>2013</v>
      </c>
      <c r="D6" t="s">
        <v>197</v>
      </c>
      <c r="E6" t="s">
        <v>198</v>
      </c>
      <c r="F6" t="s">
        <v>77</v>
      </c>
      <c r="G6" t="s">
        <v>199</v>
      </c>
      <c r="H6" t="s">
        <v>200</v>
      </c>
      <c r="I6">
        <v>16</v>
      </c>
      <c r="J6">
        <v>55</v>
      </c>
      <c r="K6">
        <f>20*(3/4)</f>
        <v>15</v>
      </c>
      <c r="L6">
        <v>4</v>
      </c>
      <c r="M6">
        <v>41</v>
      </c>
      <c r="N6">
        <f>10*(3/4)</f>
        <v>7.5</v>
      </c>
      <c r="O6">
        <f t="shared" si="4"/>
        <v>14.031215200402281</v>
      </c>
      <c r="P6">
        <f t="shared" si="5"/>
        <v>0.99777530313971763</v>
      </c>
      <c r="Q6">
        <f t="shared" si="6"/>
        <v>0.95561578328874375</v>
      </c>
      <c r="R6">
        <f t="shared" si="7"/>
        <v>0.5808518648406743</v>
      </c>
    </row>
    <row r="7" spans="1:18" x14ac:dyDescent="0.3">
      <c r="A7">
        <v>5</v>
      </c>
      <c r="B7" t="s">
        <v>226</v>
      </c>
      <c r="C7">
        <v>2018</v>
      </c>
      <c r="D7" t="s">
        <v>227</v>
      </c>
      <c r="E7" t="s">
        <v>228</v>
      </c>
      <c r="F7" t="s">
        <v>229</v>
      </c>
      <c r="G7" t="s">
        <v>230</v>
      </c>
      <c r="H7" t="s">
        <v>231</v>
      </c>
      <c r="I7">
        <v>42</v>
      </c>
      <c r="J7">
        <v>392</v>
      </c>
      <c r="K7">
        <f>SQRT(I7)*(569-185)/3.92</f>
        <v>634.8480684154639</v>
      </c>
      <c r="L7">
        <v>54</v>
      </c>
      <c r="M7">
        <v>91</v>
      </c>
      <c r="N7">
        <f>SQRT(L7)*(127-69)/3.92</f>
        <v>108.72735082762065</v>
      </c>
      <c r="O7">
        <f t="shared" si="4"/>
        <v>427.1486564213152</v>
      </c>
      <c r="P7">
        <f t="shared" si="5"/>
        <v>0.70467270697232554</v>
      </c>
      <c r="Q7">
        <f t="shared" si="6"/>
        <v>0.69903532531654688</v>
      </c>
      <c r="R7">
        <f t="shared" si="7"/>
        <v>0.21192996768458866</v>
      </c>
    </row>
    <row r="8" spans="1:18" x14ac:dyDescent="0.3">
      <c r="A8">
        <v>6</v>
      </c>
      <c r="B8" t="s">
        <v>256</v>
      </c>
      <c r="C8">
        <v>2018</v>
      </c>
      <c r="D8" t="s">
        <v>257</v>
      </c>
      <c r="E8" t="s">
        <v>258</v>
      </c>
      <c r="F8" t="s">
        <v>259</v>
      </c>
      <c r="G8" t="s">
        <v>260</v>
      </c>
      <c r="H8" t="s">
        <v>261</v>
      </c>
      <c r="I8">
        <v>10</v>
      </c>
      <c r="J8">
        <v>101.98</v>
      </c>
      <c r="K8">
        <v>15.03</v>
      </c>
      <c r="L8">
        <v>5</v>
      </c>
      <c r="M8">
        <v>92.99</v>
      </c>
      <c r="N8">
        <v>10.25</v>
      </c>
      <c r="O8">
        <f t="shared" si="4"/>
        <v>13.73753448935266</v>
      </c>
      <c r="P8">
        <f t="shared" si="5"/>
        <v>0.65441145985604265</v>
      </c>
      <c r="Q8">
        <f t="shared" si="6"/>
        <v>0.61591666809980483</v>
      </c>
      <c r="R8">
        <f t="shared" si="7"/>
        <v>0.56060248420162262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2027-C5D7-4FCE-B720-F07DC782C0FB}">
  <dimension ref="A1:R14"/>
  <sheetViews>
    <sheetView tabSelected="1" workbookViewId="0">
      <selection activeCell="M21" sqref="M21"/>
    </sheetView>
  </sheetViews>
  <sheetFormatPr defaultRowHeight="14.4" x14ac:dyDescent="0.3"/>
  <cols>
    <col min="2" max="2" width="18.664062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144</v>
      </c>
      <c r="C2">
        <v>2001</v>
      </c>
      <c r="D2" t="s">
        <v>145</v>
      </c>
      <c r="E2" t="s">
        <v>146</v>
      </c>
      <c r="F2" t="s">
        <v>147</v>
      </c>
      <c r="G2" t="s">
        <v>78</v>
      </c>
      <c r="H2" t="s">
        <v>148</v>
      </c>
      <c r="I2">
        <v>12</v>
      </c>
      <c r="J2">
        <v>2080</v>
      </c>
      <c r="K2">
        <v>252</v>
      </c>
      <c r="L2">
        <v>13</v>
      </c>
      <c r="M2">
        <v>1337</v>
      </c>
      <c r="N2">
        <v>424</v>
      </c>
      <c r="O2">
        <f t="shared" ref="O2" si="0">SQRT(((I2-1)*POWER(K2,2) + (L2-1)*POWER(N2,2))/((I2-1)+(L2-1)))</f>
        <v>352.37430691512265</v>
      </c>
      <c r="P2">
        <f t="shared" ref="P2" si="1">(J2-M2)/O2</f>
        <v>2.1085532782018879</v>
      </c>
      <c r="Q2">
        <f t="shared" ref="Q2" si="2">P2*(1- (3/(4*(I2+L2)-9)))</f>
        <v>2.039040532766661</v>
      </c>
      <c r="R2">
        <f t="shared" ref="R2" si="3">SQRT((I2+L2)/(I2*L2)+(POWER(P2,2)/(2*(I2+L2))))</f>
        <v>0.49917566927558565</v>
      </c>
    </row>
    <row r="3" spans="1:18" x14ac:dyDescent="0.3">
      <c r="A3">
        <v>1</v>
      </c>
      <c r="B3" t="s">
        <v>149</v>
      </c>
      <c r="C3">
        <v>2012</v>
      </c>
      <c r="D3" t="s">
        <v>150</v>
      </c>
      <c r="E3" t="s">
        <v>87</v>
      </c>
      <c r="F3" t="s">
        <v>77</v>
      </c>
      <c r="G3" t="s">
        <v>131</v>
      </c>
      <c r="H3" t="s">
        <v>151</v>
      </c>
      <c r="I3">
        <v>4</v>
      </c>
      <c r="J3">
        <v>176.5</v>
      </c>
      <c r="K3">
        <v>4</v>
      </c>
      <c r="L3">
        <v>4</v>
      </c>
      <c r="M3">
        <v>42.5</v>
      </c>
      <c r="N3">
        <v>15.84</v>
      </c>
      <c r="O3">
        <f t="shared" ref="O3" si="4">SQRT(((I3-1)*POWER(K3,2) + (L3-1)*POWER(N3,2))/((I3-1)+(L3-1)))</f>
        <v>11.552177283958207</v>
      </c>
      <c r="P3">
        <f t="shared" ref="P3" si="5">(J3-M3)/O3</f>
        <v>11.59954497807764</v>
      </c>
      <c r="Q3">
        <f t="shared" ref="Q3" si="6">P3*(1- (3/(4*(I3+L3)-9)))</f>
        <v>10.086560850502295</v>
      </c>
      <c r="R3">
        <f t="shared" ref="R3" si="7">SQRT((I3+L3)/(I3*L3)+(POWER(P3,2)/(2*(I3+L3))))</f>
        <v>2.9848517938338057</v>
      </c>
    </row>
    <row r="4" spans="1:18" x14ac:dyDescent="0.3">
      <c r="A4">
        <v>2</v>
      </c>
      <c r="B4" t="s">
        <v>8</v>
      </c>
      <c r="C4">
        <v>2022</v>
      </c>
      <c r="D4" t="s">
        <v>67</v>
      </c>
      <c r="E4" t="s">
        <v>14</v>
      </c>
      <c r="F4" t="s">
        <v>68</v>
      </c>
      <c r="G4" t="s">
        <v>20</v>
      </c>
      <c r="H4" t="s">
        <v>69</v>
      </c>
      <c r="I4">
        <v>30</v>
      </c>
      <c r="J4">
        <v>33.83</v>
      </c>
      <c r="K4">
        <v>17.940000000000001</v>
      </c>
      <c r="L4">
        <v>30</v>
      </c>
      <c r="M4">
        <v>15.8</v>
      </c>
      <c r="N4">
        <v>5.59</v>
      </c>
      <c r="O4">
        <f t="shared" ref="O4:O10" si="8">SQRT(((I4-1)*POWER(K4,2) + (L4-1)*POWER(N4,2))/((I4-1)+(L4-1)))</f>
        <v>13.287055731048923</v>
      </c>
      <c r="P4">
        <f t="shared" ref="P4:P10" si="9">(J4-M4)/O4</f>
        <v>1.3569597633182089</v>
      </c>
      <c r="Q4">
        <f t="shared" ref="Q4:Q10" si="10">P4*(1- (3/(4*(I4+L4)-9)))</f>
        <v>1.3393369092491412</v>
      </c>
      <c r="R4">
        <f t="shared" ref="R4:R10" si="11">SQRT((I4+L4)/(I4*L4)+(POWER(P4,2)/(2*(I4+L4))))</f>
        <v>0.28637591552690278</v>
      </c>
    </row>
    <row r="5" spans="1:18" x14ac:dyDescent="0.3">
      <c r="A5">
        <v>3</v>
      </c>
      <c r="B5" t="s">
        <v>152</v>
      </c>
      <c r="C5">
        <v>2003</v>
      </c>
      <c r="D5" t="s">
        <v>153</v>
      </c>
      <c r="E5" t="s">
        <v>154</v>
      </c>
      <c r="F5" t="s">
        <v>147</v>
      </c>
      <c r="G5" t="s">
        <v>155</v>
      </c>
      <c r="H5" t="s">
        <v>156</v>
      </c>
      <c r="I5">
        <v>16</v>
      </c>
      <c r="J5">
        <v>80</v>
      </c>
      <c r="K5">
        <f>(101-72)*(3/4)</f>
        <v>21.75</v>
      </c>
      <c r="L5">
        <v>14</v>
      </c>
      <c r="M5">
        <v>57</v>
      </c>
      <c r="N5">
        <f>(68-52)*(3/4)</f>
        <v>12</v>
      </c>
      <c r="O5">
        <f t="shared" si="8"/>
        <v>17.896465632712431</v>
      </c>
      <c r="P5">
        <f t="shared" si="9"/>
        <v>1.2851699588078982</v>
      </c>
      <c r="Q5">
        <f t="shared" si="10"/>
        <v>1.250435635596874</v>
      </c>
      <c r="R5">
        <f t="shared" si="11"/>
        <v>0.40181621231471359</v>
      </c>
    </row>
    <row r="6" spans="1:18" x14ac:dyDescent="0.3">
      <c r="A6">
        <v>4</v>
      </c>
      <c r="B6" t="s">
        <v>36</v>
      </c>
      <c r="C6">
        <v>2002</v>
      </c>
      <c r="D6" t="s">
        <v>37</v>
      </c>
      <c r="E6" t="s">
        <v>38</v>
      </c>
      <c r="F6" t="s">
        <v>77</v>
      </c>
      <c r="G6" t="s">
        <v>157</v>
      </c>
      <c r="H6" t="s">
        <v>158</v>
      </c>
      <c r="I6">
        <v>15</v>
      </c>
      <c r="J6">
        <v>292.5</v>
      </c>
      <c r="K6">
        <v>31.4</v>
      </c>
      <c r="L6">
        <v>9</v>
      </c>
      <c r="M6">
        <v>125.7</v>
      </c>
      <c r="N6">
        <v>17.2</v>
      </c>
      <c r="O6">
        <f t="shared" si="8"/>
        <v>27.111017552413497</v>
      </c>
      <c r="P6">
        <f t="shared" si="9"/>
        <v>6.1524802482063619</v>
      </c>
      <c r="Q6">
        <f t="shared" si="10"/>
        <v>5.9403257568889014</v>
      </c>
      <c r="R6">
        <f t="shared" si="11"/>
        <v>0.98304741469556833</v>
      </c>
    </row>
    <row r="7" spans="1:18" x14ac:dyDescent="0.3">
      <c r="A7">
        <v>5</v>
      </c>
      <c r="B7" t="s">
        <v>159</v>
      </c>
      <c r="C7">
        <v>2007</v>
      </c>
      <c r="D7" t="s">
        <v>160</v>
      </c>
      <c r="E7" t="s">
        <v>161</v>
      </c>
      <c r="F7" t="s">
        <v>77</v>
      </c>
      <c r="G7" t="s">
        <v>157</v>
      </c>
      <c r="H7" t="s">
        <v>162</v>
      </c>
      <c r="I7">
        <v>14</v>
      </c>
      <c r="J7">
        <v>1708</v>
      </c>
      <c r="K7">
        <f>(2303-1015)*(3/4)</f>
        <v>966</v>
      </c>
      <c r="L7">
        <v>33</v>
      </c>
      <c r="M7">
        <v>1771</v>
      </c>
      <c r="N7">
        <f>(2303-1015)*(3/4)</f>
        <v>966</v>
      </c>
      <c r="O7">
        <f t="shared" si="8"/>
        <v>966</v>
      </c>
      <c r="P7">
        <f t="shared" si="9"/>
        <v>-6.5217391304347824E-2</v>
      </c>
      <c r="Q7">
        <f t="shared" si="10"/>
        <v>-6.4124362399805679E-2</v>
      </c>
      <c r="R7">
        <f t="shared" si="11"/>
        <v>0.3190248418076812</v>
      </c>
    </row>
    <row r="8" spans="1:18" x14ac:dyDescent="0.3">
      <c r="A8">
        <v>6</v>
      </c>
      <c r="B8" t="s">
        <v>163</v>
      </c>
      <c r="C8">
        <v>2007</v>
      </c>
      <c r="D8" t="s">
        <v>164</v>
      </c>
      <c r="E8" t="s">
        <v>38</v>
      </c>
      <c r="F8" t="s">
        <v>77</v>
      </c>
      <c r="G8" t="s">
        <v>165</v>
      </c>
      <c r="H8" t="s">
        <v>166</v>
      </c>
      <c r="I8">
        <v>15</v>
      </c>
      <c r="J8">
        <v>37</v>
      </c>
      <c r="K8">
        <v>3</v>
      </c>
      <c r="L8">
        <v>16</v>
      </c>
      <c r="M8">
        <v>31</v>
      </c>
      <c r="N8">
        <v>2</v>
      </c>
      <c r="O8">
        <f t="shared" si="8"/>
        <v>2.5325467623418674</v>
      </c>
      <c r="P8">
        <f t="shared" si="9"/>
        <v>2.3691566486423925</v>
      </c>
      <c r="Q8">
        <f t="shared" si="10"/>
        <v>2.3073525621560691</v>
      </c>
      <c r="R8">
        <f t="shared" si="11"/>
        <v>0.46871885374613781</v>
      </c>
    </row>
    <row r="9" spans="1:18" x14ac:dyDescent="0.3">
      <c r="A9">
        <v>7</v>
      </c>
      <c r="B9" t="s">
        <v>306</v>
      </c>
      <c r="C9">
        <v>2021</v>
      </c>
      <c r="D9" t="s">
        <v>167</v>
      </c>
      <c r="E9" t="s">
        <v>87</v>
      </c>
      <c r="H9" t="s">
        <v>168</v>
      </c>
      <c r="I9">
        <f>2*12</f>
        <v>24</v>
      </c>
      <c r="J9">
        <v>100</v>
      </c>
      <c r="K9">
        <v>20</v>
      </c>
      <c r="L9">
        <f>13*2</f>
        <v>26</v>
      </c>
      <c r="M9">
        <v>62</v>
      </c>
      <c r="N9">
        <v>5</v>
      </c>
      <c r="O9">
        <f t="shared" si="8"/>
        <v>14.306903927824496</v>
      </c>
      <c r="P9">
        <f t="shared" si="9"/>
        <v>2.6560603322495555</v>
      </c>
      <c r="Q9">
        <f t="shared" si="10"/>
        <v>2.614342107135688</v>
      </c>
      <c r="R9">
        <f t="shared" si="11"/>
        <v>0.38816848147898525</v>
      </c>
    </row>
    <row r="10" spans="1:18" x14ac:dyDescent="0.3">
      <c r="A10">
        <v>8</v>
      </c>
      <c r="B10" t="s">
        <v>26</v>
      </c>
      <c r="C10">
        <v>2016</v>
      </c>
      <c r="D10" t="s">
        <v>169</v>
      </c>
      <c r="E10" t="s">
        <v>28</v>
      </c>
      <c r="F10" t="s">
        <v>136</v>
      </c>
      <c r="G10" t="s">
        <v>155</v>
      </c>
      <c r="H10" t="s">
        <v>170</v>
      </c>
      <c r="I10">
        <f>(14/18)*135</f>
        <v>105</v>
      </c>
      <c r="J10">
        <v>725</v>
      </c>
      <c r="K10">
        <v>50</v>
      </c>
      <c r="L10">
        <v>30</v>
      </c>
      <c r="M10">
        <v>425</v>
      </c>
      <c r="N10">
        <v>25</v>
      </c>
      <c r="O10">
        <f t="shared" si="8"/>
        <v>45.729262114469272</v>
      </c>
      <c r="P10">
        <f t="shared" si="9"/>
        <v>6.5603507716577933</v>
      </c>
      <c r="Q10">
        <f t="shared" si="10"/>
        <v>6.5232866430043597</v>
      </c>
      <c r="R10">
        <f t="shared" si="11"/>
        <v>0.44973091056854569</v>
      </c>
    </row>
    <row r="11" spans="1:18" x14ac:dyDescent="0.3">
      <c r="A11">
        <v>9</v>
      </c>
      <c r="B11" t="s">
        <v>171</v>
      </c>
      <c r="C11">
        <v>2010</v>
      </c>
      <c r="D11" t="s">
        <v>172</v>
      </c>
      <c r="E11" t="s">
        <v>33</v>
      </c>
      <c r="F11" t="s">
        <v>77</v>
      </c>
      <c r="G11" t="s">
        <v>173</v>
      </c>
      <c r="H11" t="s">
        <v>174</v>
      </c>
      <c r="I11">
        <v>6</v>
      </c>
      <c r="J11">
        <v>26.83</v>
      </c>
      <c r="K11">
        <v>7.91</v>
      </c>
      <c r="L11">
        <v>8</v>
      </c>
      <c r="M11">
        <v>22.59</v>
      </c>
      <c r="N11">
        <v>5.61</v>
      </c>
      <c r="O11">
        <f t="shared" ref="O11:O12" si="12">SQRT(((I11-1)*POWER(K11,2) + (L11-1)*POWER(N11,2))/((I11-1)+(L11-1)))</f>
        <v>6.6654907296212382</v>
      </c>
      <c r="P11">
        <f t="shared" ref="P11:P12" si="13">(J11-M11)/O11</f>
        <v>0.63611220418589243</v>
      </c>
      <c r="Q11">
        <f t="shared" ref="Q11:Q12" si="14">P11*(1- (3/(4*(I11+L11)-9)))</f>
        <v>0.59550929753572912</v>
      </c>
      <c r="R11">
        <f t="shared" ref="R11:R12" si="15">SQRT((I11+L11)/(I11*L11)+(POWER(P11,2)/(2*(I11+L11))))</f>
        <v>0.55327935991365229</v>
      </c>
    </row>
    <row r="12" spans="1:18" x14ac:dyDescent="0.3">
      <c r="A12">
        <v>10</v>
      </c>
      <c r="B12" t="s">
        <v>89</v>
      </c>
      <c r="C12">
        <v>2013</v>
      </c>
      <c r="D12" t="s">
        <v>178</v>
      </c>
      <c r="E12" t="s">
        <v>38</v>
      </c>
      <c r="F12" t="s">
        <v>77</v>
      </c>
      <c r="H12" t="s">
        <v>177</v>
      </c>
      <c r="I12">
        <v>11</v>
      </c>
      <c r="J12">
        <v>700</v>
      </c>
      <c r="K12">
        <f>500*(3/4)</f>
        <v>375</v>
      </c>
      <c r="L12">
        <v>7</v>
      </c>
      <c r="M12">
        <v>400</v>
      </c>
      <c r="N12">
        <v>50</v>
      </c>
      <c r="O12">
        <f t="shared" si="12"/>
        <v>298.04047543915908</v>
      </c>
      <c r="P12">
        <f t="shared" si="13"/>
        <v>1.0065746927760519</v>
      </c>
      <c r="Q12">
        <f t="shared" si="14"/>
        <v>0.95864256454862085</v>
      </c>
      <c r="R12">
        <f t="shared" si="15"/>
        <v>0.51177189546932644</v>
      </c>
    </row>
    <row r="13" spans="1:18" x14ac:dyDescent="0.3">
      <c r="A13">
        <v>11</v>
      </c>
      <c r="B13" t="s">
        <v>349</v>
      </c>
      <c r="C13">
        <v>2014</v>
      </c>
      <c r="D13" t="s">
        <v>350</v>
      </c>
      <c r="E13" t="s">
        <v>33</v>
      </c>
      <c r="F13" t="s">
        <v>77</v>
      </c>
      <c r="G13" t="s">
        <v>157</v>
      </c>
      <c r="H13" t="s">
        <v>351</v>
      </c>
      <c r="I13">
        <v>11</v>
      </c>
      <c r="J13">
        <v>3550</v>
      </c>
      <c r="K13">
        <v>400</v>
      </c>
      <c r="L13">
        <v>5</v>
      </c>
      <c r="M13">
        <v>2000</v>
      </c>
      <c r="N13">
        <v>120</v>
      </c>
      <c r="O13">
        <f t="shared" ref="O13:O14" si="16">SQRT(((I13-1)*POWER(K13,2) + (L13-1)*POWER(N13,2))/((I13-1)+(L13-1)))</f>
        <v>344.0930106817051</v>
      </c>
      <c r="P13">
        <f t="shared" ref="P13:P14" si="17">(J13-M13)/O13</f>
        <v>4.5045960013229971</v>
      </c>
      <c r="Q13">
        <f t="shared" ref="Q13:Q14" si="18">P13*(1- (3/(4*(I13+L13)-9)))</f>
        <v>4.2588907648871972</v>
      </c>
      <c r="R13">
        <f t="shared" ref="R13:R14" si="19">SQRT((I13+L13)/(I13*L13)+(POWER(P13,2)/(2*(I13+L13))))</f>
        <v>0.96177693691524113</v>
      </c>
    </row>
    <row r="14" spans="1:18" x14ac:dyDescent="0.3">
      <c r="A14">
        <v>12</v>
      </c>
      <c r="B14" t="s">
        <v>372</v>
      </c>
      <c r="C14">
        <v>2022</v>
      </c>
      <c r="D14" t="s">
        <v>373</v>
      </c>
      <c r="E14" t="s">
        <v>374</v>
      </c>
      <c r="F14" t="s">
        <v>72</v>
      </c>
      <c r="G14" t="s">
        <v>78</v>
      </c>
      <c r="H14" t="s">
        <v>375</v>
      </c>
      <c r="I14">
        <v>10</v>
      </c>
      <c r="J14">
        <v>390</v>
      </c>
      <c r="K14">
        <f>100*(3/4)</f>
        <v>75</v>
      </c>
      <c r="L14">
        <v>10</v>
      </c>
      <c r="M14">
        <v>210</v>
      </c>
      <c r="N14">
        <f>120*(3/4)</f>
        <v>90</v>
      </c>
      <c r="O14">
        <f t="shared" si="16"/>
        <v>82.840207628904452</v>
      </c>
      <c r="P14">
        <f t="shared" si="17"/>
        <v>2.1728579050204448</v>
      </c>
      <c r="Q14">
        <f t="shared" si="18"/>
        <v>2.081047007625215</v>
      </c>
      <c r="R14">
        <f t="shared" si="19"/>
        <v>0.56394395722025958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82DD-83D6-42FC-BEAD-D85E565DA625}">
  <dimension ref="A1:R14"/>
  <sheetViews>
    <sheetView workbookViewId="0">
      <selection activeCell="C22" sqref="C22"/>
    </sheetView>
  </sheetViews>
  <sheetFormatPr defaultRowHeight="14.4" x14ac:dyDescent="0.3"/>
  <cols>
    <col min="2" max="2" width="18.4414062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179</v>
      </c>
      <c r="C2">
        <v>2017</v>
      </c>
      <c r="D2" t="s">
        <v>216</v>
      </c>
      <c r="E2" t="s">
        <v>28</v>
      </c>
      <c r="F2" t="s">
        <v>72</v>
      </c>
      <c r="G2" t="s">
        <v>180</v>
      </c>
      <c r="H2" t="s">
        <v>181</v>
      </c>
      <c r="I2">
        <v>36</v>
      </c>
      <c r="J2">
        <v>1140</v>
      </c>
      <c r="K2">
        <v>68</v>
      </c>
      <c r="L2">
        <v>36</v>
      </c>
      <c r="M2">
        <v>1043</v>
      </c>
      <c r="N2">
        <v>41</v>
      </c>
      <c r="O2">
        <f t="shared" ref="O2" si="0">SQRT(((I2-1)*POWER(K2,2) + (L2-1)*POWER(N2,2))/((I2-1)+(L2-1)))</f>
        <v>56.14712815451918</v>
      </c>
      <c r="P2">
        <f t="shared" ref="P2" si="1">(J2-M2)/O2</f>
        <v>1.7276039432159747</v>
      </c>
      <c r="Q2">
        <f t="shared" ref="Q2" si="2">P2*(1- (3/(4*(I2+L2)-9)))</f>
        <v>1.7090275567297815</v>
      </c>
      <c r="R2">
        <f t="shared" ref="R2" si="3">SQRT((I2+L2)/(I2*L2)+(POWER(P2,2)/(2*(I2+L2))))</f>
        <v>0.27619205506685246</v>
      </c>
    </row>
    <row r="3" spans="1:18" x14ac:dyDescent="0.3">
      <c r="A3">
        <v>1</v>
      </c>
      <c r="B3" t="s">
        <v>182</v>
      </c>
      <c r="C3">
        <v>2006</v>
      </c>
      <c r="D3" t="s">
        <v>183</v>
      </c>
      <c r="E3" t="s">
        <v>38</v>
      </c>
      <c r="F3" t="s">
        <v>77</v>
      </c>
      <c r="G3" t="s">
        <v>157</v>
      </c>
      <c r="I3">
        <v>3</v>
      </c>
      <c r="J3">
        <v>19600</v>
      </c>
      <c r="K3">
        <v>7410</v>
      </c>
      <c r="L3">
        <v>3</v>
      </c>
      <c r="M3">
        <v>2430</v>
      </c>
      <c r="N3">
        <v>367</v>
      </c>
      <c r="O3">
        <f t="shared" ref="O3" si="4">SQRT(((I3-1)*POWER(K3,2) + (L3-1)*POWER(N3,2))/((I3-1)+(L3-1)))</f>
        <v>5246.0837297931112</v>
      </c>
      <c r="P3">
        <f t="shared" ref="P3" si="5">(J3-M3)/O3</f>
        <v>3.2729176437824661</v>
      </c>
      <c r="Q3">
        <f t="shared" ref="Q3" si="6">P3*(1- (3/(4*(I3+L3)-9)))</f>
        <v>2.6183341150259731</v>
      </c>
      <c r="R3">
        <f t="shared" ref="R3" si="7">SQRT((I3+L3)/(I3*L3)+(POWER(P3,2)/(2*(I3+L3))))</f>
        <v>1.2487323539955286</v>
      </c>
    </row>
    <row r="4" spans="1:18" x14ac:dyDescent="0.3">
      <c r="A4">
        <v>2</v>
      </c>
      <c r="B4" t="s">
        <v>184</v>
      </c>
      <c r="C4">
        <v>2021</v>
      </c>
      <c r="D4" t="s">
        <v>185</v>
      </c>
      <c r="E4" t="s">
        <v>33</v>
      </c>
      <c r="F4" t="s">
        <v>77</v>
      </c>
      <c r="G4" t="s">
        <v>186</v>
      </c>
      <c r="H4" t="s">
        <v>187</v>
      </c>
      <c r="I4">
        <v>15</v>
      </c>
      <c r="J4">
        <v>32.4</v>
      </c>
      <c r="K4">
        <f>(35.9-29.2)*(3/4)</f>
        <v>5.0249999999999995</v>
      </c>
      <c r="L4">
        <v>18</v>
      </c>
      <c r="M4">
        <v>40.1</v>
      </c>
      <c r="N4">
        <f>(48.5-35.4)*(3/4)</f>
        <v>9.8250000000000011</v>
      </c>
      <c r="O4">
        <f t="shared" ref="O4" si="8">SQRT(((I4-1)*POWER(K4,2) + (L4-1)*POWER(N4,2))/((I4-1)+(L4-1)))</f>
        <v>8.0212004873375733</v>
      </c>
      <c r="P4">
        <f t="shared" ref="P4" si="9">(J4-M4)/O4</f>
        <v>-0.95995605796855177</v>
      </c>
      <c r="Q4">
        <f t="shared" ref="Q4" si="10">P4*(1- (3/(4*(I4+L4)-9)))</f>
        <v>-0.93654249557907487</v>
      </c>
      <c r="R4">
        <f t="shared" ref="R4" si="11">SQRT((I4+L4)/(I4*L4)+(POWER(P4,2)/(2*(I4+L4))))</f>
        <v>0.36903195024478913</v>
      </c>
    </row>
    <row r="5" spans="1:18" x14ac:dyDescent="0.3">
      <c r="A5">
        <v>3</v>
      </c>
      <c r="B5" t="s">
        <v>188</v>
      </c>
      <c r="C5">
        <v>2018</v>
      </c>
      <c r="D5" t="s">
        <v>189</v>
      </c>
      <c r="E5" t="s">
        <v>190</v>
      </c>
      <c r="F5" t="s">
        <v>147</v>
      </c>
      <c r="G5" t="s">
        <v>121</v>
      </c>
      <c r="H5" t="s">
        <v>191</v>
      </c>
      <c r="I5">
        <v>22</v>
      </c>
      <c r="J5">
        <v>178.34</v>
      </c>
      <c r="K5">
        <f>178.34*(1.9/4.1)</f>
        <v>82.645365853658546</v>
      </c>
      <c r="L5">
        <v>20</v>
      </c>
      <c r="M5">
        <v>191.62</v>
      </c>
      <c r="N5">
        <f>191.62*(1.5/7.1)</f>
        <v>40.4830985915493</v>
      </c>
      <c r="O5">
        <f t="shared" ref="O5" si="12">SQRT(((I5-1)*POWER(K5,2) + (L5-1)*POWER(N5,2))/((I5-1)+(L5-1)))</f>
        <v>66.063252001145727</v>
      </c>
      <c r="P5">
        <f t="shared" ref="P5" si="13">(J5-M5)/O5</f>
        <v>-0.2010194714569862</v>
      </c>
      <c r="Q5">
        <f t="shared" ref="Q5" si="14">P5*(1- (3/(4*(I5+L5)-9)))</f>
        <v>-0.19722665124081665</v>
      </c>
      <c r="R5">
        <f t="shared" ref="R5" si="15">SQRT((I5+L5)/(I5*L5)+(POWER(P5,2)/(2*(I5+L5))))</f>
        <v>0.30973472993773743</v>
      </c>
    </row>
    <row r="6" spans="1:18" x14ac:dyDescent="0.3">
      <c r="A6">
        <v>4</v>
      </c>
      <c r="B6" t="s">
        <v>192</v>
      </c>
      <c r="C6">
        <v>2021</v>
      </c>
      <c r="D6" t="s">
        <v>193</v>
      </c>
      <c r="E6" t="s">
        <v>19</v>
      </c>
      <c r="F6" t="s">
        <v>72</v>
      </c>
      <c r="G6" t="s">
        <v>194</v>
      </c>
      <c r="H6" t="s">
        <v>195</v>
      </c>
      <c r="I6">
        <v>12</v>
      </c>
      <c r="J6">
        <v>3264.98</v>
      </c>
      <c r="K6">
        <v>21871</v>
      </c>
      <c r="L6">
        <v>1</v>
      </c>
      <c r="M6">
        <v>193.2</v>
      </c>
      <c r="N6">
        <v>10161</v>
      </c>
      <c r="O6">
        <f t="shared" ref="O6:O8" si="16">SQRT(((I6-1)*POWER(K6,2) + (L6-1)*POWER(N6,2))/((I6-1)+(L6-1)))</f>
        <v>21871</v>
      </c>
      <c r="P6">
        <f t="shared" ref="P6:P8" si="17">(J6-M6)/O6</f>
        <v>0.14044991084083946</v>
      </c>
      <c r="Q6">
        <f t="shared" ref="Q6:Q8" si="18">P6*(1- (3/(4*(I6+L6)-9)))</f>
        <v>0.13065107985194369</v>
      </c>
      <c r="R6">
        <f t="shared" ref="R6:R8" si="19">SQRT((I6+L6)/(I6*L6)+(POWER(P6,2)/(2*(I6+L6))))</f>
        <v>1.0411974032171929</v>
      </c>
    </row>
    <row r="7" spans="1:18" x14ac:dyDescent="0.3">
      <c r="A7">
        <v>5</v>
      </c>
      <c r="B7" t="s">
        <v>196</v>
      </c>
      <c r="C7">
        <v>2013</v>
      </c>
      <c r="D7" t="s">
        <v>197</v>
      </c>
      <c r="E7" t="s">
        <v>198</v>
      </c>
      <c r="F7" t="s">
        <v>77</v>
      </c>
      <c r="G7" t="s">
        <v>199</v>
      </c>
      <c r="H7" t="s">
        <v>200</v>
      </c>
      <c r="I7">
        <v>16</v>
      </c>
      <c r="J7">
        <v>350</v>
      </c>
      <c r="K7">
        <v>20</v>
      </c>
      <c r="L7">
        <v>4</v>
      </c>
      <c r="M7">
        <v>375</v>
      </c>
      <c r="N7">
        <v>40</v>
      </c>
      <c r="O7">
        <f t="shared" si="16"/>
        <v>24.494897427831781</v>
      </c>
      <c r="P7">
        <f t="shared" si="17"/>
        <v>-1.0206207261596576</v>
      </c>
      <c r="Q7">
        <f t="shared" si="18"/>
        <v>-0.97749590674446085</v>
      </c>
      <c r="R7">
        <f t="shared" si="19"/>
        <v>0.58184333515703923</v>
      </c>
    </row>
    <row r="8" spans="1:18" x14ac:dyDescent="0.3">
      <c r="A8">
        <v>6</v>
      </c>
      <c r="B8" t="s">
        <v>205</v>
      </c>
      <c r="C8">
        <v>2005</v>
      </c>
      <c r="D8" t="s">
        <v>206</v>
      </c>
      <c r="E8" t="s">
        <v>38</v>
      </c>
      <c r="F8" t="s">
        <v>77</v>
      </c>
      <c r="G8" t="s">
        <v>207</v>
      </c>
      <c r="I8">
        <v>13</v>
      </c>
      <c r="J8">
        <v>3.06</v>
      </c>
      <c r="K8">
        <v>0.22</v>
      </c>
      <c r="L8">
        <v>15</v>
      </c>
      <c r="M8">
        <v>2.76</v>
      </c>
      <c r="N8">
        <v>0.14000000000000001</v>
      </c>
      <c r="O8">
        <f t="shared" si="16"/>
        <v>0.18136236570001973</v>
      </c>
      <c r="P8">
        <f t="shared" si="17"/>
        <v>1.654146927572679</v>
      </c>
      <c r="Q8">
        <f t="shared" si="18"/>
        <v>1.6059678908472612</v>
      </c>
      <c r="R8">
        <f t="shared" si="19"/>
        <v>0.43869179913171907</v>
      </c>
    </row>
    <row r="9" spans="1:18" x14ac:dyDescent="0.3">
      <c r="A9">
        <v>7</v>
      </c>
      <c r="B9" t="s">
        <v>208</v>
      </c>
      <c r="C9">
        <v>2018</v>
      </c>
      <c r="D9" t="s">
        <v>209</v>
      </c>
      <c r="E9" t="s">
        <v>210</v>
      </c>
      <c r="F9" t="s">
        <v>136</v>
      </c>
      <c r="G9" t="s">
        <v>211</v>
      </c>
      <c r="H9" t="s">
        <v>212</v>
      </c>
      <c r="I9">
        <v>10</v>
      </c>
      <c r="J9">
        <v>0.3</v>
      </c>
      <c r="K9">
        <f>0.4*(3/4)</f>
        <v>0.30000000000000004</v>
      </c>
      <c r="L9">
        <v>10</v>
      </c>
      <c r="M9">
        <v>0.25</v>
      </c>
      <c r="N9">
        <f>0.4*(3/4)</f>
        <v>0.30000000000000004</v>
      </c>
      <c r="O9">
        <f t="shared" ref="O9:O11" si="20">SQRT(((I9-1)*POWER(K9,2) + (L9-1)*POWER(N9,2))/((I9-1)+(L9-1)))</f>
        <v>0.30000000000000004</v>
      </c>
      <c r="P9">
        <f t="shared" ref="P9:P11" si="21">(J9-M9)/O9</f>
        <v>0.1666666666666666</v>
      </c>
      <c r="Q9">
        <f t="shared" ref="Q9:Q11" si="22">P9*(1- (3/(4*(I9+L9)-9)))</f>
        <v>0.15962441314553985</v>
      </c>
      <c r="R9">
        <f t="shared" ref="R9:R11" si="23">SQRT((I9+L9)/(I9*L9)+(POWER(P9,2)/(2*(I9+L9))))</f>
        <v>0.44798933519052042</v>
      </c>
    </row>
    <row r="10" spans="1:18" x14ac:dyDescent="0.3">
      <c r="A10">
        <v>8</v>
      </c>
      <c r="B10" t="s">
        <v>97</v>
      </c>
      <c r="C10">
        <v>2016</v>
      </c>
      <c r="D10" t="s">
        <v>96</v>
      </c>
      <c r="E10" t="s">
        <v>98</v>
      </c>
      <c r="F10" t="s">
        <v>39</v>
      </c>
      <c r="G10" t="s">
        <v>100</v>
      </c>
      <c r="H10" t="s">
        <v>262</v>
      </c>
      <c r="I10">
        <v>32</v>
      </c>
      <c r="J10">
        <v>75</v>
      </c>
      <c r="K10">
        <f>J10/5</f>
        <v>15</v>
      </c>
      <c r="L10">
        <v>8</v>
      </c>
      <c r="M10">
        <v>25</v>
      </c>
      <c r="N10">
        <f>M10/12</f>
        <v>2.0833333333333335</v>
      </c>
      <c r="O10">
        <f t="shared" si="20"/>
        <v>13.577634419616274</v>
      </c>
      <c r="P10">
        <f t="shared" si="21"/>
        <v>3.6825266062372801</v>
      </c>
      <c r="Q10">
        <f t="shared" si="22"/>
        <v>3.6093638259809104</v>
      </c>
      <c r="R10">
        <f t="shared" si="23"/>
        <v>0.57075610164988011</v>
      </c>
    </row>
    <row r="11" spans="1:18" x14ac:dyDescent="0.3">
      <c r="A11">
        <v>9</v>
      </c>
      <c r="B11" t="s">
        <v>89</v>
      </c>
      <c r="C11">
        <v>2017</v>
      </c>
      <c r="D11" t="s">
        <v>90</v>
      </c>
      <c r="E11" t="s">
        <v>91</v>
      </c>
      <c r="F11" t="s">
        <v>77</v>
      </c>
      <c r="G11" t="s">
        <v>266</v>
      </c>
      <c r="H11" t="s">
        <v>267</v>
      </c>
      <c r="I11">
        <v>28</v>
      </c>
      <c r="J11">
        <v>15</v>
      </c>
      <c r="K11">
        <f>10*(3/4)</f>
        <v>7.5</v>
      </c>
      <c r="L11">
        <v>2</v>
      </c>
      <c r="M11">
        <v>5</v>
      </c>
      <c r="N11">
        <f>2*(3/4)</f>
        <v>1.5</v>
      </c>
      <c r="O11">
        <f t="shared" si="20"/>
        <v>7.370307223679931</v>
      </c>
      <c r="P11">
        <f t="shared" si="21"/>
        <v>1.3567955441356874</v>
      </c>
      <c r="Q11">
        <f t="shared" si="22"/>
        <v>1.3201253942941824</v>
      </c>
      <c r="R11">
        <f t="shared" si="23"/>
        <v>0.75259275498598399</v>
      </c>
    </row>
    <row r="12" spans="1:18" x14ac:dyDescent="0.3">
      <c r="A12">
        <v>10</v>
      </c>
      <c r="B12" t="s">
        <v>292</v>
      </c>
      <c r="C12">
        <v>2017</v>
      </c>
      <c r="D12" t="s">
        <v>293</v>
      </c>
      <c r="E12" t="s">
        <v>294</v>
      </c>
      <c r="F12" t="s">
        <v>136</v>
      </c>
      <c r="I12">
        <v>717</v>
      </c>
      <c r="J12">
        <v>599.13</v>
      </c>
      <c r="K12">
        <v>881.81</v>
      </c>
      <c r="L12">
        <v>413</v>
      </c>
      <c r="M12">
        <v>271.37</v>
      </c>
      <c r="N12">
        <v>578.65</v>
      </c>
      <c r="O12">
        <f t="shared" ref="O12" si="24">SQRT(((I12-1)*POWER(K12,2) + (L12-1)*POWER(N12,2))/((I12-1)+(L12-1)))</f>
        <v>784.77647027401667</v>
      </c>
      <c r="P12">
        <f t="shared" ref="P12" si="25">(J12-M12)/O12</f>
        <v>0.4176475880903483</v>
      </c>
      <c r="Q12">
        <f t="shared" ref="Q12" si="26">P12*(1- (3/(4*(I12+L12)-9)))</f>
        <v>0.41736983531618049</v>
      </c>
      <c r="R12">
        <f t="shared" ref="R12" si="27">SQRT((I12+L12)/(I12*L12)+(POWER(P12,2)/(2*(I12+L12))))</f>
        <v>6.2395423259094494E-2</v>
      </c>
    </row>
    <row r="13" spans="1:18" x14ac:dyDescent="0.3">
      <c r="A13">
        <v>11</v>
      </c>
      <c r="B13" t="s">
        <v>301</v>
      </c>
      <c r="C13">
        <v>2010</v>
      </c>
      <c r="D13" t="s">
        <v>302</v>
      </c>
      <c r="E13" t="s">
        <v>38</v>
      </c>
      <c r="F13" t="s">
        <v>77</v>
      </c>
      <c r="G13" t="s">
        <v>131</v>
      </c>
      <c r="H13" t="s">
        <v>303</v>
      </c>
      <c r="I13">
        <v>11</v>
      </c>
      <c r="J13">
        <v>800</v>
      </c>
      <c r="K13">
        <f>(1250/8)*(3/4)</f>
        <v>117.1875</v>
      </c>
      <c r="L13">
        <v>10</v>
      </c>
      <c r="M13">
        <v>700</v>
      </c>
      <c r="N13">
        <f>(1250/10)*(3/4)</f>
        <v>93.75</v>
      </c>
      <c r="O13">
        <f t="shared" ref="O13" si="28">SQRT(((I13-1)*POWER(K13,2) + (L13-1)*POWER(N13,2))/((I13-1)+(L13-1)))</f>
        <v>106.72903813975296</v>
      </c>
      <c r="P13">
        <f t="shared" ref="P13" si="29">(J13-M13)/O13</f>
        <v>0.93695213358016183</v>
      </c>
      <c r="Q13">
        <f t="shared" ref="Q13" si="30">P13*(1- (3/(4*(I13+L13)-9)))</f>
        <v>0.89947404823695531</v>
      </c>
      <c r="R13">
        <f t="shared" ref="R13" si="31">SQRT((I13+L13)/(I13*L13)+(POWER(P13,2)/(2*(I13+L13))))</f>
        <v>0.46022926788623608</v>
      </c>
    </row>
    <row r="14" spans="1:18" x14ac:dyDescent="0.3">
      <c r="A14">
        <v>12</v>
      </c>
      <c r="B14" t="s">
        <v>352</v>
      </c>
      <c r="C14">
        <v>2016</v>
      </c>
      <c r="D14" t="s">
        <v>353</v>
      </c>
      <c r="E14" t="s">
        <v>87</v>
      </c>
      <c r="F14" t="s">
        <v>259</v>
      </c>
      <c r="G14" t="s">
        <v>354</v>
      </c>
      <c r="H14" t="s">
        <v>355</v>
      </c>
      <c r="I14">
        <v>6</v>
      </c>
      <c r="J14">
        <v>592.29999999999995</v>
      </c>
      <c r="K14">
        <f>1000*(3/4)</f>
        <v>750</v>
      </c>
      <c r="L14">
        <v>6</v>
      </c>
      <c r="M14">
        <v>0.33</v>
      </c>
      <c r="N14">
        <v>10</v>
      </c>
      <c r="O14">
        <f t="shared" ref="O14" si="32">SQRT(((I14-1)*POWER(K14,2) + (L14-1)*POWER(N14,2))/((I14-1)+(L14-1)))</f>
        <v>530.37722424704475</v>
      </c>
      <c r="P14">
        <f t="shared" ref="P14" si="33">(J14-M14)/O14</f>
        <v>1.1161301295326094</v>
      </c>
      <c r="Q14">
        <f t="shared" ref="Q14" si="34">P14*(1- (3/(4*(I14+L14)-9)))</f>
        <v>1.0302739657224087</v>
      </c>
      <c r="R14">
        <f t="shared" ref="R14" si="35">SQRT((I14+L14)/(I14*L14)+(POWER(P14,2)/(2*(I14+L14))))</f>
        <v>0.6206765954065262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5FBFA-590A-44E1-B3FD-3060EE11E94F}">
  <dimension ref="A1:R6"/>
  <sheetViews>
    <sheetView workbookViewId="0">
      <selection activeCell="J29" sqref="J29"/>
    </sheetView>
  </sheetViews>
  <sheetFormatPr defaultRowHeight="14.4" x14ac:dyDescent="0.3"/>
  <cols>
    <col min="2" max="2" width="17.2187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188</v>
      </c>
      <c r="C2">
        <v>2018</v>
      </c>
      <c r="D2" t="s">
        <v>189</v>
      </c>
      <c r="E2" t="s">
        <v>190</v>
      </c>
      <c r="F2" t="s">
        <v>147</v>
      </c>
      <c r="G2" t="s">
        <v>295</v>
      </c>
      <c r="H2" t="s">
        <v>296</v>
      </c>
      <c r="I2">
        <v>9</v>
      </c>
      <c r="J2">
        <v>585.14</v>
      </c>
      <c r="K2">
        <f>J2*(1.9/4.1)</f>
        <v>271.16243902439027</v>
      </c>
      <c r="L2">
        <v>10</v>
      </c>
      <c r="M2">
        <v>667.73</v>
      </c>
      <c r="N2">
        <f>M2*(1.5/7.1)</f>
        <v>141.06971830985918</v>
      </c>
      <c r="O2">
        <f t="shared" ref="O2:O5" si="0">SQRT(((I2-1)*POWER(K2,2) + (L2-1)*POWER(N2,2))/((I2-1)+(L2-1)))</f>
        <v>212.45602112623581</v>
      </c>
      <c r="P2">
        <f t="shared" ref="P2:P5" si="1">(J2-M2)/O2</f>
        <v>-0.38873927677920322</v>
      </c>
      <c r="Q2">
        <f t="shared" ref="Q2:Q5" si="2">P2*(1- (3/(4*(I2+L2)-9)))</f>
        <v>-0.37133304050550753</v>
      </c>
      <c r="R2">
        <f t="shared" ref="R2:R5" si="3">SQRT((I2+L2)/(I2*L2)+(POWER(P2,2)/(2*(I2+L2))))</f>
        <v>0.46377570711932226</v>
      </c>
    </row>
    <row r="3" spans="1:18" x14ac:dyDescent="0.3">
      <c r="A3">
        <v>1</v>
      </c>
      <c r="B3" t="s">
        <v>252</v>
      </c>
      <c r="C3">
        <v>2016</v>
      </c>
      <c r="D3" t="s">
        <v>253</v>
      </c>
      <c r="E3" t="s">
        <v>254</v>
      </c>
      <c r="H3" t="s">
        <v>255</v>
      </c>
      <c r="I3">
        <v>21</v>
      </c>
      <c r="J3">
        <v>2233.81</v>
      </c>
      <c r="K3">
        <v>678.08</v>
      </c>
      <c r="L3">
        <v>39</v>
      </c>
      <c r="M3">
        <v>3700.68</v>
      </c>
      <c r="N3">
        <v>1665.78</v>
      </c>
      <c r="O3">
        <f t="shared" si="0"/>
        <v>1405.8935313541519</v>
      </c>
      <c r="P3">
        <f t="shared" si="1"/>
        <v>-1.0433720386970666</v>
      </c>
      <c r="Q3">
        <f t="shared" si="2"/>
        <v>-1.0298217524802216</v>
      </c>
      <c r="R3">
        <f t="shared" si="3"/>
        <v>0.28693544573567509</v>
      </c>
    </row>
    <row r="4" spans="1:18" x14ac:dyDescent="0.3">
      <c r="A4">
        <v>2</v>
      </c>
      <c r="B4" t="s">
        <v>184</v>
      </c>
      <c r="C4">
        <v>2021</v>
      </c>
      <c r="D4" t="s">
        <v>185</v>
      </c>
      <c r="E4" t="s">
        <v>33</v>
      </c>
      <c r="F4" t="s">
        <v>77</v>
      </c>
      <c r="G4" t="s">
        <v>186</v>
      </c>
      <c r="H4" t="s">
        <v>249</v>
      </c>
      <c r="I4">
        <v>15</v>
      </c>
      <c r="J4">
        <v>4.2</v>
      </c>
      <c r="K4">
        <f>(4.6-3.9)*(3/4)</f>
        <v>0.5249999999999998</v>
      </c>
      <c r="L4">
        <v>18</v>
      </c>
      <c r="M4">
        <v>5.0999999999999996</v>
      </c>
      <c r="N4">
        <f>(6.2-4.3)*(3/4)</f>
        <v>1.4250000000000003</v>
      </c>
      <c r="O4">
        <f t="shared" si="0"/>
        <v>1.1126744154687436</v>
      </c>
      <c r="P4">
        <f t="shared" si="1"/>
        <v>-0.80886195232668368</v>
      </c>
      <c r="Q4">
        <f t="shared" si="2"/>
        <v>-0.78913361202603283</v>
      </c>
      <c r="R4">
        <f t="shared" si="3"/>
        <v>0.36350408118646782</v>
      </c>
    </row>
    <row r="5" spans="1:18" x14ac:dyDescent="0.3">
      <c r="A5">
        <v>3</v>
      </c>
      <c r="B5" t="s">
        <v>245</v>
      </c>
      <c r="C5">
        <v>2021</v>
      </c>
      <c r="D5" t="s">
        <v>246</v>
      </c>
      <c r="E5" t="s">
        <v>28</v>
      </c>
      <c r="F5" t="s">
        <v>77</v>
      </c>
      <c r="G5" t="s">
        <v>247</v>
      </c>
      <c r="H5" t="s">
        <v>298</v>
      </c>
      <c r="I5">
        <v>14</v>
      </c>
      <c r="J5">
        <v>21.75</v>
      </c>
      <c r="K5">
        <v>4.97</v>
      </c>
      <c r="L5">
        <v>23</v>
      </c>
      <c r="M5">
        <v>20.89</v>
      </c>
      <c r="N5">
        <v>4.03</v>
      </c>
      <c r="O5">
        <f t="shared" si="0"/>
        <v>4.4026339518844528</v>
      </c>
      <c r="P5">
        <f t="shared" si="1"/>
        <v>0.19533761139326491</v>
      </c>
      <c r="Q5">
        <f t="shared" si="2"/>
        <v>0.19112169172290669</v>
      </c>
      <c r="R5">
        <f t="shared" si="3"/>
        <v>0.33973881805449718</v>
      </c>
    </row>
    <row r="6" spans="1:18" x14ac:dyDescent="0.3">
      <c r="A6">
        <v>4</v>
      </c>
      <c r="B6" t="s">
        <v>192</v>
      </c>
      <c r="C6">
        <v>2021</v>
      </c>
      <c r="D6" t="s">
        <v>193</v>
      </c>
      <c r="E6" t="s">
        <v>19</v>
      </c>
      <c r="F6" t="s">
        <v>72</v>
      </c>
      <c r="G6" t="s">
        <v>194</v>
      </c>
      <c r="H6" t="s">
        <v>304</v>
      </c>
      <c r="I6">
        <v>12</v>
      </c>
      <c r="J6">
        <v>7.39</v>
      </c>
      <c r="K6">
        <f>150*(3/4)</f>
        <v>112.5</v>
      </c>
      <c r="L6">
        <v>1</v>
      </c>
      <c r="M6">
        <v>10.210000000000001</v>
      </c>
      <c r="N6">
        <f>50*(3/4)</f>
        <v>37.5</v>
      </c>
      <c r="O6">
        <f t="shared" ref="O6" si="4">SQRT(((I6-1)*POWER(K6,2) + (L6-1)*POWER(N6,2))/((I6-1)+(L6-1)))</f>
        <v>112.5</v>
      </c>
      <c r="P6">
        <f t="shared" ref="P6" si="5">(J6-M6)/O6</f>
        <v>-2.5066666666666678E-2</v>
      </c>
      <c r="Q6">
        <f t="shared" ref="Q6" si="6">P6*(1- (3/(4*(I6+L6)-9)))</f>
        <v>-2.3317829457364353E-2</v>
      </c>
      <c r="R6">
        <f t="shared" ref="R6" si="7">SQRT((I6+L6)/(I6*L6)+(POWER(P6,2)/(2*(I6+L6))))</f>
        <v>1.0408446090415899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A652-0C22-4014-BA4E-6ABE2842051B}">
  <dimension ref="A1:R3"/>
  <sheetViews>
    <sheetView workbookViewId="0">
      <selection sqref="A1:R1"/>
    </sheetView>
  </sheetViews>
  <sheetFormatPr defaultRowHeight="14.4" x14ac:dyDescent="0.3"/>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8</v>
      </c>
      <c r="C2">
        <v>2022</v>
      </c>
      <c r="D2" t="s">
        <v>67</v>
      </c>
      <c r="E2" t="s">
        <v>14</v>
      </c>
      <c r="F2" t="s">
        <v>68</v>
      </c>
      <c r="G2" t="s">
        <v>20</v>
      </c>
      <c r="H2" t="s">
        <v>69</v>
      </c>
      <c r="I2">
        <v>30</v>
      </c>
      <c r="J2">
        <v>33.83</v>
      </c>
      <c r="K2">
        <v>17.940000000000001</v>
      </c>
      <c r="L2">
        <v>30</v>
      </c>
      <c r="M2">
        <v>15.8</v>
      </c>
      <c r="N2">
        <v>5.59</v>
      </c>
      <c r="O2">
        <f>SQRT(((I2-1)*POWER(K2,2) + (L2-1)*POWER(N2,2))/((I2-1)+(L2-1)))</f>
        <v>13.287055731048923</v>
      </c>
      <c r="P2">
        <f>(J2-M2)/O2</f>
        <v>1.3569597633182089</v>
      </c>
      <c r="Q2">
        <f>P2*(1- (3/(4*(I2+L2)-9)))</f>
        <v>1.3393369092491412</v>
      </c>
      <c r="R2">
        <f>SQRT((I2+L2)/(I2*L2)+(POWER(P2,2)/(2*(I2+L2))))</f>
        <v>0.28637591552690278</v>
      </c>
    </row>
    <row r="3" spans="1:18" x14ac:dyDescent="0.3">
      <c r="A3">
        <v>1</v>
      </c>
      <c r="B3" t="s">
        <v>82</v>
      </c>
      <c r="C3">
        <v>1996</v>
      </c>
      <c r="D3" t="s">
        <v>81</v>
      </c>
      <c r="E3" t="s">
        <v>83</v>
      </c>
      <c r="F3" t="s">
        <v>77</v>
      </c>
      <c r="G3" t="s">
        <v>84</v>
      </c>
      <c r="H3" t="s">
        <v>85</v>
      </c>
      <c r="I3">
        <v>5</v>
      </c>
      <c r="J3">
        <v>14</v>
      </c>
      <c r="K3">
        <v>4</v>
      </c>
      <c r="L3">
        <v>1</v>
      </c>
      <c r="M3">
        <v>9</v>
      </c>
      <c r="N3">
        <v>4</v>
      </c>
      <c r="O3">
        <f>SQRT(((I3-1)*POWER(K3,2) + (L3-1)*POWER(N3,2))/((I3-1)+(L3-1)))</f>
        <v>4</v>
      </c>
      <c r="P3">
        <f>(J3-M3)/O3</f>
        <v>1.25</v>
      </c>
      <c r="Q3">
        <f>P3*(1- (3/(4*(I3+L3)-9)))</f>
        <v>1</v>
      </c>
      <c r="R3">
        <f>SQRT((I3+L3)/(I3*L3)+(POWER(P3,2)/(2*(I3+L3))))</f>
        <v>1.153346579885393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D4D7-D2C2-4F90-9A16-48DE70F95F03}">
  <dimension ref="A1:R7"/>
  <sheetViews>
    <sheetView workbookViewId="0">
      <selection activeCell="E21" sqref="E21"/>
    </sheetView>
  </sheetViews>
  <sheetFormatPr defaultRowHeight="14.4" x14ac:dyDescent="0.3"/>
  <cols>
    <col min="2" max="2" width="19.7773437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8</v>
      </c>
      <c r="C2">
        <v>2022</v>
      </c>
      <c r="D2" t="s">
        <v>86</v>
      </c>
      <c r="E2" t="s">
        <v>87</v>
      </c>
      <c r="F2" t="s">
        <v>68</v>
      </c>
      <c r="G2" t="s">
        <v>20</v>
      </c>
      <c r="H2" t="s">
        <v>88</v>
      </c>
      <c r="I2">
        <v>25</v>
      </c>
      <c r="J2">
        <f>0.78316-0.25485</f>
        <v>0.52830999999999995</v>
      </c>
      <c r="K2">
        <v>9.4689999999999996E-2</v>
      </c>
      <c r="L2">
        <v>25</v>
      </c>
      <c r="M2">
        <v>0.78315999999999997</v>
      </c>
      <c r="N2">
        <v>6.6960000000000006E-2</v>
      </c>
      <c r="O2">
        <f t="shared" ref="O2:O7" si="0">SQRT(((I2-1)*POWER(K2,2) + (L2-1)*POWER(N2,2))/((I2-1)+(L2-1)))</f>
        <v>8.2005602552508564E-2</v>
      </c>
      <c r="P2">
        <f t="shared" ref="P2:P7" si="1">(J2-M2)/O2</f>
        <v>-3.1077144983700156</v>
      </c>
      <c r="Q2">
        <f t="shared" ref="Q2:Q7" si="2">P2*(1- (3/(4*(I2+L2)-9)))</f>
        <v>-3.0589022287621095</v>
      </c>
      <c r="R2">
        <f t="shared" ref="R2:R7" si="3">SQRT((I2+L2)/(I2*L2)+(POWER(P2,2)/(2*(I2+L2))))</f>
        <v>0.42021291512017095</v>
      </c>
    </row>
    <row r="3" spans="1:18" x14ac:dyDescent="0.3">
      <c r="A3">
        <v>1</v>
      </c>
      <c r="B3" t="s">
        <v>89</v>
      </c>
      <c r="C3">
        <v>2017</v>
      </c>
      <c r="D3" t="s">
        <v>90</v>
      </c>
      <c r="E3" t="s">
        <v>91</v>
      </c>
      <c r="F3" t="s">
        <v>77</v>
      </c>
      <c r="G3" t="s">
        <v>92</v>
      </c>
      <c r="H3" t="s">
        <v>93</v>
      </c>
      <c r="I3">
        <v>28</v>
      </c>
      <c r="J3">
        <v>7.0000000000000007E-2</v>
      </c>
      <c r="K3">
        <v>0.05</v>
      </c>
      <c r="L3">
        <v>2</v>
      </c>
      <c r="M3">
        <v>0.24</v>
      </c>
      <c r="N3">
        <v>0.13</v>
      </c>
      <c r="O3">
        <f t="shared" si="0"/>
        <v>5.4902511001644679E-2</v>
      </c>
      <c r="P3">
        <f t="shared" si="1"/>
        <v>-3.0963975399031822</v>
      </c>
      <c r="Q3">
        <f t="shared" si="2"/>
        <v>-3.012711119905799</v>
      </c>
      <c r="R3">
        <f t="shared" si="3"/>
        <v>0.83397177078499507</v>
      </c>
    </row>
    <row r="4" spans="1:18" x14ac:dyDescent="0.3">
      <c r="A4">
        <v>2</v>
      </c>
      <c r="B4" t="s">
        <v>94</v>
      </c>
      <c r="C4">
        <v>2022</v>
      </c>
      <c r="D4" t="s">
        <v>95</v>
      </c>
      <c r="E4" t="s">
        <v>87</v>
      </c>
      <c r="H4" t="s">
        <v>99</v>
      </c>
      <c r="I4">
        <v>10</v>
      </c>
      <c r="J4">
        <v>2.93</v>
      </c>
      <c r="K4">
        <v>1</v>
      </c>
      <c r="L4">
        <v>14</v>
      </c>
      <c r="M4">
        <v>4.5</v>
      </c>
      <c r="N4">
        <v>0.5</v>
      </c>
      <c r="O4">
        <f t="shared" si="0"/>
        <v>0.74620250724463644</v>
      </c>
      <c r="P4">
        <f t="shared" si="1"/>
        <v>-2.1039864979779384</v>
      </c>
      <c r="Q4">
        <f t="shared" si="2"/>
        <v>-2.0314352394269752</v>
      </c>
      <c r="R4">
        <f t="shared" si="3"/>
        <v>0.51347124660338606</v>
      </c>
    </row>
    <row r="5" spans="1:18" x14ac:dyDescent="0.3">
      <c r="A5">
        <v>3</v>
      </c>
      <c r="B5" t="s">
        <v>97</v>
      </c>
      <c r="C5">
        <v>2016</v>
      </c>
      <c r="D5" t="s">
        <v>96</v>
      </c>
      <c r="E5" t="s">
        <v>98</v>
      </c>
      <c r="F5" t="s">
        <v>77</v>
      </c>
      <c r="G5" t="s">
        <v>100</v>
      </c>
      <c r="H5" t="s">
        <v>101</v>
      </c>
      <c r="I5">
        <v>32</v>
      </c>
      <c r="J5">
        <v>31</v>
      </c>
      <c r="K5">
        <f>J5/5</f>
        <v>6.2</v>
      </c>
      <c r="L5">
        <v>8</v>
      </c>
      <c r="M5">
        <v>88</v>
      </c>
      <c r="N5">
        <f>M5/12</f>
        <v>7.333333333333333</v>
      </c>
      <c r="O5">
        <f t="shared" si="0"/>
        <v>6.4238135182272424</v>
      </c>
      <c r="P5">
        <f t="shared" si="1"/>
        <v>-8.8732339191144654</v>
      </c>
      <c r="Q5">
        <f t="shared" si="2"/>
        <v>-8.6969445035029196</v>
      </c>
      <c r="R5">
        <f t="shared" si="3"/>
        <v>1.067908470933508</v>
      </c>
    </row>
    <row r="6" spans="1:18" x14ac:dyDescent="0.3">
      <c r="A6">
        <v>4</v>
      </c>
      <c r="B6" t="s">
        <v>102</v>
      </c>
      <c r="C6">
        <v>2021</v>
      </c>
      <c r="D6" t="s">
        <v>103</v>
      </c>
      <c r="E6" t="s">
        <v>14</v>
      </c>
      <c r="G6" t="s">
        <v>104</v>
      </c>
      <c r="H6" t="s">
        <v>105</v>
      </c>
      <c r="I6">
        <v>8</v>
      </c>
      <c r="J6">
        <v>0.43</v>
      </c>
      <c r="K6">
        <v>0.2</v>
      </c>
      <c r="L6">
        <v>12</v>
      </c>
      <c r="M6">
        <v>0.72</v>
      </c>
      <c r="N6">
        <v>0.4</v>
      </c>
      <c r="O6">
        <f t="shared" si="0"/>
        <v>0.33665016461206926</v>
      </c>
      <c r="P6">
        <f t="shared" si="1"/>
        <v>-0.86142836238970666</v>
      </c>
      <c r="Q6">
        <f t="shared" si="2"/>
        <v>-0.82502998088028245</v>
      </c>
      <c r="R6">
        <f t="shared" si="3"/>
        <v>0.47632426341891154</v>
      </c>
    </row>
    <row r="7" spans="1:18" x14ac:dyDescent="0.3">
      <c r="A7">
        <v>5</v>
      </c>
      <c r="B7" t="s">
        <v>241</v>
      </c>
      <c r="C7">
        <v>2022</v>
      </c>
      <c r="D7" t="s">
        <v>240</v>
      </c>
      <c r="E7" t="s">
        <v>242</v>
      </c>
      <c r="F7" t="s">
        <v>77</v>
      </c>
      <c r="G7" t="s">
        <v>243</v>
      </c>
      <c r="H7" t="s">
        <v>244</v>
      </c>
      <c r="I7">
        <v>6</v>
      </c>
      <c r="J7">
        <v>2</v>
      </c>
      <c r="K7">
        <f>(2-1.25)*(3/4)</f>
        <v>0.5625</v>
      </c>
      <c r="L7">
        <v>44</v>
      </c>
      <c r="M7">
        <v>4</v>
      </c>
      <c r="N7">
        <f>(4-3)*(3/4)</f>
        <v>0.75</v>
      </c>
      <c r="O7">
        <f t="shared" si="0"/>
        <v>0.73271088048083466</v>
      </c>
      <c r="P7">
        <f t="shared" si="1"/>
        <v>-2.7295896011364245</v>
      </c>
      <c r="Q7">
        <f t="shared" si="2"/>
        <v>-2.6867164660400409</v>
      </c>
      <c r="R7">
        <f t="shared" si="3"/>
        <v>0.51371250062681983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task_time</vt:lpstr>
      <vt:lpstr>tool_path_length</vt:lpstr>
      <vt:lpstr>tool_velocity</vt:lpstr>
      <vt:lpstr>tool_idle</vt:lpstr>
      <vt:lpstr>tool_movements</vt:lpstr>
      <vt:lpstr>tool_jerk</vt:lpstr>
      <vt:lpstr>tool_acceleration</vt:lpstr>
      <vt:lpstr>tool_grasps</vt:lpstr>
      <vt:lpstr>tool_bimanual</vt:lpstr>
      <vt:lpstr>pupil_dilation</vt:lpstr>
      <vt:lpstr>pupil_blinks</vt:lpstr>
      <vt:lpstr>tool_force</vt:lpstr>
      <vt:lpstr>scale_UWOMSAb</vt:lpstr>
      <vt:lpstr>scale_OSATS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 Koskinen</dc:creator>
  <cp:lastModifiedBy>Jani Koskinen</cp:lastModifiedBy>
  <dcterms:created xsi:type="dcterms:W3CDTF">2015-06-05T18:17:20Z</dcterms:created>
  <dcterms:modified xsi:type="dcterms:W3CDTF">2022-06-28T06:38:20Z</dcterms:modified>
</cp:coreProperties>
</file>