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0CF91ACC-7D11-464D-A4E8-84A66271F7DB}" xr6:coauthVersionLast="47" xr6:coauthVersionMax="47" xr10:uidLastSave="{00000000-0000-0000-0000-000000000000}"/>
  <bookViews>
    <workbookView xWindow="28680" yWindow="-120" windowWidth="29040" windowHeight="15840" xr2:uid="{00000000-000D-0000-FFFF-FFFF00000000}"/>
  </bookViews>
  <sheets>
    <sheet name="task_time" sheetId="1" r:id="rId1"/>
    <sheet name="tool_path_length" sheetId="2" r:id="rId2"/>
    <sheet name="tool_idle" sheetId="11" r:id="rId3"/>
    <sheet name="tool_jerk" sheetId="10" r:id="rId4"/>
    <sheet name="tool_velocity" sheetId="3" r:id="rId5"/>
    <sheet name="tool_grasps" sheetId="4" r:id="rId6"/>
    <sheet name="tool_bimanual" sheetId="5" r:id="rId7"/>
    <sheet name="pupil_dilation" sheetId="6" r:id="rId8"/>
    <sheet name="tool_movements" sheetId="8" r:id="rId9"/>
    <sheet name="pupil_blinks"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4" i="1" l="1"/>
  <c r="N24" i="1"/>
  <c r="O15" i="2"/>
  <c r="P15" i="2" s="1"/>
  <c r="N15" i="2"/>
  <c r="K15" i="2"/>
  <c r="O14" i="2"/>
  <c r="P14" i="2" s="1"/>
  <c r="O23" i="1"/>
  <c r="P23" i="1" s="1"/>
  <c r="I13" i="2"/>
  <c r="O13" i="2" s="1"/>
  <c r="P13" i="2" s="1"/>
  <c r="N22" i="1"/>
  <c r="K22" i="1"/>
  <c r="O22" i="1" s="1"/>
  <c r="P22" i="1" s="1"/>
  <c r="N12" i="2"/>
  <c r="K12" i="2"/>
  <c r="N7" i="11"/>
  <c r="K7" i="11"/>
  <c r="O12" i="2"/>
  <c r="P12" i="2" s="1"/>
  <c r="O7" i="11"/>
  <c r="P7" i="11" s="1"/>
  <c r="O6" i="11"/>
  <c r="P6" i="11"/>
  <c r="R6" i="11" s="1"/>
  <c r="Q6" i="11"/>
  <c r="N6" i="11"/>
  <c r="K6" i="11"/>
  <c r="O5" i="11"/>
  <c r="P5" i="11" s="1"/>
  <c r="N5" i="11"/>
  <c r="K5" i="11"/>
  <c r="O4" i="11"/>
  <c r="P4" i="11"/>
  <c r="R4" i="11" s="1"/>
  <c r="K4" i="11"/>
  <c r="N4" i="11"/>
  <c r="O11" i="2"/>
  <c r="P11" i="2" s="1"/>
  <c r="O3" i="11"/>
  <c r="P3" i="11"/>
  <c r="Q3" i="11" s="1"/>
  <c r="R3" i="11"/>
  <c r="M2" i="11"/>
  <c r="J2" i="11"/>
  <c r="O2" i="11"/>
  <c r="O9" i="10"/>
  <c r="P9" i="10"/>
  <c r="Q9" i="10" s="1"/>
  <c r="N9" i="10"/>
  <c r="K9" i="10"/>
  <c r="O8" i="10"/>
  <c r="P8" i="10" s="1"/>
  <c r="O10" i="2"/>
  <c r="P10" i="2"/>
  <c r="R10" i="2" s="1"/>
  <c r="N10" i="2"/>
  <c r="K10" i="2"/>
  <c r="N9" i="2"/>
  <c r="K9" i="2"/>
  <c r="O9" i="2"/>
  <c r="P9" i="2" s="1"/>
  <c r="O7" i="10"/>
  <c r="P7" i="10" s="1"/>
  <c r="O6" i="10"/>
  <c r="P6" i="10" s="1"/>
  <c r="N5" i="10"/>
  <c r="K5" i="10"/>
  <c r="O5" i="10"/>
  <c r="P5" i="10" s="1"/>
  <c r="O4" i="10"/>
  <c r="P4" i="10" s="1"/>
  <c r="N4" i="10"/>
  <c r="K4" i="10"/>
  <c r="O3" i="10"/>
  <c r="P3" i="10" s="1"/>
  <c r="O2" i="10"/>
  <c r="P2" i="10" s="1"/>
  <c r="K21" i="1"/>
  <c r="O21" i="1" s="1"/>
  <c r="P21" i="1" s="1"/>
  <c r="K12" i="8"/>
  <c r="O12" i="8" s="1"/>
  <c r="P12" i="8" s="1"/>
  <c r="O8" i="2"/>
  <c r="P8" i="2" s="1"/>
  <c r="K8" i="2"/>
  <c r="O7" i="2"/>
  <c r="P7" i="2" s="1"/>
  <c r="N7" i="2"/>
  <c r="K7" i="2"/>
  <c r="O6" i="2"/>
  <c r="P6" i="2" s="1"/>
  <c r="O5" i="2"/>
  <c r="P5" i="2" s="1"/>
  <c r="O11" i="8"/>
  <c r="P11" i="8" s="1"/>
  <c r="O20" i="1"/>
  <c r="P20" i="1" s="1"/>
  <c r="O4" i="2"/>
  <c r="P4" i="2" s="1"/>
  <c r="O3" i="2"/>
  <c r="P3" i="2" s="1"/>
  <c r="I10" i="8"/>
  <c r="O10" i="8"/>
  <c r="P10" i="8" s="1"/>
  <c r="O9" i="8"/>
  <c r="P9" i="8" s="1"/>
  <c r="L9" i="8"/>
  <c r="I9" i="8"/>
  <c r="O8" i="8"/>
  <c r="P8" i="8" s="1"/>
  <c r="O19" i="1"/>
  <c r="P19" i="1"/>
  <c r="R19" i="1" s="1"/>
  <c r="Q19" i="1"/>
  <c r="N19" i="1"/>
  <c r="K19" i="1"/>
  <c r="O2" i="2"/>
  <c r="P2" i="2" s="1"/>
  <c r="N2" i="2"/>
  <c r="K2" i="2"/>
  <c r="O7" i="8"/>
  <c r="P7" i="8" s="1"/>
  <c r="N7" i="8"/>
  <c r="K7" i="8"/>
  <c r="O6" i="8"/>
  <c r="P6" i="8" s="1"/>
  <c r="O5" i="8"/>
  <c r="P5" i="8" s="1"/>
  <c r="N5" i="8"/>
  <c r="K5" i="8"/>
  <c r="O4" i="8"/>
  <c r="P4" i="8" s="1"/>
  <c r="O3" i="8"/>
  <c r="P3" i="8" s="1"/>
  <c r="O18" i="1"/>
  <c r="P18" i="1"/>
  <c r="Q18" i="1" s="1"/>
  <c r="O2" i="8"/>
  <c r="P2" i="8" s="1"/>
  <c r="O17" i="1"/>
  <c r="P17" i="1"/>
  <c r="R17" i="1" s="1"/>
  <c r="Q17" i="1"/>
  <c r="O7" i="6"/>
  <c r="P7" i="6" s="1"/>
  <c r="N2" i="7"/>
  <c r="K2" i="7"/>
  <c r="O6" i="6"/>
  <c r="P6" i="6" s="1"/>
  <c r="N6" i="6"/>
  <c r="K6" i="6"/>
  <c r="O16" i="1"/>
  <c r="P16" i="1" s="1"/>
  <c r="O5" i="6"/>
  <c r="P5" i="6" s="1"/>
  <c r="J4" i="6"/>
  <c r="O4" i="6"/>
  <c r="O3" i="6"/>
  <c r="P3" i="6" s="1"/>
  <c r="O2" i="6"/>
  <c r="P2" i="6" s="1"/>
  <c r="L2" i="6"/>
  <c r="I2" i="6"/>
  <c r="O6" i="5"/>
  <c r="P6" i="5" s="1"/>
  <c r="K5" i="5"/>
  <c r="N5" i="5"/>
  <c r="O5" i="5"/>
  <c r="P5" i="5" s="1"/>
  <c r="O4" i="5"/>
  <c r="P4" i="5" s="1"/>
  <c r="O3" i="5"/>
  <c r="P3" i="5" s="1"/>
  <c r="P2" i="5"/>
  <c r="J2" i="5"/>
  <c r="O2" i="5"/>
  <c r="O3" i="4"/>
  <c r="P3" i="4" s="1"/>
  <c r="O15" i="1"/>
  <c r="P15" i="1" s="1"/>
  <c r="O14" i="1"/>
  <c r="P14" i="1" s="1"/>
  <c r="R2" i="4"/>
  <c r="R2" i="1"/>
  <c r="Q2" i="4"/>
  <c r="Q2" i="1"/>
  <c r="P2" i="4"/>
  <c r="P2" i="1"/>
  <c r="O2" i="4"/>
  <c r="O2" i="1"/>
  <c r="O13" i="1"/>
  <c r="P13" i="1"/>
  <c r="Q13" i="1"/>
  <c r="R13" i="1"/>
  <c r="O12" i="1"/>
  <c r="P12" i="1" s="1"/>
  <c r="O11" i="1"/>
  <c r="P11" i="1" s="1"/>
  <c r="O10" i="1"/>
  <c r="P10" i="1" s="1"/>
  <c r="O9" i="1"/>
  <c r="P9" i="1" s="1"/>
  <c r="O8" i="1"/>
  <c r="P8" i="1" s="1"/>
  <c r="O7" i="1"/>
  <c r="P7" i="1" s="1"/>
  <c r="R6" i="1"/>
  <c r="Q6" i="1"/>
  <c r="P6" i="1"/>
  <c r="O6" i="1"/>
  <c r="R5" i="1"/>
  <c r="Q5" i="1"/>
  <c r="P5" i="1"/>
  <c r="O5" i="1"/>
  <c r="I5" i="1"/>
  <c r="O3" i="1"/>
  <c r="P3" i="1" s="1"/>
  <c r="N4" i="1"/>
  <c r="K4" i="1"/>
  <c r="O4" i="1" s="1"/>
  <c r="P4" i="1" s="1"/>
  <c r="O24" i="1" l="1"/>
  <c r="P24" i="1" s="1"/>
  <c r="Q24" i="1"/>
  <c r="R24" i="1"/>
  <c r="Q15" i="2"/>
  <c r="R15" i="2"/>
  <c r="R14" i="2"/>
  <c r="Q14" i="2"/>
  <c r="R23" i="1"/>
  <c r="Q23" i="1"/>
  <c r="R13" i="2"/>
  <c r="Q13" i="2"/>
  <c r="R22" i="1"/>
  <c r="Q22" i="1"/>
  <c r="R12" i="2"/>
  <c r="Q12" i="2"/>
  <c r="R7" i="11"/>
  <c r="Q7" i="11"/>
  <c r="Q5" i="11"/>
  <c r="R5" i="11"/>
  <c r="Q4" i="11"/>
  <c r="R11" i="2"/>
  <c r="Q11" i="2"/>
  <c r="P2" i="11"/>
  <c r="R2" i="11" s="1"/>
  <c r="R9" i="10"/>
  <c r="Q8" i="10"/>
  <c r="R8" i="10"/>
  <c r="Q10" i="2"/>
  <c r="Q9" i="2"/>
  <c r="R9" i="2"/>
  <c r="Q7" i="10"/>
  <c r="R7" i="10"/>
  <c r="Q6" i="10"/>
  <c r="R6" i="10"/>
  <c r="Q5" i="10"/>
  <c r="R5" i="10"/>
  <c r="Q4" i="10"/>
  <c r="R4" i="10"/>
  <c r="Q3" i="10"/>
  <c r="R3" i="10"/>
  <c r="R2" i="10"/>
  <c r="Q2" i="10"/>
  <c r="R21" i="1"/>
  <c r="Q21" i="1"/>
  <c r="R12" i="8"/>
  <c r="Q12" i="8"/>
  <c r="Q8" i="2"/>
  <c r="R8" i="2"/>
  <c r="Q7" i="2"/>
  <c r="R7" i="2"/>
  <c r="Q6" i="2"/>
  <c r="R6" i="2"/>
  <c r="Q5" i="2"/>
  <c r="R5" i="2"/>
  <c r="Q11" i="8"/>
  <c r="R11" i="8"/>
  <c r="Q20" i="1"/>
  <c r="R20" i="1"/>
  <c r="Q4" i="2"/>
  <c r="R4" i="2"/>
  <c r="Q3" i="2"/>
  <c r="R3" i="2"/>
  <c r="Q10" i="8"/>
  <c r="R10" i="8"/>
  <c r="Q9" i="8"/>
  <c r="R9" i="8"/>
  <c r="Q8" i="8"/>
  <c r="R8" i="8"/>
  <c r="R2" i="2"/>
  <c r="Q2" i="2"/>
  <c r="Q7" i="8"/>
  <c r="R7" i="8"/>
  <c r="Q6" i="8"/>
  <c r="R6" i="8"/>
  <c r="Q5" i="8"/>
  <c r="R5" i="8"/>
  <c r="R4" i="8"/>
  <c r="Q4" i="8"/>
  <c r="Q3" i="8"/>
  <c r="R3" i="8"/>
  <c r="R18" i="1"/>
  <c r="R2" i="8"/>
  <c r="Q2" i="8"/>
  <c r="Q7" i="6"/>
  <c r="R7" i="6"/>
  <c r="O2" i="7"/>
  <c r="P2" i="7" s="1"/>
  <c r="Q2" i="7" s="1"/>
  <c r="Q6" i="6"/>
  <c r="R6" i="6"/>
  <c r="Q16" i="1"/>
  <c r="R16" i="1"/>
  <c r="R5" i="6"/>
  <c r="Q5" i="6"/>
  <c r="P4" i="6"/>
  <c r="R4" i="6" s="1"/>
  <c r="Q4" i="6"/>
  <c r="Q3" i="6"/>
  <c r="R3" i="6"/>
  <c r="R2" i="6"/>
  <c r="Q2" i="6"/>
  <c r="Q6" i="5"/>
  <c r="R6" i="5"/>
  <c r="R5" i="5"/>
  <c r="Q5" i="5"/>
  <c r="R4" i="5"/>
  <c r="Q4" i="5"/>
  <c r="Q3" i="5"/>
  <c r="R3" i="5"/>
  <c r="R2" i="5"/>
  <c r="Q3" i="4"/>
  <c r="R3" i="4"/>
  <c r="R15" i="1"/>
  <c r="Q15" i="1"/>
  <c r="Q14" i="1"/>
  <c r="R14" i="1"/>
  <c r="Q12" i="1"/>
  <c r="R12" i="1"/>
  <c r="R11" i="1"/>
  <c r="Q11" i="1"/>
  <c r="Q10" i="1"/>
  <c r="R10" i="1"/>
  <c r="R9" i="1"/>
  <c r="Q9" i="1"/>
  <c r="R8" i="1"/>
  <c r="Q8" i="1"/>
  <c r="R7" i="1"/>
  <c r="Q7" i="1"/>
  <c r="Q4" i="1"/>
  <c r="R4" i="1"/>
  <c r="R3" i="1"/>
  <c r="Q3" i="1"/>
  <c r="Q2" i="11" l="1"/>
  <c r="R2" i="7"/>
  <c r="Q2" i="5"/>
</calcChain>
</file>

<file path=xl/sharedStrings.xml><?xml version="1.0" encoding="utf-8"?>
<sst xmlns="http://schemas.openxmlformats.org/spreadsheetml/2006/main" count="617" uniqueCount="250">
  <si>
    <t>Author</t>
  </si>
  <si>
    <t>Year</t>
  </si>
  <si>
    <t>Study</t>
  </si>
  <si>
    <t>Mn</t>
  </si>
  <si>
    <t>Nn</t>
  </si>
  <si>
    <t>SDn</t>
  </si>
  <si>
    <t>Ne</t>
  </si>
  <si>
    <t>Me</t>
  </si>
  <si>
    <t>Koskinen et al.</t>
  </si>
  <si>
    <t>task</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</si>
  <si>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</si>
  <si>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</si>
  <si>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</si>
  <si>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</si>
  <si>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</si>
  <si>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</si>
  <si>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</si>
  <si>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</si>
  <si>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</si>
  <si>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</si>
  <si>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note</t>
  </si>
  <si>
    <t>World Neurosurgery</t>
  </si>
  <si>
    <t>suturing</t>
  </si>
  <si>
    <t>SDpooled</t>
  </si>
  <si>
    <t>SMD</t>
  </si>
  <si>
    <t>g</t>
  </si>
  <si>
    <t>SDg</t>
  </si>
  <si>
    <t>i</t>
  </si>
  <si>
    <t>Vedula et al.</t>
  </si>
  <si>
    <t>Task-Level vs. Segment-Level Quantitative Metrics for Surgical Skill Assessment</t>
  </si>
  <si>
    <t>Journal of Surgical Education</t>
  </si>
  <si>
    <t>technique</t>
  </si>
  <si>
    <t>microscope</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</si>
  <si>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</si>
  <si>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</si>
  <si>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</si>
  <si>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</si>
  <si>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</si>
  <si>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robotic</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</si>
  <si>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</si>
  <si>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</si>
  <si>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</si>
  <si>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</si>
  <si>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</si>
  <si>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</si>
  <si>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</si>
  <si>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</si>
  <si>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</si>
  <si>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</si>
  <si>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</si>
  <si>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</si>
  <si>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</si>
  <si>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</si>
  <si>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</si>
  <si>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</si>
  <si>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</si>
  <si>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</si>
  <si>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</si>
  <si>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</si>
  <si>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</si>
  <si>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</si>
  <si>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</si>
  <si>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</si>
  <si>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</si>
  <si>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</si>
  <si>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</si>
  <si>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General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</si>
  <si>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</si>
  <si>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</si>
  <si>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</si>
  <si>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</si>
  <si>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</si>
  <si>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</si>
  <si>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</si>
  <si>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</si>
  <si>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</si>
  <si>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</si>
  <si>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</si>
  <si>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</si>
  <si>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Microscope</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</si>
  <si>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</si>
  <si>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</si>
  <si>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</si>
  <si>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</si>
  <si>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</si>
  <si>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</si>
  <si>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</si>
  <si>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</si>
  <si>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</si>
  <si>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</si>
  <si>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</si>
  <si>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</si>
  <si>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</si>
  <si>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</si>
  <si>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</si>
  <si>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</si>
  <si>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</si>
  <si>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</si>
  <si>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</si>
  <si>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</si>
  <si>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</si>
  <si>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</si>
  <si>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</si>
  <si>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</si>
  <si>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</si>
  <si>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</si>
  <si>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</si>
  <si>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</si>
  <si>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</si>
  <si>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</si>
  <si>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</si>
  <si>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</si>
  <si>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</si>
  <si>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</si>
  <si>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</si>
  <si>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</si>
  <si>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</si>
  <si>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</si>
  <si>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</si>
  <si>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</si>
  <si>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</si>
  <si>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</si>
  <si>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</si>
  <si>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</si>
  <si>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</si>
  <si>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</si>
  <si>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</si>
  <si>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</si>
  <si>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</si>
  <si>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</si>
  <si>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</si>
  <si>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</si>
  <si>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</si>
  <si>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</si>
  <si>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</si>
  <si>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</si>
  <si>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</si>
  <si>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</si>
  <si>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</si>
  <si>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</si>
  <si>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</si>
  <si>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</si>
  <si>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</si>
  <si>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</si>
  <si>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</si>
  <si>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</si>
  <si>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</si>
  <si>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</si>
  <si>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</si>
  <si>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</si>
  <si>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</si>
  <si>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</si>
  <si>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</si>
  <si>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</si>
  <si>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</si>
  <si>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</si>
  <si>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</si>
  <si>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</si>
  <si>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</si>
  <si>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</si>
  <si>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</si>
  <si>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</si>
  <si>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</si>
  <si>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</si>
  <si>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</si>
  <si>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</si>
  <si>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</si>
  <si>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</si>
  <si>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</si>
  <si>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</si>
  <si>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</si>
  <si>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</si>
  <si>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</si>
  <si>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</si>
  <si>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Goldbraikh</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</si>
  <si>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</si>
  <si>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</si>
  <si>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</si>
  <si>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</si>
  <si>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</si>
  <si>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</si>
  <si>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</si>
  <si>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</si>
  <si>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</si>
  <si>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</si>
  <si>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</si>
  <si>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</si>
  <si>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</si>
  <si>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</si>
  <si>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</si>
  <si>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</si>
  <si>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</si>
  <si>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</si>
  <si>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</si>
  <si>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</si>
  <si>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</si>
  <si>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</si>
  <si>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</si>
  <si>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</si>
  <si>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</si>
  <si>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</si>
  <si>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</si>
  <si>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</si>
  <si>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</si>
  <si>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</si>
  <si>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</si>
  <si>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</si>
  <si>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</si>
  <si>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</si>
  <si>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</si>
  <si>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</si>
  <si>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</si>
  <si>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</si>
  <si>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</si>
  <si>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</si>
  <si>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</si>
  <si>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</si>
  <si>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</si>
  <si>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</si>
  <si>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</si>
  <si>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</si>
  <si>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</si>
  <si>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</si>
  <si>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</si>
  <si>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</si>
  <si>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</si>
  <si>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</si>
  <si>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</si>
  <si>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</si>
  <si>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</si>
  <si>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</si>
  <si>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Mackenzie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</si>
  <si>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</si>
  <si>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</si>
  <si>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</si>
  <si>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</si>
  <si>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</si>
  <si>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</si>
  <si>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</si>
  <si>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</si>
  <si>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</si>
  <si>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</si>
  <si>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Yamaguchi</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</si>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</sst>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4"/>
  <sheetViews>
    <sheetView tabSelected="1" workbookViewId="0">
      <selection activeCell="I31" sqref="I31"/>
    </sheetView>
  </sheetViews>
  <sheetFormatPr defaultRowHeight="14.4" x14ac:dyDescent="0.3"/>
  <cols>
    <col min="2" max="2" width="16.44140625" customWidth="1"/>
    <col min="5" max="5" width="18.88671875" customWidth="1"/>
    <col min="6" max="6" width="14.88671875" customWidth="1"/>
    <col min="10" max="12" width="8.88671875" customWidth="1"/>
  </cols>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2022</v>
      </c>
      <c r="D2" t="s">
        <v>17</v>
      </c>
      <c r="E2" t="s">
        <v>15</v>
      </c>
      <c r="F2" t="s">
        <v>32</v>
      </c>
      <c r="G2" t="s">
        <v>10</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13</v>
      </c>
      <c r="C3">
        <v>2021</v>
      </c>
      <c r="D3" t="s">
        <v>16</v>
      </c>
      <c r="E3" t="s">
        <v>21</v>
      </c>
      <c r="F3" t="s">
        <v>32</v>
      </c>
      <c r="G3" t="s">
        <v>12</v>
      </c>
      <c r="I3">
        <v>18</v>
      </c>
      <c r="J3">
        <v>330.02</v>
      </c>
      <c r="K3">
        <v>96.52</v>
      </c>
      <c r="L3">
        <v>19</v>
      </c>
      <c r="M3">
        <v>258.52</v>
      </c>
      <c r="N3">
        <v>102.14</v>
      </c>
      <c r="O3">
        <f t="shared" ref="O3:O18" si="0">SQRT(((I3-1)*POWER(K3,2) + (L3-1)*POWER(N3,2))/((I3-1)+(L3-1)))</f>
        <v>99.449960080434423</v>
      </c>
      <c r="P3">
        <f t="shared" ref="P3:P18" si="1">(J3-M3)/O3</f>
        <v>0.71895453695679024</v>
      </c>
      <c r="Q3">
        <f t="shared" ref="Q3:Q18" si="2">P3*(1- (3/(4*(I3+L3)-9)))</f>
        <v>0.70343753256203934</v>
      </c>
      <c r="R3">
        <f t="shared" ref="R3:R18" si="3">SQRT((I3+L3)/(I3*L3)+(POWER(P3,2)/(2*(I3+L3))))</f>
        <v>0.33937031474894647</v>
      </c>
    </row>
    <row r="4" spans="1:18" x14ac:dyDescent="0.3">
      <c r="A4">
        <v>2</v>
      </c>
      <c r="B4" t="s">
        <v>18</v>
      </c>
      <c r="C4">
        <v>2015</v>
      </c>
      <c r="D4" t="s">
        <v>19</v>
      </c>
      <c r="E4" t="s">
        <v>21</v>
      </c>
      <c r="F4" t="s">
        <v>32</v>
      </c>
      <c r="G4" t="s">
        <v>22</v>
      </c>
      <c r="H4" t="s">
        <v>33</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28</v>
      </c>
      <c r="C5">
        <v>2016</v>
      </c>
      <c r="D5" t="s">
        <v>29</v>
      </c>
      <c r="E5" t="s">
        <v>30</v>
      </c>
      <c r="F5" t="s">
        <v>38</v>
      </c>
      <c r="G5" t="s">
        <v>22</v>
      </c>
      <c r="H5" t="s">
        <v>34</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35</v>
      </c>
      <c r="C6">
        <v>2009</v>
      </c>
      <c r="D6" t="s">
        <v>36</v>
      </c>
      <c r="E6" t="s">
        <v>37</v>
      </c>
      <c r="F6" t="s">
        <v>38</v>
      </c>
      <c r="G6" t="s">
        <v>39</v>
      </c>
      <c r="H6" t="s">
        <v>40</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41</v>
      </c>
      <c r="C7">
        <v>2002</v>
      </c>
      <c r="D7" t="s">
        <v>42</v>
      </c>
      <c r="E7" t="s">
        <v>43</v>
      </c>
      <c r="F7" t="s">
        <v>44</v>
      </c>
      <c r="G7" t="s">
        <v>45</v>
      </c>
      <c r="H7" t="s">
        <v>46</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47</v>
      </c>
      <c r="C8">
        <v>2002</v>
      </c>
      <c r="D8" t="s">
        <v>48</v>
      </c>
      <c r="E8" t="s">
        <v>49</v>
      </c>
      <c r="F8" t="s">
        <v>44</v>
      </c>
      <c r="G8" t="s">
        <v>50</v>
      </c>
      <c r="H8" t="s">
        <v>51</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52</v>
      </c>
      <c r="C9">
        <v>2004</v>
      </c>
      <c r="D9" t="s">
        <v>53</v>
      </c>
      <c r="E9" t="s">
        <v>43</v>
      </c>
      <c r="F9" t="s">
        <v>44</v>
      </c>
      <c r="G9" t="s">
        <v>54</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55</v>
      </c>
      <c r="C10">
        <v>2008</v>
      </c>
      <c r="D10" t="s">
        <v>56</v>
      </c>
      <c r="E10" t="s">
        <v>57</v>
      </c>
      <c r="F10" t="s">
        <v>44</v>
      </c>
      <c r="G10" t="s">
        <v>58</v>
      </c>
      <c r="H10" t="s">
        <v>59</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60</v>
      </c>
      <c r="C11">
        <v>2009</v>
      </c>
      <c r="D11" t="s">
        <v>61</v>
      </c>
      <c r="E11" t="s">
        <v>43</v>
      </c>
      <c r="F11" t="s">
        <v>44</v>
      </c>
      <c r="G11" t="s">
        <v>62</v>
      </c>
      <c r="H11" t="s">
        <v>63</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64</v>
      </c>
      <c r="C12">
        <v>2020</v>
      </c>
      <c r="D12" t="s">
        <v>65</v>
      </c>
      <c r="E12" t="s">
        <v>30</v>
      </c>
      <c r="F12" t="s">
        <v>66</v>
      </c>
      <c r="G12" t="s">
        <v>67</v>
      </c>
      <c r="H12" t="s">
        <v>68</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69</v>
      </c>
      <c r="C13">
        <v>2004</v>
      </c>
      <c r="D13" t="s">
        <v>70</v>
      </c>
      <c r="E13" t="s">
        <v>71</v>
      </c>
      <c r="F13" t="s">
        <v>44</v>
      </c>
      <c r="G13" t="s">
        <v>72</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76</v>
      </c>
      <c r="C14">
        <v>2010</v>
      </c>
      <c r="D14" t="s">
        <v>77</v>
      </c>
      <c r="E14" t="s">
        <v>78</v>
      </c>
      <c r="F14" t="s">
        <v>79</v>
      </c>
      <c r="G14" t="s">
        <v>80</v>
      </c>
      <c r="H14" t="s">
        <v>81</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83</v>
      </c>
      <c r="C15">
        <v>1999</v>
      </c>
      <c r="D15" t="s">
        <v>82</v>
      </c>
      <c r="E15" t="s">
        <v>86</v>
      </c>
      <c r="F15" t="s">
        <v>84</v>
      </c>
      <c r="G15" t="s">
        <v>85</v>
      </c>
      <c r="H15" t="s">
        <v>87</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135</v>
      </c>
      <c r="C16">
        <v>2021</v>
      </c>
      <c r="D16" t="s">
        <v>136</v>
      </c>
      <c r="E16" t="s">
        <v>137</v>
      </c>
      <c r="F16" t="s">
        <v>84</v>
      </c>
      <c r="G16" t="s">
        <v>138</v>
      </c>
      <c r="H16" t="s">
        <v>139</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151</v>
      </c>
      <c r="C17">
        <v>2001</v>
      </c>
      <c r="D17" t="s">
        <v>152</v>
      </c>
      <c r="E17" t="s">
        <v>153</v>
      </c>
      <c r="F17" t="s">
        <v>154</v>
      </c>
      <c r="G17" t="s">
        <v>85</v>
      </c>
      <c r="H17" t="s">
        <v>155</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156</v>
      </c>
      <c r="C18">
        <v>2012</v>
      </c>
      <c r="D18" t="s">
        <v>157</v>
      </c>
      <c r="E18" t="s">
        <v>94</v>
      </c>
      <c r="F18" t="s">
        <v>44</v>
      </c>
      <c r="G18" t="s">
        <v>138</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166</v>
      </c>
      <c r="C19">
        <v>2007</v>
      </c>
      <c r="D19" t="s">
        <v>167</v>
      </c>
      <c r="E19" t="s">
        <v>168</v>
      </c>
      <c r="F19" t="s">
        <v>44</v>
      </c>
      <c r="G19" t="s">
        <v>164</v>
      </c>
      <c r="H19" t="s">
        <v>169</v>
      </c>
      <c r="I19">
        <v>14</v>
      </c>
      <c r="J19">
        <v>2175</v>
      </c>
      <c r="K19">
        <f>(3127-1954)*(3/4)</f>
        <v>879.75</v>
      </c>
      <c r="L19">
        <v>33</v>
      </c>
      <c r="M19">
        <v>1979</v>
      </c>
      <c r="N19">
        <f>(2582-1137)*(3/4)</f>
        <v>1083.75</v>
      </c>
      <c r="O19">
        <f t="shared" ref="O19" si="4">SQRT(((I19-1)*POWER(K19,2) + (L19-1)*POWER(N19,2))/((I19-1)+(L19-1)))</f>
        <v>1028.9793304532409</v>
      </c>
      <c r="P19">
        <f t="shared" ref="P19" si="5">(J19-M19)/O19</f>
        <v>0.19048001665268308</v>
      </c>
      <c r="Q19">
        <f t="shared" ref="Q19" si="6">P19*(1- (3/(4*(I19+L19)-9)))</f>
        <v>0.18728761413895095</v>
      </c>
      <c r="R19">
        <f t="shared" ref="R19" si="7">SQRT((I19+L19)/(I19*L19)+(POWER(P19,2)/(2*(I19+L19))))</f>
        <v>0.31955842537614054</v>
      </c>
    </row>
    <row r="20" spans="1:18" x14ac:dyDescent="0.3">
      <c r="A20">
        <v>18</v>
      </c>
      <c r="B20" t="s">
        <v>179</v>
      </c>
      <c r="C20">
        <v>2010</v>
      </c>
      <c r="D20" t="s">
        <v>180</v>
      </c>
      <c r="E20" t="s">
        <v>37</v>
      </c>
      <c r="F20" t="s">
        <v>44</v>
      </c>
      <c r="G20" t="s">
        <v>181</v>
      </c>
      <c r="I20">
        <v>6</v>
      </c>
      <c r="J20">
        <v>74.5</v>
      </c>
      <c r="K20">
        <v>13.44</v>
      </c>
      <c r="L20">
        <v>8</v>
      </c>
      <c r="M20">
        <v>56.56</v>
      </c>
      <c r="N20">
        <v>11.93</v>
      </c>
      <c r="O20">
        <f t="shared" ref="O20:O22" si="8">SQRT(((I20-1)*POWER(K20,2) + (L20-1)*POWER(N20,2))/((I20-1)+(L20-1)))</f>
        <v>12.581210527343277</v>
      </c>
      <c r="P20">
        <f t="shared" ref="P20:P22" si="9">(J20-M20)/O20</f>
        <v>1.4259359193624681</v>
      </c>
      <c r="Q20">
        <f t="shared" ref="Q20:Q22" si="10">P20*(1- (3/(4*(I20+L20)-9)))</f>
        <v>1.334918733020183</v>
      </c>
      <c r="R20">
        <f t="shared" ref="R20:R22" si="11">SQRT((I20+L20)/(I20*L20)+(POWER(P20,2)/(2*(I20+L20))))</f>
        <v>0.60355967608829919</v>
      </c>
    </row>
    <row r="21" spans="1:18" x14ac:dyDescent="0.3">
      <c r="A21">
        <v>10</v>
      </c>
      <c r="B21" t="s">
        <v>96</v>
      </c>
      <c r="C21">
        <v>2013</v>
      </c>
      <c r="D21" t="s">
        <v>186</v>
      </c>
      <c r="E21" t="s">
        <v>43</v>
      </c>
      <c r="F21" t="s">
        <v>84</v>
      </c>
      <c r="H21" t="s">
        <v>185</v>
      </c>
      <c r="I21">
        <v>11</v>
      </c>
      <c r="J21">
        <v>4.5</v>
      </c>
      <c r="K21">
        <f>3*(3/4)</f>
        <v>2.25</v>
      </c>
      <c r="L21">
        <v>7</v>
      </c>
      <c r="M21">
        <v>1.9</v>
      </c>
      <c r="N21">
        <v>0.4</v>
      </c>
      <c r="O21">
        <f t="shared" si="8"/>
        <v>1.7955674590502024</v>
      </c>
      <c r="P21">
        <f t="shared" si="9"/>
        <v>1.4480102025101951</v>
      </c>
      <c r="Q21">
        <f t="shared" si="10"/>
        <v>1.3790573357239952</v>
      </c>
      <c r="R21">
        <f t="shared" si="11"/>
        <v>0.54037841581818158</v>
      </c>
    </row>
    <row r="22" spans="1:18" x14ac:dyDescent="0.3">
      <c r="A22">
        <v>11</v>
      </c>
      <c r="B22" t="s">
        <v>235</v>
      </c>
      <c r="C22">
        <v>2018</v>
      </c>
      <c r="D22" t="s">
        <v>236</v>
      </c>
      <c r="E22" t="s">
        <v>237</v>
      </c>
      <c r="F22" t="s">
        <v>238</v>
      </c>
      <c r="G22" t="s">
        <v>239</v>
      </c>
      <c r="H22" t="s">
        <v>240</v>
      </c>
      <c r="I22">
        <v>42</v>
      </c>
      <c r="J22">
        <v>26.8</v>
      </c>
      <c r="K22">
        <f>SQRT(I22)*(29-24.2)/3.92</f>
        <v>7.9356008551933002</v>
      </c>
      <c r="L22">
        <v>54</v>
      </c>
      <c r="M22">
        <v>10.6</v>
      </c>
      <c r="N22">
        <f>SQRT(L22)*(12.5-9)/3.92</f>
        <v>6.5611332395977984</v>
      </c>
      <c r="O22">
        <f t="shared" si="8"/>
        <v>7.1930027137798414</v>
      </c>
      <c r="P22">
        <f t="shared" si="9"/>
        <v>2.252188779098498</v>
      </c>
      <c r="Q22">
        <f t="shared" si="10"/>
        <v>2.23417126886571</v>
      </c>
      <c r="R22">
        <f t="shared" si="11"/>
        <v>0.26219564124906203</v>
      </c>
    </row>
    <row r="23" spans="1:18" x14ac:dyDescent="0.3">
      <c r="A23">
        <v>12</v>
      </c>
      <c r="B23" t="s">
        <v>170</v>
      </c>
      <c r="C23">
        <v>2011</v>
      </c>
      <c r="D23" t="s">
        <v>243</v>
      </c>
      <c r="E23" t="s">
        <v>37</v>
      </c>
      <c r="F23" t="s">
        <v>44</v>
      </c>
      <c r="G23" t="s">
        <v>62</v>
      </c>
      <c r="H23" t="s">
        <v>245</v>
      </c>
      <c r="I23">
        <v>9</v>
      </c>
      <c r="J23">
        <v>279</v>
      </c>
      <c r="K23">
        <v>22</v>
      </c>
      <c r="L23">
        <v>9</v>
      </c>
      <c r="M23">
        <v>180</v>
      </c>
      <c r="N23">
        <v>19</v>
      </c>
      <c r="O23">
        <f t="shared" ref="O23" si="12">SQRT(((I23-1)*POWER(K23,2) + (L23-1)*POWER(N23,2))/((I23-1)+(L23-1)))</f>
        <v>20.554804791094465</v>
      </c>
      <c r="P23">
        <f t="shared" ref="P23" si="13">(J23-M23)/O23</f>
        <v>4.8163921285641473</v>
      </c>
      <c r="Q23">
        <f t="shared" ref="Q23" si="14">P23*(1- (3/(4*(I23+L23)-9)))</f>
        <v>4.587040122442045</v>
      </c>
      <c r="R23">
        <f t="shared" ref="R23" si="15">SQRT((I23+L23)/(I23*L23)+(POWER(P23,2)/(2*(I23+L23))))</f>
        <v>0.93091402419722646</v>
      </c>
    </row>
    <row r="24" spans="1:18" x14ac:dyDescent="0.3">
      <c r="A24">
        <v>13</v>
      </c>
      <c r="B24" t="s">
        <v>209</v>
      </c>
      <c r="C24">
        <v>2009</v>
      </c>
      <c r="D24" t="s">
        <v>210</v>
      </c>
      <c r="E24" t="s">
        <v>161</v>
      </c>
      <c r="F24" t="s">
        <v>84</v>
      </c>
      <c r="G24" t="s">
        <v>211</v>
      </c>
      <c r="H24" t="s">
        <v>249</v>
      </c>
      <c r="I24">
        <v>10</v>
      </c>
      <c r="J24">
        <v>500</v>
      </c>
      <c r="K24">
        <f>(200/2.5)*(3/4)</f>
        <v>60</v>
      </c>
      <c r="L24">
        <v>10</v>
      </c>
      <c r="M24">
        <v>175</v>
      </c>
      <c r="N24">
        <f>(200/3)*(3/4)</f>
        <v>50</v>
      </c>
      <c r="O24">
        <f t="shared" ref="O24" si="16">SQRT(((I24-1)*POWER(K24,2) + (L24-1)*POWER(N24,2))/((I24-1)+(L24-1)))</f>
        <v>55.226805085936306</v>
      </c>
      <c r="P24">
        <f t="shared" ref="P24" si="17">(J24-M24)/O24</f>
        <v>5.8848234927637044</v>
      </c>
      <c r="Q24">
        <f t="shared" ref="Q24" si="18">P24*(1- (3/(4*(I24+L24)-9)))</f>
        <v>5.6361689789849567</v>
      </c>
      <c r="R24">
        <f t="shared" ref="R24" si="19">SQRT((I24+L24)/(I24*L24)+(POWER(P24,2)/(2*(I24+L24))))</f>
        <v>1.0323655789131048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2"/>
  <sheetViews>
    <sheetView workbookViewId="0">
      <selection activeCell="D6" sqref="D6"/>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141</v>
      </c>
      <c r="C2">
        <v>2020</v>
      </c>
      <c r="D2" t="s">
        <v>140</v>
      </c>
      <c r="E2" t="s">
        <v>142</v>
      </c>
      <c r="F2" t="s">
        <v>143</v>
      </c>
      <c r="G2" t="s">
        <v>144</v>
      </c>
      <c r="H2" t="s">
        <v>145</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15"/>
  <sheetViews>
    <sheetView workbookViewId="0">
      <selection activeCell="Q20" sqref="Q20"/>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166</v>
      </c>
      <c r="C2">
        <v>2007</v>
      </c>
      <c r="D2" t="s">
        <v>167</v>
      </c>
      <c r="E2" t="s">
        <v>168</v>
      </c>
      <c r="F2" t="s">
        <v>44</v>
      </c>
      <c r="G2" t="s">
        <v>164</v>
      </c>
      <c r="H2" t="s">
        <v>169</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52</v>
      </c>
      <c r="C3">
        <v>2004</v>
      </c>
      <c r="D3" t="s">
        <v>53</v>
      </c>
      <c r="E3" t="s">
        <v>43</v>
      </c>
      <c r="F3" t="s">
        <v>44</v>
      </c>
      <c r="G3" t="s">
        <v>44</v>
      </c>
      <c r="H3" t="s">
        <v>54</v>
      </c>
      <c r="I3">
        <v>13</v>
      </c>
      <c r="J3">
        <v>10050</v>
      </c>
      <c r="K3">
        <v>7554.5</v>
      </c>
      <c r="L3">
        <v>6</v>
      </c>
      <c r="M3">
        <v>1299.23</v>
      </c>
      <c r="N3">
        <v>437.7</v>
      </c>
      <c r="O3">
        <f t="shared" ref="O3" si="4">SQRT(((I3-1)*POWER(K3,2) + (L3-1)*POWER(N3,2))/((I3-1)+(L3-1)))</f>
        <v>6351.4868544117062</v>
      </c>
      <c r="P3">
        <f t="shared" ref="P3" si="5">(J3-M3)/O3</f>
        <v>1.3777514148394665</v>
      </c>
      <c r="Q3">
        <f t="shared" ref="Q3" si="6">P3*(1- (3/(4*(I3+L3)-9)))</f>
        <v>1.3160610529809829</v>
      </c>
      <c r="R3">
        <f t="shared" ref="R3" si="7">SQRT((I3+L3)/(I3*L3)+(POWER(P3,2)/(2*(I3+L3))))</f>
        <v>0.54179548524236587</v>
      </c>
    </row>
    <row r="4" spans="1:18" x14ac:dyDescent="0.3">
      <c r="A4">
        <v>2</v>
      </c>
      <c r="B4" t="s">
        <v>41</v>
      </c>
      <c r="C4">
        <v>2002</v>
      </c>
      <c r="D4" t="s">
        <v>42</v>
      </c>
      <c r="E4" t="s">
        <v>43</v>
      </c>
      <c r="F4" t="s">
        <v>44</v>
      </c>
      <c r="G4" t="s">
        <v>164</v>
      </c>
      <c r="H4" t="s">
        <v>165</v>
      </c>
      <c r="I4">
        <v>15</v>
      </c>
      <c r="J4">
        <v>1329.5</v>
      </c>
      <c r="K4">
        <v>403.9</v>
      </c>
      <c r="L4">
        <v>9</v>
      </c>
      <c r="M4">
        <v>422.7</v>
      </c>
      <c r="N4">
        <v>117.3</v>
      </c>
      <c r="O4">
        <f t="shared" ref="O4" si="8">SQRT(((I4-1)*POWER(K4,2) + (L4-1)*POWER(N4,2))/((I4-1)+(L4-1)))</f>
        <v>329.87375408838398</v>
      </c>
      <c r="P4">
        <f t="shared" ref="P4" si="9">(J4-M4)/O4</f>
        <v>2.7489304279631734</v>
      </c>
      <c r="Q4">
        <f t="shared" ref="Q4" si="10">P4*(1- (3/(4*(I4+L4)-9)))</f>
        <v>2.6541397235506503</v>
      </c>
      <c r="R4">
        <f t="shared" ref="R4" si="11">SQRT((I4+L4)/(I4*L4)+(POWER(P4,2)/(2*(I4+L4))))</f>
        <v>0.57897092311695464</v>
      </c>
    </row>
    <row r="5" spans="1:18" x14ac:dyDescent="0.3">
      <c r="A5">
        <v>3</v>
      </c>
      <c r="B5" t="s">
        <v>156</v>
      </c>
      <c r="C5">
        <v>2012</v>
      </c>
      <c r="D5" t="s">
        <v>157</v>
      </c>
      <c r="E5" t="s">
        <v>94</v>
      </c>
      <c r="F5" t="s">
        <v>44</v>
      </c>
      <c r="G5" t="s">
        <v>138</v>
      </c>
      <c r="H5" t="s">
        <v>158</v>
      </c>
      <c r="I5">
        <v>4</v>
      </c>
      <c r="J5">
        <v>203.06</v>
      </c>
      <c r="K5">
        <v>16.79</v>
      </c>
      <c r="L5">
        <v>4</v>
      </c>
      <c r="M5">
        <v>55.54</v>
      </c>
      <c r="N5">
        <v>23.47</v>
      </c>
      <c r="O5">
        <f t="shared" ref="O5:O6" si="12">SQRT(((I5-1)*POWER(K5,2) + (L5-1)*POWER(N5,2))/((I5-1)+(L5-1)))</f>
        <v>20.405207668632045</v>
      </c>
      <c r="P5">
        <f t="shared" ref="P5:P6" si="13">(J5-M5)/O5</f>
        <v>7.229527010733416</v>
      </c>
      <c r="Q5">
        <f t="shared" ref="Q5:Q6" si="14">P5*(1- (3/(4*(I5+L5)-9)))</f>
        <v>6.2865452267247095</v>
      </c>
      <c r="R5">
        <f t="shared" ref="R5:R6" si="15">SQRT((I5+L5)/(I5*L5)+(POWER(P5,2)/(2*(I5+L5))))</f>
        <v>1.9407804615496191</v>
      </c>
    </row>
    <row r="6" spans="1:18" x14ac:dyDescent="0.3">
      <c r="A6">
        <v>4</v>
      </c>
      <c r="B6" t="s">
        <v>174</v>
      </c>
      <c r="C6">
        <v>2021</v>
      </c>
      <c r="D6" t="s">
        <v>175</v>
      </c>
      <c r="E6" t="s">
        <v>94</v>
      </c>
      <c r="H6" t="s">
        <v>176</v>
      </c>
      <c r="I6">
        <v>24</v>
      </c>
      <c r="J6">
        <v>12000</v>
      </c>
      <c r="K6">
        <v>2500</v>
      </c>
      <c r="L6">
        <v>26</v>
      </c>
      <c r="M6">
        <v>8000</v>
      </c>
      <c r="N6">
        <v>1250</v>
      </c>
      <c r="O6">
        <f t="shared" si="12"/>
        <v>1951.5618744994995</v>
      </c>
      <c r="P6">
        <f t="shared" si="13"/>
        <v>2.0496403687051155</v>
      </c>
      <c r="Q6">
        <f t="shared" si="14"/>
        <v>2.0174470644846165</v>
      </c>
      <c r="R6">
        <f t="shared" si="15"/>
        <v>0.34948313484124172</v>
      </c>
    </row>
    <row r="7" spans="1:18" x14ac:dyDescent="0.3">
      <c r="A7">
        <v>5</v>
      </c>
      <c r="B7" t="s">
        <v>183</v>
      </c>
      <c r="C7">
        <v>2017</v>
      </c>
      <c r="D7" t="s">
        <v>184</v>
      </c>
      <c r="E7" t="s">
        <v>37</v>
      </c>
      <c r="F7" t="s">
        <v>44</v>
      </c>
      <c r="G7" t="s">
        <v>128</v>
      </c>
      <c r="H7" t="s">
        <v>185</v>
      </c>
      <c r="I7">
        <v>24</v>
      </c>
      <c r="J7">
        <v>15000</v>
      </c>
      <c r="K7">
        <f>9000*(3/4)</f>
        <v>6750</v>
      </c>
      <c r="L7">
        <v>15</v>
      </c>
      <c r="M7">
        <v>10000</v>
      </c>
      <c r="N7">
        <f>4000*(3/4)</f>
        <v>3000</v>
      </c>
      <c r="O7">
        <f t="shared" ref="O7" si="16">SQRT(((I7-1)*POWER(K7,2) + (L7-1)*POWER(N7,2))/((I7-1)+(L7-1)))</f>
        <v>5632.7649108178248</v>
      </c>
      <c r="P7">
        <f t="shared" ref="P7" si="17">(J7-M7)/O7</f>
        <v>0.88766353277009868</v>
      </c>
      <c r="Q7">
        <f t="shared" ref="Q7" si="18">P7*(1- (3/(4*(I7+L7)-9)))</f>
        <v>0.86954795046866806</v>
      </c>
      <c r="R7">
        <f t="shared" ref="R7" si="19">SQRT((I7+L7)/(I7*L7)+(POWER(P7,2)/(2*(I7+L7))))</f>
        <v>0.34414417348878751</v>
      </c>
    </row>
    <row r="8" spans="1:18" x14ac:dyDescent="0.3">
      <c r="A8">
        <v>6</v>
      </c>
      <c r="B8" t="s">
        <v>96</v>
      </c>
      <c r="C8">
        <v>2013</v>
      </c>
      <c r="D8" t="s">
        <v>186</v>
      </c>
      <c r="E8" t="s">
        <v>43</v>
      </c>
      <c r="F8" t="s">
        <v>84</v>
      </c>
      <c r="H8" t="s">
        <v>185</v>
      </c>
      <c r="I8">
        <v>11</v>
      </c>
      <c r="J8">
        <v>6</v>
      </c>
      <c r="K8">
        <f>5*(3/4)</f>
        <v>3.75</v>
      </c>
      <c r="L8">
        <v>7</v>
      </c>
      <c r="M8">
        <v>3.5</v>
      </c>
      <c r="N8">
        <v>0.5</v>
      </c>
      <c r="O8">
        <f t="shared" ref="O8" si="20">SQRT(((I8-1)*POWER(K8,2) + (L8-1)*POWER(N8,2))/((I8-1)+(L8-1)))</f>
        <v>2.980404754391591</v>
      </c>
      <c r="P8">
        <f t="shared" ref="P8" si="21">(J8-M8)/O8</f>
        <v>0.83881224398004317</v>
      </c>
      <c r="Q8">
        <f t="shared" ref="Q8" si="22">P8*(1- (3/(4*(I8+L8)-9)))</f>
        <v>0.79886880379051728</v>
      </c>
      <c r="R8">
        <f t="shared" ref="R8" si="23">SQRT((I8+L8)/(I8*L8)+(POWER(P8,2)/(2*(I8+L8))))</f>
        <v>0.50329995463924693</v>
      </c>
    </row>
    <row r="9" spans="1:18" x14ac:dyDescent="0.3">
      <c r="A9">
        <v>7</v>
      </c>
      <c r="B9" t="s">
        <v>204</v>
      </c>
      <c r="C9">
        <v>2013</v>
      </c>
      <c r="D9" t="s">
        <v>205</v>
      </c>
      <c r="E9" t="s">
        <v>206</v>
      </c>
      <c r="F9" t="s">
        <v>84</v>
      </c>
      <c r="G9" t="s">
        <v>207</v>
      </c>
      <c r="H9" t="s">
        <v>208</v>
      </c>
      <c r="I9">
        <v>16</v>
      </c>
      <c r="J9">
        <v>1000</v>
      </c>
      <c r="K9">
        <f>900*(3/4)</f>
        <v>675</v>
      </c>
      <c r="L9">
        <v>4</v>
      </c>
      <c r="M9">
        <v>800</v>
      </c>
      <c r="N9">
        <f>800*(3/4)</f>
        <v>600</v>
      </c>
      <c r="O9">
        <f t="shared" ref="O9:O10" si="24">SQRT(((I9-1)*POWER(K9,2) + (L9-1)*POWER(N9,2))/((I9-1)+(L9-1)))</f>
        <v>663.08936049374222</v>
      </c>
      <c r="P9">
        <f t="shared" ref="P9:P10" si="25">(J9-M9)/O9</f>
        <v>0.30161847243496448</v>
      </c>
      <c r="Q9">
        <f t="shared" ref="Q9:Q10" si="26">P9*(1- (3/(4*(I9+L9)-9)))</f>
        <v>0.2888740299377125</v>
      </c>
      <c r="R9">
        <f t="shared" ref="R9:R10" si="27">SQRT((I9+L9)/(I9*L9)+(POWER(P9,2)/(2*(I9+L9))))</f>
        <v>0.5610475403857057</v>
      </c>
    </row>
    <row r="10" spans="1:18" x14ac:dyDescent="0.3">
      <c r="A10">
        <v>8</v>
      </c>
      <c r="B10" t="s">
        <v>209</v>
      </c>
      <c r="C10">
        <v>2009</v>
      </c>
      <c r="D10" t="s">
        <v>210</v>
      </c>
      <c r="E10" t="s">
        <v>161</v>
      </c>
      <c r="F10" t="s">
        <v>44</v>
      </c>
      <c r="G10" t="s">
        <v>211</v>
      </c>
      <c r="H10" t="s">
        <v>212</v>
      </c>
      <c r="I10">
        <v>10</v>
      </c>
      <c r="J10">
        <v>1750</v>
      </c>
      <c r="K10">
        <f>1000*(3/4)</f>
        <v>750</v>
      </c>
      <c r="L10">
        <v>10</v>
      </c>
      <c r="M10">
        <v>500</v>
      </c>
      <c r="N10">
        <f>400*(3/4)</f>
        <v>300</v>
      </c>
      <c r="O10">
        <f t="shared" si="24"/>
        <v>571.18298293979308</v>
      </c>
      <c r="P10">
        <f t="shared" si="25"/>
        <v>2.1884405476620428</v>
      </c>
      <c r="Q10">
        <f t="shared" si="26"/>
        <v>2.0959712287467451</v>
      </c>
      <c r="R10">
        <f t="shared" si="27"/>
        <v>0.565448318386644</v>
      </c>
    </row>
    <row r="11" spans="1:18" x14ac:dyDescent="0.3">
      <c r="A11">
        <v>9</v>
      </c>
      <c r="B11" t="s">
        <v>226</v>
      </c>
      <c r="C11">
        <v>2015</v>
      </c>
      <c r="D11" t="s">
        <v>227</v>
      </c>
      <c r="E11" t="s">
        <v>228</v>
      </c>
      <c r="F11" t="s">
        <v>154</v>
      </c>
      <c r="G11" t="s">
        <v>229</v>
      </c>
      <c r="I11">
        <v>5</v>
      </c>
      <c r="J11">
        <v>6.5</v>
      </c>
      <c r="K11">
        <v>1.29</v>
      </c>
      <c r="L11">
        <v>6</v>
      </c>
      <c r="M11">
        <v>4.03</v>
      </c>
      <c r="N11">
        <v>1.29</v>
      </c>
      <c r="O11">
        <f t="shared" ref="O11:O14" si="28">SQRT(((I11-1)*POWER(K11,2) + (L11-1)*POWER(N11,2))/((I11-1)+(L11-1)))</f>
        <v>1.29</v>
      </c>
      <c r="P11">
        <f t="shared" ref="P11:P14" si="29">(J11-M11)/O11</f>
        <v>1.9147286821705425</v>
      </c>
      <c r="Q11">
        <f t="shared" ref="Q11:Q14" si="30">P11*(1- (3/(4*(I11+L11)-9)))</f>
        <v>1.7506090808416388</v>
      </c>
      <c r="R11">
        <f t="shared" ref="R11:R14" si="31">SQRT((I11+L11)/(I11*L11)+(POWER(P11,2)/(2*(I11+L11))))</f>
        <v>0.73028178225921214</v>
      </c>
    </row>
    <row r="12" spans="1:18" x14ac:dyDescent="0.3">
      <c r="A12">
        <v>10</v>
      </c>
      <c r="B12" t="s">
        <v>235</v>
      </c>
      <c r="C12">
        <v>2018</v>
      </c>
      <c r="D12" t="s">
        <v>236</v>
      </c>
      <c r="E12" t="s">
        <v>237</v>
      </c>
      <c r="F12" t="s">
        <v>238</v>
      </c>
      <c r="G12" t="s">
        <v>239</v>
      </c>
      <c r="H12" t="s">
        <v>241</v>
      </c>
      <c r="I12">
        <v>42</v>
      </c>
      <c r="J12">
        <v>18.2</v>
      </c>
      <c r="K12">
        <f>SQRT(I12)*(20-16.4)/3.92</f>
        <v>5.951700641394976</v>
      </c>
      <c r="L12">
        <v>54</v>
      </c>
      <c r="M12">
        <v>8.1</v>
      </c>
      <c r="N12">
        <f>SQRT(L12)*(9.6-6.8)/3.92</f>
        <v>5.2489065916782387</v>
      </c>
      <c r="O12">
        <f t="shared" si="28"/>
        <v>5.5663659820625027</v>
      </c>
      <c r="P12">
        <f t="shared" si="29"/>
        <v>1.8144692664023596</v>
      </c>
      <c r="Q12">
        <f t="shared" si="30"/>
        <v>1.7999535122711408</v>
      </c>
      <c r="R12">
        <f t="shared" si="31"/>
        <v>0.24387585261365186</v>
      </c>
    </row>
    <row r="13" spans="1:18" x14ac:dyDescent="0.3">
      <c r="A13">
        <v>11</v>
      </c>
      <c r="B13" t="s">
        <v>28</v>
      </c>
      <c r="C13">
        <v>2016</v>
      </c>
      <c r="D13" t="s">
        <v>177</v>
      </c>
      <c r="E13" t="s">
        <v>30</v>
      </c>
      <c r="F13" t="s">
        <v>143</v>
      </c>
      <c r="G13" t="s">
        <v>162</v>
      </c>
      <c r="H13" t="s">
        <v>178</v>
      </c>
      <c r="I13">
        <f>(14/18)*135</f>
        <v>105</v>
      </c>
      <c r="J13">
        <v>2.25</v>
      </c>
      <c r="K13">
        <v>0.25</v>
      </c>
      <c r="L13">
        <v>30</v>
      </c>
      <c r="M13">
        <v>1.7</v>
      </c>
      <c r="N13">
        <v>0.1</v>
      </c>
      <c r="O13">
        <f t="shared" si="28"/>
        <v>0.22594829403858613</v>
      </c>
      <c r="P13">
        <f t="shared" si="29"/>
        <v>2.4341852295909536</v>
      </c>
      <c r="Q13">
        <f t="shared" si="30"/>
        <v>2.4204327706667113</v>
      </c>
      <c r="R13">
        <f t="shared" si="31"/>
        <v>0.25456343387139785</v>
      </c>
    </row>
    <row r="14" spans="1:18" x14ac:dyDescent="0.3">
      <c r="A14">
        <v>12</v>
      </c>
      <c r="B14" t="s">
        <v>242</v>
      </c>
      <c r="C14">
        <v>2011</v>
      </c>
      <c r="D14" t="s">
        <v>243</v>
      </c>
      <c r="E14" t="s">
        <v>37</v>
      </c>
      <c r="F14" t="s">
        <v>44</v>
      </c>
      <c r="G14" t="s">
        <v>62</v>
      </c>
      <c r="H14" t="s">
        <v>244</v>
      </c>
      <c r="I14">
        <v>9</v>
      </c>
      <c r="J14">
        <v>3453</v>
      </c>
      <c r="K14">
        <v>309</v>
      </c>
      <c r="L14">
        <v>9</v>
      </c>
      <c r="M14">
        <v>2505</v>
      </c>
      <c r="N14">
        <v>220</v>
      </c>
      <c r="O14">
        <f t="shared" si="28"/>
        <v>268.21726268083489</v>
      </c>
      <c r="P14">
        <f t="shared" si="29"/>
        <v>3.5344481206195608</v>
      </c>
      <c r="Q14">
        <f t="shared" si="30"/>
        <v>3.3661410672567245</v>
      </c>
      <c r="R14">
        <f t="shared" si="31"/>
        <v>0.75447412733327679</v>
      </c>
    </row>
    <row r="15" spans="1:18" x14ac:dyDescent="0.3">
      <c r="A15">
        <v>13</v>
      </c>
      <c r="B15" t="s">
        <v>18</v>
      </c>
      <c r="C15">
        <v>2015</v>
      </c>
      <c r="D15" t="s">
        <v>246</v>
      </c>
      <c r="E15" t="s">
        <v>21</v>
      </c>
      <c r="F15" t="s">
        <v>78</v>
      </c>
      <c r="G15" t="s">
        <v>247</v>
      </c>
      <c r="H15" t="s">
        <v>248</v>
      </c>
      <c r="I15">
        <v>23</v>
      </c>
      <c r="J15">
        <v>1100</v>
      </c>
      <c r="K15">
        <f>1000*(3/4)</f>
        <v>750</v>
      </c>
      <c r="L15">
        <v>19</v>
      </c>
      <c r="M15">
        <v>500</v>
      </c>
      <c r="N15">
        <f>300*(3/4)</f>
        <v>225</v>
      </c>
      <c r="O15">
        <f t="shared" ref="O15" si="32">SQRT(((I15-1)*POWER(K15,2) + (L15-1)*POWER(N15,2))/((I15-1)+(L15-1)))</f>
        <v>576.32998360314377</v>
      </c>
      <c r="P15">
        <f t="shared" ref="P15" si="33">(J15-M15)/O15</f>
        <v>1.0410702498052837</v>
      </c>
      <c r="Q15">
        <f t="shared" ref="Q15" si="34">P15*(1- (3/(4*(I15+L15)-9)))</f>
        <v>1.0214274149032974</v>
      </c>
      <c r="R15">
        <f t="shared" ref="R15" si="35">SQRT((I15+L15)/(I15*L15)+(POWER(P15,2)/(2*(I15+L15))))</f>
        <v>0.33017047922702103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7"/>
  <sheetViews>
    <sheetView workbookViewId="0">
      <selection activeCell="I12" sqref="I12"/>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2021</v>
      </c>
      <c r="D2" t="s">
        <v>93</v>
      </c>
      <c r="E2" t="s">
        <v>94</v>
      </c>
      <c r="F2" t="s">
        <v>78</v>
      </c>
      <c r="G2" t="s">
        <v>128</v>
      </c>
      <c r="H2" t="s">
        <v>221</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223</v>
      </c>
      <c r="C3">
        <v>2015</v>
      </c>
      <c r="D3" t="s">
        <v>222</v>
      </c>
      <c r="E3" t="s">
        <v>94</v>
      </c>
      <c r="F3" t="s">
        <v>84</v>
      </c>
      <c r="G3" t="s">
        <v>128</v>
      </c>
      <c r="H3" t="s">
        <v>225</v>
      </c>
      <c r="I3">
        <v>15</v>
      </c>
      <c r="J3">
        <v>17.739999999999998</v>
      </c>
      <c r="K3">
        <v>9.11</v>
      </c>
      <c r="L3">
        <v>11</v>
      </c>
      <c r="M3">
        <v>5.46</v>
      </c>
      <c r="N3">
        <v>1.48</v>
      </c>
      <c r="O3">
        <f t="shared" ref="O3" si="4">SQRT(((I3-1)*POWER(K3,2) + (L3-1)*POWER(N3,2))/((I3-1)+(L3-1)))</f>
        <v>7.0231563417027818</v>
      </c>
      <c r="P3">
        <f t="shared" ref="P3" si="5">(J3-M3)/O3</f>
        <v>1.7485015856877082</v>
      </c>
      <c r="Q3">
        <f t="shared" ref="Q3" si="6">P3*(1- (3/(4*(I3+L3)-9)))</f>
        <v>1.6932857461396753</v>
      </c>
      <c r="R3">
        <f t="shared" ref="R3" si="7">SQRT((I3+L3)/(I3*L3)+(POWER(P3,2)/(2*(I3+L3))))</f>
        <v>0.46515500288968653</v>
      </c>
    </row>
    <row r="4" spans="1:18" x14ac:dyDescent="0.3">
      <c r="A4">
        <v>2</v>
      </c>
      <c r="B4" t="s">
        <v>226</v>
      </c>
      <c r="C4">
        <v>2015</v>
      </c>
      <c r="D4" t="s">
        <v>227</v>
      </c>
      <c r="E4" t="s">
        <v>228</v>
      </c>
      <c r="F4" t="s">
        <v>154</v>
      </c>
      <c r="G4" t="s">
        <v>229</v>
      </c>
      <c r="H4" t="s">
        <v>230</v>
      </c>
      <c r="I4">
        <v>5</v>
      </c>
      <c r="J4">
        <v>64</v>
      </c>
      <c r="K4">
        <f>64*(17.83/85.52)</f>
        <v>13.343311506080449</v>
      </c>
      <c r="L4">
        <v>6</v>
      </c>
      <c r="M4">
        <v>29</v>
      </c>
      <c r="N4">
        <f>29*(17.84/52.43)</f>
        <v>9.8676330345222194</v>
      </c>
      <c r="O4">
        <f t="shared" ref="O4" si="8">SQRT(((I4-1)*POWER(K4,2) + (L4-1)*POWER(N4,2))/((I4-1)+(L4-1)))</f>
        <v>11.542321913112083</v>
      </c>
      <c r="P4">
        <f t="shared" ref="P4" si="9">(J4-M4)/O4</f>
        <v>3.0323188231511704</v>
      </c>
      <c r="Q4">
        <f t="shared" ref="Q4" si="10">P4*(1- (3/(4*(I4+L4)-9)))</f>
        <v>2.7724057811667842</v>
      </c>
      <c r="R4">
        <f t="shared" ref="R4" si="11">SQRT((I4+L4)/(I4*L4)+(POWER(P4,2)/(2*(I4+L4))))</f>
        <v>0.88578737731681323</v>
      </c>
    </row>
    <row r="5" spans="1:18" x14ac:dyDescent="0.3">
      <c r="A5">
        <v>3</v>
      </c>
      <c r="B5" t="s">
        <v>231</v>
      </c>
      <c r="C5">
        <v>2021</v>
      </c>
      <c r="D5" t="s">
        <v>232</v>
      </c>
      <c r="E5" t="s">
        <v>161</v>
      </c>
      <c r="F5" t="s">
        <v>154</v>
      </c>
      <c r="G5" t="s">
        <v>233</v>
      </c>
      <c r="H5" t="s">
        <v>234</v>
      </c>
      <c r="I5">
        <v>2</v>
      </c>
      <c r="J5">
        <v>5.0999999999999996</v>
      </c>
      <c r="K5">
        <f>5.1*((871-308)/589)</f>
        <v>4.8748726655348049</v>
      </c>
      <c r="L5">
        <v>2</v>
      </c>
      <c r="M5">
        <v>2.9</v>
      </c>
      <c r="N5">
        <f>2.9*((320-294)/307)</f>
        <v>0.24560260586319216</v>
      </c>
      <c r="O5">
        <f t="shared" ref="O5" si="12">SQRT(((I5-1)*POWER(K5,2) + (L5-1)*POWER(N5,2))/((I5-1)+(L5-1)))</f>
        <v>3.4514275412635569</v>
      </c>
      <c r="P5">
        <f t="shared" ref="P5" si="13">(J5-M5)/O5</f>
        <v>0.63741740879618369</v>
      </c>
      <c r="Q5">
        <f t="shared" ref="Q5" si="14">P5*(1- (3/(4*(I5+L5)-9)))</f>
        <v>0.36423851931210494</v>
      </c>
      <c r="R5">
        <f t="shared" ref="R5" si="15">SQRT((I5+L5)/(I5*L5)+(POWER(P5,2)/(2*(I5+L5))))</f>
        <v>1.0250793233352993</v>
      </c>
    </row>
    <row r="6" spans="1:18" x14ac:dyDescent="0.3">
      <c r="A6">
        <v>4</v>
      </c>
      <c r="B6" t="s">
        <v>204</v>
      </c>
      <c r="C6">
        <v>2013</v>
      </c>
      <c r="D6" t="s">
        <v>205</v>
      </c>
      <c r="E6" t="s">
        <v>206</v>
      </c>
      <c r="F6" t="s">
        <v>84</v>
      </c>
      <c r="G6" t="s">
        <v>207</v>
      </c>
      <c r="H6" t="s">
        <v>208</v>
      </c>
      <c r="I6">
        <v>16</v>
      </c>
      <c r="J6">
        <v>55</v>
      </c>
      <c r="K6">
        <f>20*(3/4)</f>
        <v>15</v>
      </c>
      <c r="L6">
        <v>4</v>
      </c>
      <c r="M6">
        <v>41</v>
      </c>
      <c r="N6">
        <f>10*(3/4)</f>
        <v>7.5</v>
      </c>
      <c r="O6">
        <f t="shared" ref="O6" si="16">SQRT(((I6-1)*POWER(K6,2) + (L6-1)*POWER(N6,2))/((I6-1)+(L6-1)))</f>
        <v>14.031215200402281</v>
      </c>
      <c r="P6">
        <f t="shared" ref="P6" si="17">(J6-M6)/O6</f>
        <v>0.99777530313971763</v>
      </c>
      <c r="Q6">
        <f t="shared" ref="Q6" si="18">P6*(1- (3/(4*(I6+L6)-9)))</f>
        <v>0.95561578328874375</v>
      </c>
      <c r="R6">
        <f t="shared" ref="R6" si="19">SQRT((I6+L6)/(I6*L6)+(POWER(P6,2)/(2*(I6+L6))))</f>
        <v>0.5808518648406743</v>
      </c>
    </row>
    <row r="7" spans="1:18" x14ac:dyDescent="0.3">
      <c r="A7">
        <v>5</v>
      </c>
      <c r="B7" t="s">
        <v>235</v>
      </c>
      <c r="C7">
        <v>2018</v>
      </c>
      <c r="D7" t="s">
        <v>236</v>
      </c>
      <c r="E7" t="s">
        <v>237</v>
      </c>
      <c r="F7" t="s">
        <v>238</v>
      </c>
      <c r="G7" t="s">
        <v>239</v>
      </c>
      <c r="H7" t="s">
        <v>240</v>
      </c>
      <c r="I7">
        <v>42</v>
      </c>
      <c r="J7">
        <v>392</v>
      </c>
      <c r="K7">
        <f>SQRT(I7)*(569-185)/3.92</f>
        <v>634.8480684154639</v>
      </c>
      <c r="L7">
        <v>54</v>
      </c>
      <c r="M7">
        <v>91</v>
      </c>
      <c r="N7">
        <f>SQRT(L7)*(127-69)/3.92</f>
        <v>108.72735082762065</v>
      </c>
      <c r="O7">
        <f t="shared" ref="O7" si="20">SQRT(((I7-1)*POWER(K7,2) + (L7-1)*POWER(N7,2))/((I7-1)+(L7-1)))</f>
        <v>427.1486564213152</v>
      </c>
      <c r="P7">
        <f t="shared" ref="P7" si="21">(J7-M7)/O7</f>
        <v>0.70467270697232554</v>
      </c>
      <c r="Q7">
        <f t="shared" ref="Q7" si="22">P7*(1- (3/(4*(I7+L7)-9)))</f>
        <v>0.69903532531654688</v>
      </c>
      <c r="R7">
        <f t="shared" ref="R7" si="23">SQRT((I7+L7)/(I7*L7)+(POWER(P7,2)/(2*(I7+L7))))</f>
        <v>0.21192996768458866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9"/>
  <sheetViews>
    <sheetView workbookViewId="0">
      <selection activeCell="F20" sqref="F20"/>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187</v>
      </c>
      <c r="C2">
        <v>2017</v>
      </c>
      <c r="D2" t="s">
        <v>224</v>
      </c>
      <c r="E2" t="s">
        <v>30</v>
      </c>
      <c r="F2" t="s">
        <v>78</v>
      </c>
      <c r="G2" t="s">
        <v>188</v>
      </c>
      <c r="H2" t="s">
        <v>189</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190</v>
      </c>
      <c r="C3">
        <v>2006</v>
      </c>
      <c r="D3" t="s">
        <v>191</v>
      </c>
      <c r="E3" t="s">
        <v>43</v>
      </c>
      <c r="F3" t="s">
        <v>84</v>
      </c>
      <c r="G3" t="s">
        <v>164</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192</v>
      </c>
      <c r="C4">
        <v>2021</v>
      </c>
      <c r="D4" t="s">
        <v>193</v>
      </c>
      <c r="E4" t="s">
        <v>37</v>
      </c>
      <c r="F4" t="s">
        <v>84</v>
      </c>
      <c r="G4" t="s">
        <v>194</v>
      </c>
      <c r="H4" t="s">
        <v>195</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196</v>
      </c>
      <c r="C5">
        <v>2018</v>
      </c>
      <c r="D5" t="s">
        <v>197</v>
      </c>
      <c r="E5" t="s">
        <v>198</v>
      </c>
      <c r="F5" t="s">
        <v>154</v>
      </c>
      <c r="G5" t="s">
        <v>128</v>
      </c>
      <c r="H5" t="s">
        <v>199</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200</v>
      </c>
      <c r="C6">
        <v>2021</v>
      </c>
      <c r="D6" t="s">
        <v>201</v>
      </c>
      <c r="E6" t="s">
        <v>21</v>
      </c>
      <c r="F6" t="s">
        <v>78</v>
      </c>
      <c r="G6" t="s">
        <v>202</v>
      </c>
      <c r="H6" t="s">
        <v>203</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204</v>
      </c>
      <c r="C7">
        <v>2013</v>
      </c>
      <c r="D7" t="s">
        <v>205</v>
      </c>
      <c r="E7" t="s">
        <v>206</v>
      </c>
      <c r="F7" t="s">
        <v>84</v>
      </c>
      <c r="G7" t="s">
        <v>207</v>
      </c>
      <c r="H7" t="s">
        <v>208</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213</v>
      </c>
      <c r="C8">
        <v>2005</v>
      </c>
      <c r="D8" t="s">
        <v>214</v>
      </c>
      <c r="E8" t="s">
        <v>43</v>
      </c>
      <c r="F8" t="s">
        <v>84</v>
      </c>
      <c r="G8" t="s">
        <v>215</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216</v>
      </c>
      <c r="C9">
        <v>2018</v>
      </c>
      <c r="D9" t="s">
        <v>217</v>
      </c>
      <c r="E9" t="s">
        <v>218</v>
      </c>
      <c r="F9" t="s">
        <v>143</v>
      </c>
      <c r="G9" t="s">
        <v>219</v>
      </c>
      <c r="H9" t="s">
        <v>220</v>
      </c>
      <c r="I9">
        <v>10</v>
      </c>
      <c r="J9">
        <v>0.3</v>
      </c>
      <c r="K9">
        <f>0.4*(3/4)</f>
        <v>0.30000000000000004</v>
      </c>
      <c r="L9">
        <v>10</v>
      </c>
      <c r="M9">
        <v>0.25</v>
      </c>
      <c r="N9">
        <f>0.4*(3/4)</f>
        <v>0.30000000000000004</v>
      </c>
      <c r="O9">
        <f t="shared" ref="O9" si="20">SQRT(((I9-1)*POWER(K9,2) + (L9-1)*POWER(N9,2))/((I9-1)+(L9-1)))</f>
        <v>0.30000000000000004</v>
      </c>
      <c r="P9">
        <f t="shared" ref="P9" si="21">(J9-M9)/O9</f>
        <v>0.1666666666666666</v>
      </c>
      <c r="Q9">
        <f t="shared" ref="Q9" si="22">P9*(1- (3/(4*(I9+L9)-9)))</f>
        <v>0.15962441314553985</v>
      </c>
      <c r="R9">
        <f t="shared" ref="R9" si="23">SQRT((I9+L9)/(I9*L9)+(POWER(P9,2)/(2*(I9+L9))))</f>
        <v>0.44798933519052042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1"/>
  <sheetViews>
    <sheetView workbookViewId="0">
      <selection sqref="A1:R1"/>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activeCell="B2" sqref="B2:R2"/>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2022</v>
      </c>
      <c r="D2" t="s">
        <v>73</v>
      </c>
      <c r="E2" t="s">
        <v>15</v>
      </c>
      <c r="F2" t="s">
        <v>74</v>
      </c>
      <c r="G2" t="s">
        <v>22</v>
      </c>
      <c r="H2" t="s">
        <v>75</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89</v>
      </c>
      <c r="C3">
        <v>1996</v>
      </c>
      <c r="D3" t="s">
        <v>88</v>
      </c>
      <c r="E3" t="s">
        <v>90</v>
      </c>
      <c r="F3" t="s">
        <v>84</v>
      </c>
      <c r="G3" t="s">
        <v>91</v>
      </c>
      <c r="H3" t="s">
        <v>92</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6"/>
  <sheetViews>
    <sheetView workbookViewId="0">
      <selection activeCell="F13" sqref="F13"/>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2022</v>
      </c>
      <c r="D2" t="s">
        <v>93</v>
      </c>
      <c r="E2" t="s">
        <v>94</v>
      </c>
      <c r="F2" t="s">
        <v>74</v>
      </c>
      <c r="G2" t="s">
        <v>22</v>
      </c>
      <c r="H2" t="s">
        <v>95</v>
      </c>
      <c r="I2">
        <v>25</v>
      </c>
      <c r="J2">
        <f>0.78316-0.25485</f>
        <v>0.52830999999999995</v>
      </c>
      <c r="K2">
        <v>9.4689999999999996E-2</v>
      </c>
      <c r="L2">
        <v>25</v>
      </c>
      <c r="M2">
        <v>0.78315999999999997</v>
      </c>
      <c r="N2">
        <v>6.6960000000000006E-2</v>
      </c>
      <c r="O2">
        <f>SQRT(((I2-1)*POWER(K2,2) + (L2-1)*POWER(N2,2))/((I2-1)+(L2-1)))</f>
        <v>8.2005602552508564E-2</v>
      </c>
      <c r="P2">
        <f>(J2-M2)/O2</f>
        <v>-3.1077144983700156</v>
      </c>
      <c r="Q2">
        <f>P2*(1- (3/(4*(I2+L2)-9)))</f>
        <v>-3.0589022287621095</v>
      </c>
      <c r="R2">
        <f>SQRT((I2+L2)/(I2*L2)+(POWER(P2,2)/(2*(I2+L2))))</f>
        <v>0.42021291512017095</v>
      </c>
    </row>
    <row r="3" spans="1:18" x14ac:dyDescent="0.3">
      <c r="A3">
        <v>1</v>
      </c>
      <c r="B3" t="s">
        <v>96</v>
      </c>
      <c r="C3">
        <v>2017</v>
      </c>
      <c r="D3" t="s">
        <v>97</v>
      </c>
      <c r="E3" t="s">
        <v>98</v>
      </c>
      <c r="F3" t="s">
        <v>44</v>
      </c>
      <c r="G3" t="s">
        <v>99</v>
      </c>
      <c r="H3" t="s">
        <v>100</v>
      </c>
      <c r="I3">
        <v>28</v>
      </c>
      <c r="J3">
        <v>7.0000000000000007E-2</v>
      </c>
      <c r="K3">
        <v>0.05</v>
      </c>
      <c r="L3">
        <v>2</v>
      </c>
      <c r="M3">
        <v>0.24</v>
      </c>
      <c r="N3">
        <v>0.13</v>
      </c>
      <c r="O3">
        <f>SQRT(((I3-1)*POWER(K3,2) + (L3-1)*POWER(N3,2))/((I3-1)+(L3-1)))</f>
        <v>5.4902511001644679E-2</v>
      </c>
      <c r="P3">
        <f>(J3-M3)/O3</f>
        <v>-3.0963975399031822</v>
      </c>
      <c r="Q3">
        <f>P3*(1- (3/(4*(I3+L3)-9)))</f>
        <v>-3.012711119905799</v>
      </c>
      <c r="R3">
        <f>SQRT((I3+L3)/(I3*L3)+(POWER(P3,2)/(2*(I3+L3))))</f>
        <v>0.83397177078499507</v>
      </c>
    </row>
    <row r="4" spans="1:18" x14ac:dyDescent="0.3">
      <c r="A4">
        <v>2</v>
      </c>
      <c r="B4" t="s">
        <v>101</v>
      </c>
      <c r="C4">
        <v>2022</v>
      </c>
      <c r="D4" t="s">
        <v>102</v>
      </c>
      <c r="E4" t="s">
        <v>94</v>
      </c>
      <c r="H4" t="s">
        <v>106</v>
      </c>
      <c r="I4">
        <v>10</v>
      </c>
      <c r="J4">
        <v>2.93</v>
      </c>
      <c r="K4">
        <v>1</v>
      </c>
      <c r="L4">
        <v>14</v>
      </c>
      <c r="M4">
        <v>4.5</v>
      </c>
      <c r="N4">
        <v>0.5</v>
      </c>
      <c r="O4">
        <f>SQRT(((I4-1)*POWER(K4,2) + (L4-1)*POWER(N4,2))/((I4-1)+(L4-1)))</f>
        <v>0.74620250724463644</v>
      </c>
      <c r="P4">
        <f>(J4-M4)/O4</f>
        <v>-2.1039864979779384</v>
      </c>
      <c r="Q4">
        <f>P4*(1- (3/(4*(I4+L4)-9)))</f>
        <v>-2.0314352394269752</v>
      </c>
      <c r="R4">
        <f>SQRT((I4+L4)/(I4*L4)+(POWER(P4,2)/(2*(I4+L4))))</f>
        <v>0.51347124660338606</v>
      </c>
    </row>
    <row r="5" spans="1:18" x14ac:dyDescent="0.3">
      <c r="A5">
        <v>3</v>
      </c>
      <c r="B5" t="s">
        <v>104</v>
      </c>
      <c r="C5">
        <v>2016</v>
      </c>
      <c r="D5" t="s">
        <v>103</v>
      </c>
      <c r="E5" t="s">
        <v>105</v>
      </c>
      <c r="F5" t="s">
        <v>44</v>
      </c>
      <c r="G5" t="s">
        <v>107</v>
      </c>
      <c r="H5" t="s">
        <v>108</v>
      </c>
      <c r="I5">
        <v>32</v>
      </c>
      <c r="J5">
        <v>31</v>
      </c>
      <c r="K5">
        <f>J5/5</f>
        <v>6.2</v>
      </c>
      <c r="L5">
        <v>8</v>
      </c>
      <c r="M5">
        <v>88</v>
      </c>
      <c r="N5">
        <f>M5/12</f>
        <v>7.333333333333333</v>
      </c>
      <c r="O5">
        <f>SQRT(((I5-1)*POWER(K5,2) + (L5-1)*POWER(N5,2))/((I5-1)+(L5-1)))</f>
        <v>6.4238135182272424</v>
      </c>
      <c r="P5">
        <f>(J5-M5)/O5</f>
        <v>-8.8732339191144654</v>
      </c>
      <c r="Q5">
        <f>P5*(1- (3/(4*(I5+L5)-9)))</f>
        <v>-8.6969445035029196</v>
      </c>
      <c r="R5">
        <f>SQRT((I5+L5)/(I5*L5)+(POWER(P5,2)/(2*(I5+L5))))</f>
        <v>1.067908470933508</v>
      </c>
    </row>
    <row r="6" spans="1:18" x14ac:dyDescent="0.3">
      <c r="A6">
        <v>4</v>
      </c>
      <c r="B6" t="s">
        <v>109</v>
      </c>
      <c r="C6">
        <v>2021</v>
      </c>
      <c r="D6" t="s">
        <v>110</v>
      </c>
      <c r="E6" t="s">
        <v>15</v>
      </c>
      <c r="G6" t="s">
        <v>111</v>
      </c>
      <c r="H6" t="s">
        <v>112</v>
      </c>
      <c r="I6">
        <v>8</v>
      </c>
      <c r="J6">
        <v>0.43</v>
      </c>
      <c r="K6">
        <v>0.2</v>
      </c>
      <c r="L6">
        <v>12</v>
      </c>
      <c r="M6">
        <v>0.72</v>
      </c>
      <c r="N6">
        <v>0.4</v>
      </c>
      <c r="O6">
        <f>SQRT(((I6-1)*POWER(K6,2) + (L6-1)*POWER(N6,2))/((I6-1)+(L6-1)))</f>
        <v>0.33665016461206926</v>
      </c>
      <c r="P6">
        <f>(J6-M6)/O6</f>
        <v>-0.86142836238970666</v>
      </c>
      <c r="Q6">
        <f>P6*(1- (3/(4*(I6+L6)-9)))</f>
        <v>-0.82502998088028245</v>
      </c>
      <c r="R6">
        <f>SQRT((I6+L6)/(I6*L6)+(POWER(P6,2)/(2*(I6+L6))))</f>
        <v>0.47632426341891154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7"/>
  <sheetViews>
    <sheetView workbookViewId="0">
      <selection activeCell="R2" sqref="O2:R2"/>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113</v>
      </c>
      <c r="C2">
        <v>2020</v>
      </c>
      <c r="D2" t="s">
        <v>114</v>
      </c>
      <c r="E2" t="s">
        <v>115</v>
      </c>
      <c r="F2" t="s">
        <v>116</v>
      </c>
      <c r="G2" t="s">
        <v>117</v>
      </c>
      <c r="H2" t="s">
        <v>118</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119</v>
      </c>
      <c r="C3">
        <v>2019</v>
      </c>
      <c r="D3" t="s">
        <v>120</v>
      </c>
      <c r="E3" t="s">
        <v>121</v>
      </c>
      <c r="F3" t="s">
        <v>122</v>
      </c>
      <c r="G3" t="s">
        <v>123</v>
      </c>
      <c r="H3" t="s">
        <v>124</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125</v>
      </c>
      <c r="C4">
        <v>2018</v>
      </c>
      <c r="D4" t="s">
        <v>126</v>
      </c>
      <c r="E4" t="s">
        <v>127</v>
      </c>
      <c r="F4" t="s">
        <v>78</v>
      </c>
      <c r="G4" t="s">
        <v>128</v>
      </c>
      <c r="H4" t="s">
        <v>129</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130</v>
      </c>
      <c r="C5">
        <v>2019</v>
      </c>
      <c r="D5" t="s">
        <v>131</v>
      </c>
      <c r="E5" t="s">
        <v>132</v>
      </c>
      <c r="F5" t="s">
        <v>84</v>
      </c>
      <c r="G5" t="s">
        <v>133</v>
      </c>
      <c r="H5" t="s">
        <v>134</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141</v>
      </c>
      <c r="C6">
        <v>2020</v>
      </c>
      <c r="D6" t="s">
        <v>140</v>
      </c>
      <c r="E6" t="s">
        <v>142</v>
      </c>
      <c r="F6" t="s">
        <v>143</v>
      </c>
      <c r="G6" t="s">
        <v>144</v>
      </c>
      <c r="H6" t="s">
        <v>145</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146</v>
      </c>
      <c r="C7">
        <v>2018</v>
      </c>
      <c r="D7" t="s">
        <v>148</v>
      </c>
      <c r="E7" t="s">
        <v>147</v>
      </c>
      <c r="F7" t="s">
        <v>84</v>
      </c>
      <c r="G7" t="s">
        <v>149</v>
      </c>
      <c r="H7" t="s">
        <v>150</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2"/>
  <sheetViews>
    <sheetView workbookViewId="0">
      <selection activeCell="B10" sqref="B10:R10"/>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151</v>
      </c>
      <c r="C2">
        <v>2001</v>
      </c>
      <c r="D2" t="s">
        <v>152</v>
      </c>
      <c r="E2" t="s">
        <v>153</v>
      </c>
      <c r="F2" t="s">
        <v>154</v>
      </c>
      <c r="G2" t="s">
        <v>85</v>
      </c>
      <c r="H2" t="s">
        <v>155</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156</v>
      </c>
      <c r="C3">
        <v>2012</v>
      </c>
      <c r="D3" t="s">
        <v>157</v>
      </c>
      <c r="E3" t="s">
        <v>94</v>
      </c>
      <c r="F3" t="s">
        <v>44</v>
      </c>
      <c r="G3" t="s">
        <v>138</v>
      </c>
      <c r="H3" t="s">
        <v>158</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73</v>
      </c>
      <c r="E4" t="s">
        <v>15</v>
      </c>
      <c r="F4" t="s">
        <v>74</v>
      </c>
      <c r="G4" t="s">
        <v>22</v>
      </c>
      <c r="H4" t="s">
        <v>75</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159</v>
      </c>
      <c r="C5">
        <v>2003</v>
      </c>
      <c r="D5" t="s">
        <v>160</v>
      </c>
      <c r="E5" t="s">
        <v>161</v>
      </c>
      <c r="F5" t="s">
        <v>154</v>
      </c>
      <c r="G5" t="s">
        <v>162</v>
      </c>
      <c r="H5" t="s">
        <v>163</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41</v>
      </c>
      <c r="C6">
        <v>2002</v>
      </c>
      <c r="D6" t="s">
        <v>42</v>
      </c>
      <c r="E6" t="s">
        <v>43</v>
      </c>
      <c r="F6" t="s">
        <v>44</v>
      </c>
      <c r="G6" t="s">
        <v>164</v>
      </c>
      <c r="H6" t="s">
        <v>165</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166</v>
      </c>
      <c r="C7">
        <v>2007</v>
      </c>
      <c r="D7" t="s">
        <v>167</v>
      </c>
      <c r="E7" t="s">
        <v>168</v>
      </c>
      <c r="F7" t="s">
        <v>44</v>
      </c>
      <c r="G7" t="s">
        <v>164</v>
      </c>
      <c r="H7" t="s">
        <v>169</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170</v>
      </c>
      <c r="C8">
        <v>2007</v>
      </c>
      <c r="D8" t="s">
        <v>171</v>
      </c>
      <c r="E8" t="s">
        <v>43</v>
      </c>
      <c r="F8" t="s">
        <v>84</v>
      </c>
      <c r="G8" t="s">
        <v>172</v>
      </c>
      <c r="H8" t="s">
        <v>173</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174</v>
      </c>
      <c r="C9">
        <v>2021</v>
      </c>
      <c r="D9" t="s">
        <v>175</v>
      </c>
      <c r="E9" t="s">
        <v>94</v>
      </c>
      <c r="H9" t="s">
        <v>176</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28</v>
      </c>
      <c r="C10">
        <v>2016</v>
      </c>
      <c r="D10" t="s">
        <v>177</v>
      </c>
      <c r="E10" t="s">
        <v>30</v>
      </c>
      <c r="F10" t="s">
        <v>143</v>
      </c>
      <c r="G10" t="s">
        <v>162</v>
      </c>
      <c r="H10" t="s">
        <v>178</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179</v>
      </c>
      <c r="C11">
        <v>2010</v>
      </c>
      <c r="D11" t="s">
        <v>180</v>
      </c>
      <c r="E11" t="s">
        <v>37</v>
      </c>
      <c r="F11" t="s">
        <v>44</v>
      </c>
      <c r="G11" t="s">
        <v>181</v>
      </c>
      <c r="H11" t="s">
        <v>182</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96</v>
      </c>
      <c r="C12">
        <v>2013</v>
      </c>
      <c r="D12" t="s">
        <v>186</v>
      </c>
      <c r="E12" t="s">
        <v>43</v>
      </c>
      <c r="F12" t="s">
        <v>84</v>
      </c>
      <c r="H12" t="s">
        <v>185</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task_time</vt:lpstr>
      <vt:lpstr>tool_path_length</vt:lpstr>
      <vt:lpstr>tool_idle</vt:lpstr>
      <vt:lpstr>tool_jerk</vt:lpstr>
      <vt:lpstr>tool_velocity</vt:lpstr>
      <vt:lpstr>tool_grasps</vt:lpstr>
      <vt:lpstr>tool_bimanual</vt:lpstr>
      <vt:lpstr>pupil_dilation</vt:lpstr>
      <vt:lpstr>tool_movements</vt:lpstr>
      <vt:lpstr>pupil_blinks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2022-06-15T13:10:15Z</dcterms:modified>
</cp:coreProperties>
</file>