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ankos\tyokansio\projektit\meta-analysis\data\"/>
    </mc:Choice>
  </mc:AlternateContent>
  <xr:revisionPtr revIDLastSave="0" documentId="13_ncr:1_{E5A0B172-3119-425D-AF5D-A5FBA6EB75F2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task_time" sheetId="1" r:id="rId1"/>
    <sheet name="tool_path_length" sheetId="2" r:id="rId2"/>
    <sheet name="tool_velocity" sheetId="3" r:id="rId3"/>
    <sheet name="tool_grasps" sheetId="4" r:id="rId4"/>
    <sheet name="tool_bimanual" sheetId="5" r:id="rId5"/>
    <sheet name="pupil_dilation" sheetId="6" r:id="rId6"/>
    <sheet name="tool_movements" sheetId="8" r:id="rId7"/>
    <sheet name="pupil_blink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O21" i="1" s="1"/>
  <c r="P21" i="1" s="1"/>
  <c r="K12" i="8"/>
  <c r="O12" i="8" s="1"/>
  <c r="P12" i="8" s="1"/>
  <c r="O8" i="2"/>
  <c r="P8" i="2" s="1"/>
  <c r="K8" i="2"/>
  <c r="O7" i="2"/>
  <c r="P7" i="2" s="1"/>
  <c r="N7" i="2"/>
  <c r="K7" i="2"/>
  <c r="O6" i="2"/>
  <c r="P6" i="2" s="1"/>
  <c r="O5" i="2"/>
  <c r="P5" i="2" s="1"/>
  <c r="O11" i="8"/>
  <c r="P11" i="8" s="1"/>
  <c r="O20" i="1"/>
  <c r="P20" i="1" s="1"/>
  <c r="O4" i="2"/>
  <c r="P4" i="2" s="1"/>
  <c r="O3" i="2"/>
  <c r="P3" i="2" s="1"/>
  <c r="I10" i="8"/>
  <c r="O10" i="8"/>
  <c r="P10" i="8" s="1"/>
  <c r="O9" i="8"/>
  <c r="P9" i="8" s="1"/>
  <c r="L9" i="8"/>
  <c r="I9" i="8"/>
  <c r="O8" i="8"/>
  <c r="P8" i="8" s="1"/>
  <c r="O19" i="1"/>
  <c r="P19" i="1"/>
  <c r="R19" i="1" s="1"/>
  <c r="Q19" i="1"/>
  <c r="N19" i="1"/>
  <c r="K19" i="1"/>
  <c r="O2" i="2"/>
  <c r="P2" i="2" s="1"/>
  <c r="N2" i="2"/>
  <c r="K2" i="2"/>
  <c r="O7" i="8"/>
  <c r="P7" i="8" s="1"/>
  <c r="N7" i="8"/>
  <c r="K7" i="8"/>
  <c r="O6" i="8"/>
  <c r="P6" i="8" s="1"/>
  <c r="O5" i="8"/>
  <c r="P5" i="8" s="1"/>
  <c r="N5" i="8"/>
  <c r="K5" i="8"/>
  <c r="O4" i="8"/>
  <c r="P4" i="8" s="1"/>
  <c r="O3" i="8"/>
  <c r="P3" i="8" s="1"/>
  <c r="O18" i="1"/>
  <c r="P18" i="1"/>
  <c r="Q18" i="1" s="1"/>
  <c r="O2" i="8"/>
  <c r="P2" i="8" s="1"/>
  <c r="O17" i="1"/>
  <c r="P17" i="1"/>
  <c r="R17" i="1" s="1"/>
  <c r="Q17" i="1"/>
  <c r="O7" i="6"/>
  <c r="P7" i="6" s="1"/>
  <c r="N2" i="7"/>
  <c r="K2" i="7"/>
  <c r="O6" i="6"/>
  <c r="P6" i="6" s="1"/>
  <c r="N6" i="6"/>
  <c r="K6" i="6"/>
  <c r="O16" i="1"/>
  <c r="P16" i="1" s="1"/>
  <c r="O5" i="6"/>
  <c r="P5" i="6" s="1"/>
  <c r="J4" i="6"/>
  <c r="O4" i="6"/>
  <c r="O3" i="6"/>
  <c r="P3" i="6" s="1"/>
  <c r="O2" i="6"/>
  <c r="P2" i="6" s="1"/>
  <c r="L2" i="6"/>
  <c r="I2" i="6"/>
  <c r="O6" i="5"/>
  <c r="P6" i="5" s="1"/>
  <c r="K5" i="5"/>
  <c r="N5" i="5"/>
  <c r="O5" i="5"/>
  <c r="P5" i="5" s="1"/>
  <c r="O4" i="5"/>
  <c r="P4" i="5" s="1"/>
  <c r="O3" i="5"/>
  <c r="P3" i="5" s="1"/>
  <c r="P2" i="5"/>
  <c r="J2" i="5"/>
  <c r="O2" i="5"/>
  <c r="O3" i="4"/>
  <c r="P3" i="4" s="1"/>
  <c r="O15" i="1"/>
  <c r="P15" i="1" s="1"/>
  <c r="O14" i="1"/>
  <c r="P14" i="1" s="1"/>
  <c r="R2" i="4"/>
  <c r="R2" i="1"/>
  <c r="Q2" i="4"/>
  <c r="Q2" i="1"/>
  <c r="P2" i="4"/>
  <c r="P2" i="1"/>
  <c r="O2" i="4"/>
  <c r="O2" i="1"/>
  <c r="O13" i="1"/>
  <c r="P13" i="1"/>
  <c r="Q13" i="1"/>
  <c r="R13" i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R6" i="1"/>
  <c r="Q6" i="1"/>
  <c r="P6" i="1"/>
  <c r="O6" i="1"/>
  <c r="R5" i="1"/>
  <c r="Q5" i="1"/>
  <c r="P5" i="1"/>
  <c r="O5" i="1"/>
  <c r="I5" i="1"/>
  <c r="O3" i="1"/>
  <c r="P3" i="1" s="1"/>
  <c r="N4" i="1"/>
  <c r="K4" i="1"/>
  <c r="O4" i="1" s="1"/>
  <c r="P4" i="1" s="1"/>
  <c r="R21" i="1" l="1"/>
  <c r="Q21" i="1"/>
  <c r="R12" i="8"/>
  <c r="Q12" i="8"/>
  <c r="Q8" i="2"/>
  <c r="R8" i="2"/>
  <c r="Q7" i="2"/>
  <c r="R7" i="2"/>
  <c r="Q6" i="2"/>
  <c r="R6" i="2"/>
  <c r="Q5" i="2"/>
  <c r="R5" i="2"/>
  <c r="Q11" i="8"/>
  <c r="R11" i="8"/>
  <c r="Q20" i="1"/>
  <c r="R20" i="1"/>
  <c r="Q4" i="2"/>
  <c r="R4" i="2"/>
  <c r="Q3" i="2"/>
  <c r="R3" i="2"/>
  <c r="Q10" i="8"/>
  <c r="R10" i="8"/>
  <c r="Q9" i="8"/>
  <c r="R9" i="8"/>
  <c r="Q8" i="8"/>
  <c r="R8" i="8"/>
  <c r="R2" i="2"/>
  <c r="Q2" i="2"/>
  <c r="Q7" i="8"/>
  <c r="R7" i="8"/>
  <c r="Q6" i="8"/>
  <c r="R6" i="8"/>
  <c r="Q5" i="8"/>
  <c r="R5" i="8"/>
  <c r="R4" i="8"/>
  <c r="Q4" i="8"/>
  <c r="Q3" i="8"/>
  <c r="R3" i="8"/>
  <c r="R18" i="1"/>
  <c r="R2" i="8"/>
  <c r="Q2" i="8"/>
  <c r="Q7" i="6"/>
  <c r="R7" i="6"/>
  <c r="O2" i="7"/>
  <c r="P2" i="7" s="1"/>
  <c r="Q2" i="7" s="1"/>
  <c r="Q6" i="6"/>
  <c r="R6" i="6"/>
  <c r="Q16" i="1"/>
  <c r="R16" i="1"/>
  <c r="R5" i="6"/>
  <c r="Q5" i="6"/>
  <c r="P4" i="6"/>
  <c r="R4" i="6" s="1"/>
  <c r="Q4" i="6"/>
  <c r="Q3" i="6"/>
  <c r="R3" i="6"/>
  <c r="R2" i="6"/>
  <c r="Q2" i="6"/>
  <c r="Q6" i="5"/>
  <c r="R6" i="5"/>
  <c r="R5" i="5"/>
  <c r="Q5" i="5"/>
  <c r="R4" i="5"/>
  <c r="Q4" i="5"/>
  <c r="Q3" i="5"/>
  <c r="R3" i="5"/>
  <c r="R2" i="5"/>
  <c r="Q3" i="4"/>
  <c r="R3" i="4"/>
  <c r="R15" i="1"/>
  <c r="Q15" i="1"/>
  <c r="Q14" i="1"/>
  <c r="R14" i="1"/>
  <c r="Q12" i="1"/>
  <c r="R12" i="1"/>
  <c r="R11" i="1"/>
  <c r="Q11" i="1"/>
  <c r="Q10" i="1"/>
  <c r="R10" i="1"/>
  <c r="R9" i="1"/>
  <c r="Q9" i="1"/>
  <c r="R8" i="1"/>
  <c r="Q8" i="1"/>
  <c r="R7" i="1"/>
  <c r="Q7" i="1"/>
  <c r="Q4" i="1"/>
  <c r="R4" i="1"/>
  <c r="R3" i="1"/>
  <c r="Q3" i="1"/>
  <c r="R2" i="7" l="1"/>
  <c r="Q2" i="5"/>
</calcChain>
</file>

<file path=xl/sharedStrings.xml><?xml version="1.0" encoding="utf-8"?>
<sst xmlns="http://schemas.openxmlformats.org/spreadsheetml/2006/main" count="439" uniqueCount="187">
  <si>
    <t>Author</t>
  </si>
  <si>
    <t>Year</t>
  </si>
  <si>
    <t>Study</t>
  </si>
  <si>
    <t>Mn</t>
  </si>
  <si>
    <t>Nn</t>
  </si>
  <si>
    <t>SDn</t>
  </si>
  <si>
    <t>Ne</t>
  </si>
  <si>
    <t>Me</t>
  </si>
  <si>
    <t>Koskinen et al.</t>
  </si>
  <si>
    <t>task</t>
  </si>
  <si>
    <t>suture</t>
  </si>
  <si>
    <t>SDe</t>
  </si>
  <si>
    <t>boxsuture</t>
  </si>
  <si>
    <t>Chainey et al.</t>
  </si>
  <si>
    <t>Journal</t>
  </si>
  <si>
    <t>Journal of Surgical Research</t>
  </si>
  <si>
    <t>Eye-Hand Coordination of Neurosurgeons: Evidence of Action-Related Fixation in Microsuturing</t>
  </si>
  <si>
    <t xml:space="preserve">Utilizing Grasp Monitoring to Predict Microsurgical Expertise </t>
  </si>
  <si>
    <t>Harada et al.</t>
  </si>
  <si>
    <t>Assessing microneurosurgical skill with medico-engineering technology</t>
  </si>
  <si>
    <t>note</t>
  </si>
  <si>
    <t>World Neurosurgery</t>
  </si>
  <si>
    <t>suturing</t>
  </si>
  <si>
    <t>SDpooled</t>
  </si>
  <si>
    <t>SMD</t>
  </si>
  <si>
    <t>g</t>
  </si>
  <si>
    <t>SDg</t>
  </si>
  <si>
    <t>i</t>
  </si>
  <si>
    <t>Vedula et al.</t>
  </si>
  <si>
    <t>Task-Level vs. Segment-Level Quantitative Metrics for Surgical Skill Assessment</t>
  </si>
  <si>
    <t>Journal of Surgical Education</t>
  </si>
  <si>
    <t>technique</t>
  </si>
  <si>
    <t>microscope</t>
  </si>
  <si>
    <t>effects estimated from boxplot</t>
  </si>
  <si>
    <t>effects estimated from barplot. Sample size per group not given, estimated from total sample (135 trials total, 4 experts, 14 novices, expert sample size rounded from (4/18)*135)</t>
  </si>
  <si>
    <t>Judkins et al.</t>
  </si>
  <si>
    <t>Objective evaluation of expert and novice performance during robotic surgical training tasks</t>
  </si>
  <si>
    <t>Surgical Endoscopy</t>
  </si>
  <si>
    <t>robotic</t>
  </si>
  <si>
    <t>suture tying</t>
  </si>
  <si>
    <t>effect estimated from barplot. Novices pre-training, three trials each, five novices and five experts</t>
  </si>
  <si>
    <t>Smith et al.</t>
  </si>
  <si>
    <t>Motion analysis: A tool for assessing laparoscopic dexterity in the performance of a laboratory-based laparoscopic cholecystectomy</t>
  </si>
  <si>
    <t>Surgical Endoscopy and Other Interventional Techniques</t>
  </si>
  <si>
    <t>laparoscopy</t>
  </si>
  <si>
    <t>Calot's triangle</t>
  </si>
  <si>
    <t>Worst and best groups compared, novices have performed &lt; tasks, experts &gt;100</t>
  </si>
  <si>
    <t>Francis et al.</t>
  </si>
  <si>
    <t>The performance of master surgeons on the Advanced Dundee Endoscopic Psychomotor Tester: Contrast validity study</t>
  </si>
  <si>
    <t>Archives of Surgery</t>
  </si>
  <si>
    <t>Advanced Dundee Endoscopic Psychomotor Tester</t>
  </si>
  <si>
    <t>effects estimated from boxplots</t>
  </si>
  <si>
    <t>Moorthy et al.</t>
  </si>
  <si>
    <t>Bimodal assessment of laparoscopic suturing skills: Construct and concurrent validity</t>
  </si>
  <si>
    <t>box trainer</t>
  </si>
  <si>
    <t>Van Sickle et al.</t>
  </si>
  <si>
    <t>Construct validity of an objective assessment method for laparoscopic intracorporeal suturing and knot tying</t>
  </si>
  <si>
    <t>The American Journal of Surgery</t>
  </si>
  <si>
    <t>Nissen fundoplication</t>
  </si>
  <si>
    <t>the expert group had only 2 trials, and outperformed the other groups vastly (task time 15.6 sec!). Thus I compared instead the trained residents (second most experiened group)</t>
  </si>
  <si>
    <t>Xeroulis et al.</t>
  </si>
  <si>
    <t>Simulation in laparoscopic surgery: A concurrent validity study for FLS</t>
  </si>
  <si>
    <t>intracorporeal suturing</t>
  </si>
  <si>
    <t>effect sizes estimated from barplot</t>
  </si>
  <si>
    <t>Huffman et al.</t>
  </si>
  <si>
    <t>Optimizing Assessment of Surgical Knot Tying Skill</t>
  </si>
  <si>
    <t>General</t>
  </si>
  <si>
    <t>knot tying</t>
  </si>
  <si>
    <t>By hand, did not use instruments</t>
  </si>
  <si>
    <t>Law et al.</t>
  </si>
  <si>
    <t>Eye gaze patterns differentiate novice and experts in a virtual laparoscopic surgery training environment</t>
  </si>
  <si>
    <t>Proceedings of the Eye tracking research &amp; applications symposium on Eye tracking research &amp; applications - ETRA'2004</t>
  </si>
  <si>
    <t>virtual pointing</t>
  </si>
  <si>
    <t>Utilizing Grasp Monitoring to Predict Microsurgical Expertise</t>
  </si>
  <si>
    <t>microsurgery</t>
  </si>
  <si>
    <t>grasps</t>
  </si>
  <si>
    <t>Kazemi et al.</t>
  </si>
  <si>
    <t>Assessing suturing techniques using a virtual reality surgical simulator</t>
  </si>
  <si>
    <t>Microsurgery</t>
  </si>
  <si>
    <t>Microscope</t>
  </si>
  <si>
    <t>Needle piercing in VR</t>
  </si>
  <si>
    <t>task completed in VR. Medical students and medical surgeons compared. Times estimated from barplot</t>
  </si>
  <si>
    <t>Measuring and Developing Suturing Technique with a Virtual Reality Surgical Simulator</t>
  </si>
  <si>
    <t>O'Toole et al.</t>
  </si>
  <si>
    <t>Laparoscopy</t>
  </si>
  <si>
    <t>Anastomosis</t>
  </si>
  <si>
    <t>Journal ofthe American College of Surgeons</t>
  </si>
  <si>
    <t>Virtual reality, times from the trial taken after training</t>
  </si>
  <si>
    <t>Task and Motion Analysis in Endoscopic Surgery</t>
  </si>
  <si>
    <t>Cao et al.</t>
  </si>
  <si>
    <t>5th Annual Symposium on Haptic Interfaces for Virtual Environment and Teleoperator Systems</t>
  </si>
  <si>
    <t>Knot tying</t>
  </si>
  <si>
    <t>Laparoscopic training workshop, values estimated from barplots, did not report SD so I used expert's difference from the ideal (5) number of grasps as SD</t>
  </si>
  <si>
    <t>Movement-level process modeling of microsurgical bimanual and unimanual tasks</t>
  </si>
  <si>
    <t>International Journal of Computer Assisted Radiology and Surgery</t>
  </si>
  <si>
    <t>Bimanual efficiency defined as using both hand simultaneously for something productive</t>
  </si>
  <si>
    <t>Hofstad et al.</t>
  </si>
  <si>
    <t>Psychomotor skills assessment by motion analysis in minimally invasive surgery on an animal organ</t>
  </si>
  <si>
    <t>Minimally Invasive Therapy and Allied Technologies</t>
  </si>
  <si>
    <t>box trained</t>
  </si>
  <si>
    <t>Bimanual dexterity defined as the correlation between the two hands tool movements. Values estimated from boxplots</t>
  </si>
  <si>
    <t>Demirel et al.</t>
  </si>
  <si>
    <t>Scoring metrics for assessing skills in arthroscopic rotator cuff repair: performance comparison study of novice and expert surgeons</t>
  </si>
  <si>
    <t>Affordable, web-based surgical skill training and evaluation tool</t>
  </si>
  <si>
    <t>Islam et al.</t>
  </si>
  <si>
    <t>Journal of Biomedical Informatics</t>
  </si>
  <si>
    <t>Standard deviations estimated from the standard deviations of other metrics, not given directly in the paper</t>
  </si>
  <si>
    <t>Fundamentals of laparoscopy (FLS) training set</t>
  </si>
  <si>
    <t>Mean values estimated from boxplot. Standard deviations were not given, I used the similar-ish values as in our study (i = 0), so novice's SD is about 1/5 of the mean, experts is 1/12</t>
  </si>
  <si>
    <t>Zulbaran-Rojas et al.</t>
  </si>
  <si>
    <t>Utilization of Flexible-Wearable Sensors to Describe the Kinematics of Surgical Proficiency</t>
  </si>
  <si>
    <t>Vascular anastomosis</t>
  </si>
  <si>
    <t>I took the ratio of number of dominant and non-dominant hand movements as measure of bimanual dexterity. Other options were velocity and path length. No. Movements felt closest to our definition.</t>
  </si>
  <si>
    <t>Castner et al.</t>
  </si>
  <si>
    <t>Pupil diameter differentiates expertise in dental radiography visual search</t>
  </si>
  <si>
    <t>PLOS ONE</t>
  </si>
  <si>
    <t>Radiography</t>
  </si>
  <si>
    <t>Dental radiography, visual search</t>
  </si>
  <si>
    <t>Reported values are medians? Median change from baseline</t>
  </si>
  <si>
    <t>Cabrera-Mino et al.</t>
  </si>
  <si>
    <t>Task-Evoked Pupillary Responses in Nursing Simulation as an Indicator of Stress and Cognitive Load</t>
  </si>
  <si>
    <t>Clinical Simulation in Nursing</t>
  </si>
  <si>
    <t>Various nursing tasks</t>
  </si>
  <si>
    <t>Elevate HOB</t>
  </si>
  <si>
    <t>There were different tasks, picked the one that had the most significant result. Values estimated from barplot</t>
  </si>
  <si>
    <t>Bednarik et al.</t>
  </si>
  <si>
    <t>Pupil Size As an Indicator of Visual-motor Workload and Expertise in Microsurgical Training Tasks</t>
  </si>
  <si>
    <t>Proceedings of the 2018 ACM Symposium on Eye Tracking Research &amp; Applications</t>
  </si>
  <si>
    <t>Suturing</t>
  </si>
  <si>
    <t>Took the segment 'needle push', estimated from plots</t>
  </si>
  <si>
    <t>Gunawardena et al.</t>
  </si>
  <si>
    <t>Assessing Surgeons’ Skill Level in Laparoscopic Cholecystectomy using Eye Metrics</t>
  </si>
  <si>
    <t>Eye Tracking Research and Applications Symposium (ETRA)</t>
  </si>
  <si>
    <t>Laparoscopic cholecystectomy</t>
  </si>
  <si>
    <t>Study had only 4 participants of 3 skill levels who completed &gt;=7 tasks each. I picked the least experienced participant and expert E-2.</t>
  </si>
  <si>
    <t>Zheng et al.</t>
  </si>
  <si>
    <t>Action-related eye measures to assess surgical expertise</t>
  </si>
  <si>
    <t>BJS Open</t>
  </si>
  <si>
    <t>Box trainer</t>
  </si>
  <si>
    <t>Transporting and loading task</t>
  </si>
  <si>
    <t>Visual behaviour in robotic surgery—Demonstrating the validity of the simulated environment</t>
  </si>
  <si>
    <t>Dilley et al.</t>
  </si>
  <si>
    <t>International Journal of Medical Robotics and Computer Assisted Surgery</t>
  </si>
  <si>
    <t>Robotic surgery</t>
  </si>
  <si>
    <t>Fundamentals of Robotic Surgery, simulator task</t>
  </si>
  <si>
    <t>SDs calculated from inter-quartile ranges (SD = (3/4)*IQR). The paper reports medians.</t>
  </si>
  <si>
    <t>Gao et al.</t>
  </si>
  <si>
    <t>American Surgeon</t>
  </si>
  <si>
    <t>Quantitative evaluations of the effects of noise on mental workloads based on pupil dilation during laparoscopic surgery</t>
  </si>
  <si>
    <t>Appendectromy simulator</t>
  </si>
  <si>
    <t>They evaluated different noise conditions, I picked values from the no-noise condition. Paper does not give explicitly the number of participants in groups, only total number (24) which was "divided into experienced and moderately experienced". I assumed 12 per group</t>
  </si>
  <si>
    <t>Datta et al.</t>
  </si>
  <si>
    <t>The use of electromagnetic motion tracking analysis to objectively measure open surgical skill in the laboratory-based model</t>
  </si>
  <si>
    <t>Journal of the American College of Surgeons</t>
  </si>
  <si>
    <t>Open surgery</t>
  </si>
  <si>
    <t>Used ICSAD system to record data. Several skill groups, here we compare basic surgical trainees and consultants</t>
  </si>
  <si>
    <t>Pagador et al.</t>
  </si>
  <si>
    <t>Decomposition and analysis of laparoscopic suturing task using tool-motion analysis (TMA): Improving the objective assessment</t>
  </si>
  <si>
    <t>Study reported left and right hand movements separately, I picked left hand</t>
  </si>
  <si>
    <t>Bann et al.</t>
  </si>
  <si>
    <t>Measurement of surgical dexterity using motion analysis of simple bench tasks</t>
  </si>
  <si>
    <t>World Journal of Surgery</t>
  </si>
  <si>
    <t>Knot tying and suturing</t>
  </si>
  <si>
    <t>Used ICSAD system to record data. Reports medians and inter-quartile ranges.</t>
  </si>
  <si>
    <t>Cholecystectomy</t>
  </si>
  <si>
    <t>Multiple tasks, picked Calot's triangle. Surgeon groups A and C compared</t>
  </si>
  <si>
    <t>Aggarwal et al.</t>
  </si>
  <si>
    <t>An evaluation of the feasibility, validity, and reliability of laparoscopic skills assessment in the operating room</t>
  </si>
  <si>
    <t>Annals of Surgery</t>
  </si>
  <si>
    <t>Whole procedure, paper reports medians and inter-quartile ranges, the SDs are calculated from these (IQR*(3/4))</t>
  </si>
  <si>
    <t>Yamaguchi et al.</t>
  </si>
  <si>
    <t>Construct validity for eye-hand coordination skill on a virtual reality laparoscopic surgical simulator</t>
  </si>
  <si>
    <t>LAP-mentor simulator</t>
  </si>
  <si>
    <t>Effects and SDs estimated from barplots. Reported right hand movements</t>
  </si>
  <si>
    <t>Goldbraikh</t>
  </si>
  <si>
    <t>Video-based fully automatic assessment of open surgery suturing skills</t>
  </si>
  <si>
    <t>Task:Balloon dominant hand</t>
  </si>
  <si>
    <t>Task-Level vs . Segment-Level Quantitative Metrics for Surgical Skill Assessment</t>
  </si>
  <si>
    <t>Effects and SDs estimated from barplots. Paper does not give Ne/Nn directly, total of 135 trials performed by 14 novices and 4 experts, so I estimated sample sizes by 135*(14/(14+4)) for novices and 135*(4/(14+4)) for experts</t>
  </si>
  <si>
    <t>Wilson et al.</t>
  </si>
  <si>
    <t>Psychomotor control in a virtual laparoscopic surgery training environment: Gaze control parameters differentiate novices from experts</t>
  </si>
  <si>
    <t>LapMentor</t>
  </si>
  <si>
    <t>reported left and right hand separately, I used left hand because usually differences are larger with non-dominant hand (all were right-handed)</t>
  </si>
  <si>
    <t>Jimbo et al.</t>
  </si>
  <si>
    <t>A new innovative laparoscopic fundoplication training simulator with a surgical skill validation system</t>
  </si>
  <si>
    <t>Estimated effects and SDs from barplots. Reports left/right hand separately, I used left hand results</t>
  </si>
  <si>
    <t>A study of psychomotor skills in minimally invasive surgery: What differentiates expert and nonexpert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</si>
</sst>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workbookViewId="0">
      <selection activeCell="K24" sqref="K24"/>
    </sheetView>
  </sheetViews>
  <sheetFormatPr defaultRowHeight="14.4" x14ac:dyDescent="0.3"/>
  <cols>
    <col min="2" max="2" width="16.44140625" customWidth="1"/>
    <col min="5" max="5" width="18.88671875" customWidth="1"/>
    <col min="6" max="6" width="14.88671875" customWidth="1"/>
    <col min="10" max="12" width="8.88671875" customWidth="1"/>
  </cols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8</v>
      </c>
      <c r="C2">
        <v>2022</v>
      </c>
      <c r="D2" t="s">
        <v>17</v>
      </c>
      <c r="E2" t="s">
        <v>15</v>
      </c>
      <c r="F2" t="s">
        <v>32</v>
      </c>
      <c r="G2" t="s">
        <v>10</v>
      </c>
      <c r="I2">
        <v>60</v>
      </c>
      <c r="J2">
        <v>175.2</v>
      </c>
      <c r="K2">
        <v>73.2</v>
      </c>
      <c r="L2">
        <v>60</v>
      </c>
      <c r="M2">
        <v>76.7</v>
      </c>
      <c r="N2">
        <v>17.100000000000001</v>
      </c>
      <c r="O2">
        <f>SQRT(((I2-1)*POWER(K2,2) + (L2-1)*POWER(N2,2))/((I2-1)+(L2-1)))</f>
        <v>53.15378631856813</v>
      </c>
      <c r="P2">
        <f>(J2-M2)/O2</f>
        <v>1.8531135187558809</v>
      </c>
      <c r="Q2">
        <f>P2*(1- (3/(4*(I2+L2)-9)))</f>
        <v>1.8413102479357797</v>
      </c>
      <c r="R2">
        <f>SQRT((I2+L2)/(I2*L2)+(POWER(P2,2)/(2*(I2+L2))))</f>
        <v>0.21826999443918652</v>
      </c>
    </row>
    <row r="3" spans="1:18" x14ac:dyDescent="0.3">
      <c r="A3">
        <v>1</v>
      </c>
      <c r="B3" t="s">
        <v>13</v>
      </c>
      <c r="C3">
        <v>2021</v>
      </c>
      <c r="D3" t="s">
        <v>16</v>
      </c>
      <c r="E3" t="s">
        <v>21</v>
      </c>
      <c r="F3" t="s">
        <v>32</v>
      </c>
      <c r="G3" t="s">
        <v>12</v>
      </c>
      <c r="I3">
        <v>18</v>
      </c>
      <c r="J3">
        <v>330.02</v>
      </c>
      <c r="K3">
        <v>96.52</v>
      </c>
      <c r="L3">
        <v>19</v>
      </c>
      <c r="M3">
        <v>258.52</v>
      </c>
      <c r="N3">
        <v>102.14</v>
      </c>
      <c r="O3">
        <f t="shared" ref="O3:O18" si="0">SQRT(((I3-1)*POWER(K3,2) + (L3-1)*POWER(N3,2))/((I3-1)+(L3-1)))</f>
        <v>99.449960080434423</v>
      </c>
      <c r="P3">
        <f t="shared" ref="P3:P18" si="1">(J3-M3)/O3</f>
        <v>0.71895453695679024</v>
      </c>
      <c r="Q3">
        <f t="shared" ref="Q3:Q18" si="2">P3*(1- (3/(4*(I3+L3)-9)))</f>
        <v>0.70343753256203934</v>
      </c>
      <c r="R3">
        <f t="shared" ref="R3:R18" si="3">SQRT((I3+L3)/(I3*L3)+(POWER(P3,2)/(2*(I3+L3))))</f>
        <v>0.33937031474894647</v>
      </c>
    </row>
    <row r="4" spans="1:18" x14ac:dyDescent="0.3">
      <c r="A4">
        <v>2</v>
      </c>
      <c r="B4" t="s">
        <v>18</v>
      </c>
      <c r="C4">
        <v>2015</v>
      </c>
      <c r="D4" t="s">
        <v>19</v>
      </c>
      <c r="E4" t="s">
        <v>21</v>
      </c>
      <c r="F4" t="s">
        <v>32</v>
      </c>
      <c r="G4" t="s">
        <v>22</v>
      </c>
      <c r="H4" t="s">
        <v>33</v>
      </c>
      <c r="I4">
        <v>23</v>
      </c>
      <c r="J4">
        <v>125</v>
      </c>
      <c r="K4">
        <f>(3/4)*50</f>
        <v>37.5</v>
      </c>
      <c r="L4">
        <v>19</v>
      </c>
      <c r="M4">
        <v>75</v>
      </c>
      <c r="N4">
        <f>(3/4)*30</f>
        <v>22.5</v>
      </c>
      <c r="O4">
        <f t="shared" si="0"/>
        <v>31.64253466459348</v>
      </c>
      <c r="P4">
        <f t="shared" si="1"/>
        <v>1.5801515437999241</v>
      </c>
      <c r="Q4">
        <f t="shared" si="2"/>
        <v>1.5503373637282274</v>
      </c>
      <c r="R4">
        <f t="shared" si="3"/>
        <v>0.35473171361298678</v>
      </c>
    </row>
    <row r="5" spans="1:18" x14ac:dyDescent="0.3">
      <c r="A5">
        <v>3</v>
      </c>
      <c r="B5" t="s">
        <v>28</v>
      </c>
      <c r="C5">
        <v>2016</v>
      </c>
      <c r="D5" t="s">
        <v>29</v>
      </c>
      <c r="E5" t="s">
        <v>30</v>
      </c>
      <c r="F5" t="s">
        <v>38</v>
      </c>
      <c r="G5" t="s">
        <v>22</v>
      </c>
      <c r="H5" t="s">
        <v>34</v>
      </c>
      <c r="I5">
        <f>(14/18)*135</f>
        <v>105</v>
      </c>
      <c r="J5">
        <v>80</v>
      </c>
      <c r="K5">
        <v>15</v>
      </c>
      <c r="L5">
        <v>30</v>
      </c>
      <c r="M5">
        <v>50</v>
      </c>
      <c r="N5">
        <v>5</v>
      </c>
      <c r="O5">
        <f t="shared" si="0"/>
        <v>13.46814677094102</v>
      </c>
      <c r="P5">
        <f t="shared" si="1"/>
        <v>2.2274779529970847</v>
      </c>
      <c r="Q5">
        <f t="shared" si="2"/>
        <v>2.2148933317937116</v>
      </c>
      <c r="R5">
        <f t="shared" si="3"/>
        <v>0.24745434747321579</v>
      </c>
    </row>
    <row r="6" spans="1:18" x14ac:dyDescent="0.3">
      <c r="A6">
        <v>4</v>
      </c>
      <c r="B6" t="s">
        <v>35</v>
      </c>
      <c r="C6">
        <v>2009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>
        <v>15</v>
      </c>
      <c r="J6">
        <v>75</v>
      </c>
      <c r="K6">
        <v>10</v>
      </c>
      <c r="L6">
        <v>15</v>
      </c>
      <c r="M6">
        <v>35</v>
      </c>
      <c r="N6">
        <v>2</v>
      </c>
      <c r="O6">
        <f t="shared" si="0"/>
        <v>7.2111025509279782</v>
      </c>
      <c r="P6">
        <f t="shared" si="1"/>
        <v>5.5470019622522919</v>
      </c>
      <c r="Q6">
        <f t="shared" si="2"/>
        <v>5.3970829902995279</v>
      </c>
      <c r="R6">
        <f t="shared" si="3"/>
        <v>0.80383695246850051</v>
      </c>
    </row>
    <row r="7" spans="1:18" x14ac:dyDescent="0.3">
      <c r="A7">
        <v>5</v>
      </c>
      <c r="B7" t="s">
        <v>41</v>
      </c>
      <c r="C7">
        <v>2002</v>
      </c>
      <c r="D7" t="s">
        <v>42</v>
      </c>
      <c r="E7" t="s">
        <v>43</v>
      </c>
      <c r="F7" t="s">
        <v>44</v>
      </c>
      <c r="G7" t="s">
        <v>45</v>
      </c>
      <c r="H7" t="s">
        <v>46</v>
      </c>
      <c r="I7">
        <v>15</v>
      </c>
      <c r="J7">
        <v>428.1</v>
      </c>
      <c r="K7">
        <v>32.299999999999997</v>
      </c>
      <c r="L7">
        <v>9</v>
      </c>
      <c r="M7">
        <v>192.2</v>
      </c>
      <c r="N7">
        <v>19.3</v>
      </c>
      <c r="O7">
        <f t="shared" si="0"/>
        <v>28.273003506396822</v>
      </c>
      <c r="P7">
        <f t="shared" si="1"/>
        <v>8.3436483833996338</v>
      </c>
      <c r="Q7">
        <f t="shared" si="2"/>
        <v>8.0559363701789568</v>
      </c>
      <c r="R7">
        <f t="shared" si="3"/>
        <v>1.2759783964924447</v>
      </c>
    </row>
    <row r="8" spans="1:18" x14ac:dyDescent="0.3">
      <c r="A8">
        <v>6</v>
      </c>
      <c r="B8" t="s">
        <v>47</v>
      </c>
      <c r="C8">
        <v>2002</v>
      </c>
      <c r="D8" t="s">
        <v>48</v>
      </c>
      <c r="E8" t="s">
        <v>49</v>
      </c>
      <c r="F8" t="s">
        <v>44</v>
      </c>
      <c r="G8" t="s">
        <v>50</v>
      </c>
      <c r="H8" t="s">
        <v>51</v>
      </c>
      <c r="I8">
        <v>20</v>
      </c>
      <c r="J8">
        <v>8.5500000000000007</v>
      </c>
      <c r="K8">
        <v>0.1</v>
      </c>
      <c r="L8">
        <v>20</v>
      </c>
      <c r="M8">
        <v>8.4499999999999993</v>
      </c>
      <c r="N8">
        <v>0.1</v>
      </c>
      <c r="O8">
        <f t="shared" si="0"/>
        <v>0.1</v>
      </c>
      <c r="P8">
        <f t="shared" si="1"/>
        <v>1.0000000000000142</v>
      </c>
      <c r="Q8">
        <f t="shared" si="2"/>
        <v>0.98013245033113972</v>
      </c>
      <c r="R8">
        <f t="shared" si="3"/>
        <v>0.33541019662496901</v>
      </c>
    </row>
    <row r="9" spans="1:18" x14ac:dyDescent="0.3">
      <c r="A9">
        <v>7</v>
      </c>
      <c r="B9" t="s">
        <v>52</v>
      </c>
      <c r="C9">
        <v>2004</v>
      </c>
      <c r="D9" t="s">
        <v>53</v>
      </c>
      <c r="E9" t="s">
        <v>43</v>
      </c>
      <c r="F9" t="s">
        <v>44</v>
      </c>
      <c r="G9" t="s">
        <v>54</v>
      </c>
      <c r="I9">
        <v>13</v>
      </c>
      <c r="J9">
        <v>667</v>
      </c>
      <c r="K9">
        <v>432.2</v>
      </c>
      <c r="L9">
        <v>6</v>
      </c>
      <c r="M9">
        <v>128</v>
      </c>
      <c r="N9">
        <v>37.200000000000003</v>
      </c>
      <c r="O9">
        <f t="shared" si="0"/>
        <v>363.68063559376156</v>
      </c>
      <c r="P9">
        <f t="shared" si="1"/>
        <v>1.4820695611686998</v>
      </c>
      <c r="Q9">
        <f t="shared" si="2"/>
        <v>1.4157082375342804</v>
      </c>
      <c r="R9">
        <f t="shared" si="3"/>
        <v>0.54899286834005212</v>
      </c>
    </row>
    <row r="10" spans="1:18" x14ac:dyDescent="0.3">
      <c r="A10">
        <v>8</v>
      </c>
      <c r="B10" t="s">
        <v>55</v>
      </c>
      <c r="C10">
        <v>2008</v>
      </c>
      <c r="D10" t="s">
        <v>56</v>
      </c>
      <c r="E10" t="s">
        <v>57</v>
      </c>
      <c r="F10" t="s">
        <v>44</v>
      </c>
      <c r="G10" t="s">
        <v>58</v>
      </c>
      <c r="H10" t="s">
        <v>59</v>
      </c>
      <c r="I10">
        <v>10</v>
      </c>
      <c r="J10">
        <v>558.6</v>
      </c>
      <c r="K10">
        <v>128.69999999999999</v>
      </c>
      <c r="L10">
        <v>10</v>
      </c>
      <c r="M10">
        <v>285.3</v>
      </c>
      <c r="N10">
        <v>116</v>
      </c>
      <c r="O10">
        <f t="shared" si="0"/>
        <v>122.5146725906738</v>
      </c>
      <c r="P10">
        <f t="shared" si="1"/>
        <v>2.23075321690738</v>
      </c>
      <c r="Q10">
        <f t="shared" si="2"/>
        <v>2.136496038728195</v>
      </c>
      <c r="R10">
        <f t="shared" si="3"/>
        <v>0.5695669388830128</v>
      </c>
    </row>
    <row r="11" spans="1:18" x14ac:dyDescent="0.3">
      <c r="A11">
        <v>9</v>
      </c>
      <c r="B11" t="s">
        <v>60</v>
      </c>
      <c r="C11">
        <v>2009</v>
      </c>
      <c r="D11" t="s">
        <v>61</v>
      </c>
      <c r="E11" t="s">
        <v>43</v>
      </c>
      <c r="F11" t="s">
        <v>44</v>
      </c>
      <c r="G11" t="s">
        <v>62</v>
      </c>
      <c r="H11" t="s">
        <v>63</v>
      </c>
      <c r="I11">
        <v>13</v>
      </c>
      <c r="J11">
        <v>300</v>
      </c>
      <c r="K11">
        <v>33</v>
      </c>
      <c r="L11">
        <v>6</v>
      </c>
      <c r="M11">
        <v>150</v>
      </c>
      <c r="N11">
        <v>90</v>
      </c>
      <c r="O11">
        <f t="shared" si="0"/>
        <v>56.134292758788824</v>
      </c>
      <c r="P11">
        <f t="shared" si="1"/>
        <v>2.6721633537729899</v>
      </c>
      <c r="Q11">
        <f t="shared" si="2"/>
        <v>2.5525142483801693</v>
      </c>
      <c r="R11">
        <f t="shared" si="3"/>
        <v>0.65688393682953827</v>
      </c>
    </row>
    <row r="12" spans="1:18" x14ac:dyDescent="0.3">
      <c r="A12">
        <v>10</v>
      </c>
      <c r="B12" t="s">
        <v>64</v>
      </c>
      <c r="C12">
        <v>2020</v>
      </c>
      <c r="D12" t="s">
        <v>65</v>
      </c>
      <c r="E12" t="s">
        <v>30</v>
      </c>
      <c r="F12" t="s">
        <v>66</v>
      </c>
      <c r="G12" t="s">
        <v>67</v>
      </c>
      <c r="H12" t="s">
        <v>68</v>
      </c>
      <c r="I12">
        <v>26</v>
      </c>
      <c r="J12">
        <v>18.16</v>
      </c>
      <c r="K12">
        <v>1.06</v>
      </c>
      <c r="L12">
        <v>14</v>
      </c>
      <c r="M12">
        <v>11.85</v>
      </c>
      <c r="N12">
        <v>0.69</v>
      </c>
      <c r="O12">
        <f t="shared" si="0"/>
        <v>0.94978252358382709</v>
      </c>
      <c r="P12">
        <f t="shared" si="1"/>
        <v>6.6436261389506237</v>
      </c>
      <c r="Q12">
        <f t="shared" si="2"/>
        <v>6.5116335666535914</v>
      </c>
      <c r="R12">
        <f t="shared" si="3"/>
        <v>0.81339548395412153</v>
      </c>
    </row>
    <row r="13" spans="1:18" x14ac:dyDescent="0.3">
      <c r="A13">
        <v>11</v>
      </c>
      <c r="B13" t="s">
        <v>69</v>
      </c>
      <c r="C13">
        <v>2004</v>
      </c>
      <c r="D13" t="s">
        <v>70</v>
      </c>
      <c r="E13" t="s">
        <v>71</v>
      </c>
      <c r="F13" t="s">
        <v>44</v>
      </c>
      <c r="G13" t="s">
        <v>72</v>
      </c>
      <c r="I13">
        <v>25</v>
      </c>
      <c r="J13">
        <v>70</v>
      </c>
      <c r="K13">
        <v>20</v>
      </c>
      <c r="L13">
        <v>25</v>
      </c>
      <c r="M13">
        <v>40</v>
      </c>
      <c r="N13">
        <v>5</v>
      </c>
      <c r="O13">
        <f t="shared" si="0"/>
        <v>14.577379737113251</v>
      </c>
      <c r="P13">
        <f t="shared" si="1"/>
        <v>2.0579830217101063</v>
      </c>
      <c r="Q13">
        <f t="shared" si="2"/>
        <v>2.0256586810549737</v>
      </c>
      <c r="R13">
        <f t="shared" si="3"/>
        <v>0.34978985287808251</v>
      </c>
    </row>
    <row r="14" spans="1:18" x14ac:dyDescent="0.3">
      <c r="A14">
        <v>12</v>
      </c>
      <c r="B14" t="s">
        <v>76</v>
      </c>
      <c r="C14">
        <v>2010</v>
      </c>
      <c r="D14" t="s">
        <v>77</v>
      </c>
      <c r="E14" t="s">
        <v>78</v>
      </c>
      <c r="F14" t="s">
        <v>79</v>
      </c>
      <c r="G14" t="s">
        <v>80</v>
      </c>
      <c r="H14" t="s">
        <v>81</v>
      </c>
      <c r="I14">
        <v>7</v>
      </c>
      <c r="J14">
        <v>25</v>
      </c>
      <c r="K14">
        <v>6</v>
      </c>
      <c r="L14">
        <v>6</v>
      </c>
      <c r="M14">
        <v>20</v>
      </c>
      <c r="N14">
        <v>5</v>
      </c>
      <c r="O14">
        <f t="shared" si="0"/>
        <v>5.5677643628300215</v>
      </c>
      <c r="P14">
        <f t="shared" si="1"/>
        <v>0.89802651013387458</v>
      </c>
      <c r="Q14">
        <f t="shared" si="2"/>
        <v>0.83537349779895309</v>
      </c>
      <c r="R14">
        <f t="shared" si="3"/>
        <v>0.58355906235003896</v>
      </c>
    </row>
    <row r="15" spans="1:18" x14ac:dyDescent="0.3">
      <c r="A15">
        <v>13</v>
      </c>
      <c r="B15" t="s">
        <v>83</v>
      </c>
      <c r="C15">
        <v>1999</v>
      </c>
      <c r="D15" t="s">
        <v>82</v>
      </c>
      <c r="E15" t="s">
        <v>86</v>
      </c>
      <c r="F15" t="s">
        <v>84</v>
      </c>
      <c r="G15" t="s">
        <v>85</v>
      </c>
      <c r="H15" t="s">
        <v>87</v>
      </c>
      <c r="I15">
        <v>8</v>
      </c>
      <c r="J15">
        <v>70.61</v>
      </c>
      <c r="K15">
        <v>15.42</v>
      </c>
      <c r="L15">
        <v>12</v>
      </c>
      <c r="M15">
        <v>49.55</v>
      </c>
      <c r="N15">
        <v>8.76</v>
      </c>
      <c r="O15">
        <f t="shared" si="0"/>
        <v>11.805244597211868</v>
      </c>
      <c r="P15">
        <f t="shared" si="1"/>
        <v>1.7839528716731459</v>
      </c>
      <c r="Q15">
        <f t="shared" si="2"/>
        <v>1.7085745813207596</v>
      </c>
      <c r="R15">
        <f t="shared" si="3"/>
        <v>0.53655897116915763</v>
      </c>
    </row>
    <row r="16" spans="1:18" x14ac:dyDescent="0.3">
      <c r="A16">
        <v>14</v>
      </c>
      <c r="B16" t="s">
        <v>135</v>
      </c>
      <c r="C16">
        <v>2021</v>
      </c>
      <c r="D16" t="s">
        <v>136</v>
      </c>
      <c r="E16" t="s">
        <v>137</v>
      </c>
      <c r="F16" t="s">
        <v>84</v>
      </c>
      <c r="G16" t="s">
        <v>138</v>
      </c>
      <c r="H16" t="s">
        <v>139</v>
      </c>
      <c r="I16">
        <v>12</v>
      </c>
      <c r="J16">
        <v>6.2960000000000003</v>
      </c>
      <c r="K16">
        <v>1.853</v>
      </c>
      <c r="L16">
        <v>5</v>
      </c>
      <c r="M16">
        <v>2.96</v>
      </c>
      <c r="N16">
        <v>0.752</v>
      </c>
      <c r="O16">
        <f t="shared" si="0"/>
        <v>1.6336404133101019</v>
      </c>
      <c r="P16">
        <f t="shared" si="1"/>
        <v>2.0420650547206756</v>
      </c>
      <c r="Q16">
        <f t="shared" si="2"/>
        <v>1.9382312383789464</v>
      </c>
      <c r="R16">
        <f t="shared" si="3"/>
        <v>0.63716659150087573</v>
      </c>
    </row>
    <row r="17" spans="1:18" x14ac:dyDescent="0.3">
      <c r="A17">
        <v>15</v>
      </c>
      <c r="B17" t="s">
        <v>151</v>
      </c>
      <c r="C17">
        <v>2001</v>
      </c>
      <c r="D17" t="s">
        <v>152</v>
      </c>
      <c r="E17" t="s">
        <v>153</v>
      </c>
      <c r="F17" t="s">
        <v>154</v>
      </c>
      <c r="G17" t="s">
        <v>85</v>
      </c>
      <c r="H17" t="s">
        <v>155</v>
      </c>
      <c r="I17">
        <v>12</v>
      </c>
      <c r="J17">
        <v>1236</v>
      </c>
      <c r="K17">
        <v>202</v>
      </c>
      <c r="L17">
        <v>13</v>
      </c>
      <c r="M17">
        <v>782</v>
      </c>
      <c r="N17">
        <v>201</v>
      </c>
      <c r="O17">
        <f t="shared" si="0"/>
        <v>201.47888011013657</v>
      </c>
      <c r="P17">
        <f t="shared" si="1"/>
        <v>2.2533379168666468</v>
      </c>
      <c r="Q17">
        <f t="shared" si="2"/>
        <v>2.1790520514754386</v>
      </c>
      <c r="R17">
        <f t="shared" si="3"/>
        <v>0.511670837167987</v>
      </c>
    </row>
    <row r="18" spans="1:18" x14ac:dyDescent="0.3">
      <c r="A18">
        <v>16</v>
      </c>
      <c r="B18" t="s">
        <v>156</v>
      </c>
      <c r="C18">
        <v>2012</v>
      </c>
      <c r="D18" t="s">
        <v>157</v>
      </c>
      <c r="E18" t="s">
        <v>94</v>
      </c>
      <c r="F18" t="s">
        <v>44</v>
      </c>
      <c r="G18" t="s">
        <v>138</v>
      </c>
      <c r="I18">
        <v>4</v>
      </c>
      <c r="J18">
        <v>108.07</v>
      </c>
      <c r="K18">
        <v>6.93</v>
      </c>
      <c r="L18">
        <v>4</v>
      </c>
      <c r="M18">
        <v>30.07</v>
      </c>
      <c r="N18">
        <v>13.37</v>
      </c>
      <c r="O18">
        <f t="shared" si="0"/>
        <v>10.648516328578362</v>
      </c>
      <c r="P18">
        <f t="shared" si="1"/>
        <v>7.3249641164247947</v>
      </c>
      <c r="Q18">
        <f t="shared" si="2"/>
        <v>6.3695340142824302</v>
      </c>
      <c r="R18">
        <f t="shared" si="3"/>
        <v>1.9630190286092313</v>
      </c>
    </row>
    <row r="19" spans="1:18" x14ac:dyDescent="0.3">
      <c r="A19">
        <v>17</v>
      </c>
      <c r="B19" t="s">
        <v>166</v>
      </c>
      <c r="C19">
        <v>2007</v>
      </c>
      <c r="D19" t="s">
        <v>167</v>
      </c>
      <c r="E19" t="s">
        <v>168</v>
      </c>
      <c r="F19" t="s">
        <v>44</v>
      </c>
      <c r="G19" t="s">
        <v>164</v>
      </c>
      <c r="H19" t="s">
        <v>169</v>
      </c>
      <c r="I19">
        <v>14</v>
      </c>
      <c r="J19">
        <v>2175</v>
      </c>
      <c r="K19">
        <f>(3127-1954)*(3/4)</f>
        <v>879.75</v>
      </c>
      <c r="L19">
        <v>33</v>
      </c>
      <c r="M19">
        <v>1979</v>
      </c>
      <c r="N19">
        <f>(2582-1137)*(3/4)</f>
        <v>1083.75</v>
      </c>
      <c r="O19">
        <f t="shared" ref="O19" si="4">SQRT(((I19-1)*POWER(K19,2) + (L19-1)*POWER(N19,2))/((I19-1)+(L19-1)))</f>
        <v>1028.9793304532409</v>
      </c>
      <c r="P19">
        <f t="shared" ref="P19" si="5">(J19-M19)/O19</f>
        <v>0.19048001665268308</v>
      </c>
      <c r="Q19">
        <f t="shared" ref="Q19" si="6">P19*(1- (3/(4*(I19+L19)-9)))</f>
        <v>0.18728761413895095</v>
      </c>
      <c r="R19">
        <f t="shared" ref="R19" si="7">SQRT((I19+L19)/(I19*L19)+(POWER(P19,2)/(2*(I19+L19))))</f>
        <v>0.31955842537614054</v>
      </c>
    </row>
    <row r="20" spans="1:18" x14ac:dyDescent="0.3">
      <c r="A20">
        <v>18</v>
      </c>
      <c r="B20" t="s">
        <v>179</v>
      </c>
      <c r="C20">
        <v>2010</v>
      </c>
      <c r="D20" t="s">
        <v>180</v>
      </c>
      <c r="E20" t="s">
        <v>37</v>
      </c>
      <c r="F20" t="s">
        <v>44</v>
      </c>
      <c r="G20" t="s">
        <v>181</v>
      </c>
      <c r="I20">
        <v>6</v>
      </c>
      <c r="J20">
        <v>74.5</v>
      </c>
      <c r="K20">
        <v>13.44</v>
      </c>
      <c r="L20">
        <v>8</v>
      </c>
      <c r="M20">
        <v>56.56</v>
      </c>
      <c r="N20">
        <v>11.93</v>
      </c>
      <c r="O20">
        <f t="shared" ref="O20:O21" si="8">SQRT(((I20-1)*POWER(K20,2) + (L20-1)*POWER(N20,2))/((I20-1)+(L20-1)))</f>
        <v>12.581210527343277</v>
      </c>
      <c r="P20">
        <f t="shared" ref="P20:P21" si="9">(J20-M20)/O20</f>
        <v>1.4259359193624681</v>
      </c>
      <c r="Q20">
        <f t="shared" ref="Q20:Q21" si="10">P20*(1- (3/(4*(I20+L20)-9)))</f>
        <v>1.334918733020183</v>
      </c>
      <c r="R20">
        <f t="shared" ref="R20:R21" si="11">SQRT((I20+L20)/(I20*L20)+(POWER(P20,2)/(2*(I20+L20))))</f>
        <v>0.60355967608829919</v>
      </c>
    </row>
    <row r="21" spans="1:18" x14ac:dyDescent="0.3">
      <c r="A21">
        <v>10</v>
      </c>
      <c r="B21" t="s">
        <v>96</v>
      </c>
      <c r="C21">
        <v>2013</v>
      </c>
      <c r="D21" t="s">
        <v>186</v>
      </c>
      <c r="E21" t="s">
        <v>43</v>
      </c>
      <c r="F21" t="s">
        <v>84</v>
      </c>
      <c r="H21" t="s">
        <v>185</v>
      </c>
      <c r="I21">
        <v>11</v>
      </c>
      <c r="J21">
        <v>4.5</v>
      </c>
      <c r="K21">
        <f>3*(3/4)</f>
        <v>2.25</v>
      </c>
      <c r="L21">
        <v>7</v>
      </c>
      <c r="M21">
        <v>1.9</v>
      </c>
      <c r="N21">
        <v>0.4</v>
      </c>
      <c r="O21">
        <f t="shared" si="8"/>
        <v>1.7955674590502024</v>
      </c>
      <c r="P21">
        <f t="shared" si="9"/>
        <v>1.4480102025101951</v>
      </c>
      <c r="Q21">
        <f t="shared" si="10"/>
        <v>1.3790573357239952</v>
      </c>
      <c r="R21">
        <f t="shared" si="11"/>
        <v>0.54037841581818158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EBB68-8CAB-46D4-B803-BAB5987C358F}">
  <dimension ref="A1:R8"/>
  <sheetViews>
    <sheetView workbookViewId="0">
      <selection activeCell="J21" sqref="J21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166</v>
      </c>
      <c r="C2">
        <v>2007</v>
      </c>
      <c r="D2" t="s">
        <v>167</v>
      </c>
      <c r="E2" t="s">
        <v>168</v>
      </c>
      <c r="F2" t="s">
        <v>44</v>
      </c>
      <c r="G2" t="s">
        <v>164</v>
      </c>
      <c r="H2" t="s">
        <v>169</v>
      </c>
      <c r="I2">
        <v>14</v>
      </c>
      <c r="J2">
        <v>440</v>
      </c>
      <c r="K2">
        <f>(565-391)*(3/4)</f>
        <v>130.5</v>
      </c>
      <c r="L2">
        <v>33</v>
      </c>
      <c r="M2">
        <v>423</v>
      </c>
      <c r="N2">
        <f>(667-274)*(3/4)</f>
        <v>294.75</v>
      </c>
      <c r="O2">
        <f t="shared" ref="O2" si="0">SQRT(((I2-1)*POWER(K2,2) + (L2-1)*POWER(N2,2))/((I2-1)+(L2-1)))</f>
        <v>258.26236659645167</v>
      </c>
      <c r="P2">
        <f t="shared" ref="P2" si="1">(J2-M2)/O2</f>
        <v>6.58245342673692E-2</v>
      </c>
      <c r="Q2">
        <f t="shared" ref="Q2" si="2">P2*(1- (3/(4*(I2+L2)-9)))</f>
        <v>6.4721329782441217E-2</v>
      </c>
      <c r="R2">
        <f t="shared" ref="R2" si="3">SQRT((I2+L2)/(I2*L2)+(POWER(P2,2)/(2*(I2+L2))))</f>
        <v>0.31902616834043496</v>
      </c>
    </row>
    <row r="3" spans="1:18" x14ac:dyDescent="0.3">
      <c r="A3">
        <v>1</v>
      </c>
      <c r="B3" t="s">
        <v>52</v>
      </c>
      <c r="C3">
        <v>2004</v>
      </c>
      <c r="D3">
        <v>2004</v>
      </c>
      <c r="E3" t="s">
        <v>53</v>
      </c>
      <c r="F3" t="s">
        <v>43</v>
      </c>
      <c r="G3" t="s">
        <v>44</v>
      </c>
      <c r="H3" t="s">
        <v>54</v>
      </c>
      <c r="I3">
        <v>13</v>
      </c>
      <c r="J3">
        <v>10050</v>
      </c>
      <c r="K3">
        <v>7554.5</v>
      </c>
      <c r="L3">
        <v>6</v>
      </c>
      <c r="M3">
        <v>1299.23</v>
      </c>
      <c r="N3">
        <v>437.7</v>
      </c>
      <c r="O3">
        <f t="shared" ref="O3" si="4">SQRT(((I3-1)*POWER(K3,2) + (L3-1)*POWER(N3,2))/((I3-1)+(L3-1)))</f>
        <v>6351.4868544117062</v>
      </c>
      <c r="P3">
        <f t="shared" ref="P3" si="5">(J3-M3)/O3</f>
        <v>1.3777514148394665</v>
      </c>
      <c r="Q3">
        <f t="shared" ref="Q3" si="6">P3*(1- (3/(4*(I3+L3)-9)))</f>
        <v>1.3160610529809829</v>
      </c>
      <c r="R3">
        <f t="shared" ref="R3" si="7">SQRT((I3+L3)/(I3*L3)+(POWER(P3,2)/(2*(I3+L3))))</f>
        <v>0.54179548524236587</v>
      </c>
    </row>
    <row r="4" spans="1:18" x14ac:dyDescent="0.3">
      <c r="A4">
        <v>2</v>
      </c>
      <c r="B4" t="s">
        <v>41</v>
      </c>
      <c r="C4">
        <v>2002</v>
      </c>
      <c r="D4" t="s">
        <v>42</v>
      </c>
      <c r="E4" t="s">
        <v>43</v>
      </c>
      <c r="F4" t="s">
        <v>44</v>
      </c>
      <c r="G4" t="s">
        <v>164</v>
      </c>
      <c r="H4" t="s">
        <v>165</v>
      </c>
      <c r="I4">
        <v>15</v>
      </c>
      <c r="J4">
        <v>1329.5</v>
      </c>
      <c r="K4">
        <v>403.9</v>
      </c>
      <c r="L4">
        <v>9</v>
      </c>
      <c r="M4">
        <v>422.7</v>
      </c>
      <c r="N4">
        <v>117.3</v>
      </c>
      <c r="O4">
        <f t="shared" ref="O4" si="8">SQRT(((I4-1)*POWER(K4,2) + (L4-1)*POWER(N4,2))/((I4-1)+(L4-1)))</f>
        <v>329.87375408838398</v>
      </c>
      <c r="P4">
        <f t="shared" ref="P4" si="9">(J4-M4)/O4</f>
        <v>2.7489304279631734</v>
      </c>
      <c r="Q4">
        <f t="shared" ref="Q4" si="10">P4*(1- (3/(4*(I4+L4)-9)))</f>
        <v>2.6541397235506503</v>
      </c>
      <c r="R4">
        <f t="shared" ref="R4" si="11">SQRT((I4+L4)/(I4*L4)+(POWER(P4,2)/(2*(I4+L4))))</f>
        <v>0.57897092311695464</v>
      </c>
    </row>
    <row r="5" spans="1:18" x14ac:dyDescent="0.3">
      <c r="A5">
        <v>3</v>
      </c>
      <c r="B5" t="s">
        <v>156</v>
      </c>
      <c r="C5">
        <v>2012</v>
      </c>
      <c r="D5" t="s">
        <v>157</v>
      </c>
      <c r="E5" t="s">
        <v>94</v>
      </c>
      <c r="F5" t="s">
        <v>44</v>
      </c>
      <c r="G5" t="s">
        <v>138</v>
      </c>
      <c r="H5" t="s">
        <v>158</v>
      </c>
      <c r="I5">
        <v>4</v>
      </c>
      <c r="J5">
        <v>203.06</v>
      </c>
      <c r="K5">
        <v>16.79</v>
      </c>
      <c r="L5">
        <v>4</v>
      </c>
      <c r="M5">
        <v>55.54</v>
      </c>
      <c r="N5">
        <v>23.47</v>
      </c>
      <c r="O5">
        <f t="shared" ref="O5:O6" si="12">SQRT(((I5-1)*POWER(K5,2) + (L5-1)*POWER(N5,2))/((I5-1)+(L5-1)))</f>
        <v>20.405207668632045</v>
      </c>
      <c r="P5">
        <f t="shared" ref="P5:P6" si="13">(J5-M5)/O5</f>
        <v>7.229527010733416</v>
      </c>
      <c r="Q5">
        <f t="shared" ref="Q5:Q6" si="14">P5*(1- (3/(4*(I5+L5)-9)))</f>
        <v>6.2865452267247095</v>
      </c>
      <c r="R5">
        <f t="shared" ref="R5:R6" si="15">SQRT((I5+L5)/(I5*L5)+(POWER(P5,2)/(2*(I5+L5))))</f>
        <v>1.9407804615496191</v>
      </c>
    </row>
    <row r="6" spans="1:18" x14ac:dyDescent="0.3">
      <c r="A6">
        <v>4</v>
      </c>
      <c r="B6" t="s">
        <v>174</v>
      </c>
      <c r="C6">
        <v>2021</v>
      </c>
      <c r="D6" t="s">
        <v>175</v>
      </c>
      <c r="E6" t="s">
        <v>94</v>
      </c>
      <c r="H6" t="s">
        <v>176</v>
      </c>
      <c r="I6">
        <v>24</v>
      </c>
      <c r="J6">
        <v>12000</v>
      </c>
      <c r="K6">
        <v>2500</v>
      </c>
      <c r="L6">
        <v>26</v>
      </c>
      <c r="M6">
        <v>8000</v>
      </c>
      <c r="N6">
        <v>1250</v>
      </c>
      <c r="O6">
        <f t="shared" si="12"/>
        <v>1951.5618744994995</v>
      </c>
      <c r="P6">
        <f t="shared" si="13"/>
        <v>2.0496403687051155</v>
      </c>
      <c r="Q6">
        <f t="shared" si="14"/>
        <v>2.0174470644846165</v>
      </c>
      <c r="R6">
        <f t="shared" si="15"/>
        <v>0.34948313484124172</v>
      </c>
    </row>
    <row r="7" spans="1:18" x14ac:dyDescent="0.3">
      <c r="A7">
        <v>5</v>
      </c>
      <c r="B7" t="s">
        <v>183</v>
      </c>
      <c r="C7">
        <v>2017</v>
      </c>
      <c r="D7" t="s">
        <v>184</v>
      </c>
      <c r="E7" t="s">
        <v>37</v>
      </c>
      <c r="F7" t="s">
        <v>44</v>
      </c>
      <c r="G7" t="s">
        <v>128</v>
      </c>
      <c r="H7" t="s">
        <v>185</v>
      </c>
      <c r="I7">
        <v>24</v>
      </c>
      <c r="J7">
        <v>15000</v>
      </c>
      <c r="K7">
        <f>9000*(3/4)</f>
        <v>6750</v>
      </c>
      <c r="L7">
        <v>15</v>
      </c>
      <c r="M7">
        <v>10000</v>
      </c>
      <c r="N7">
        <f>4000*(3/4)</f>
        <v>3000</v>
      </c>
      <c r="O7">
        <f t="shared" ref="O7" si="16">SQRT(((I7-1)*POWER(K7,2) + (L7-1)*POWER(N7,2))/((I7-1)+(L7-1)))</f>
        <v>5632.7649108178248</v>
      </c>
      <c r="P7">
        <f t="shared" ref="P7" si="17">(J7-M7)/O7</f>
        <v>0.88766353277009868</v>
      </c>
      <c r="Q7">
        <f t="shared" ref="Q7" si="18">P7*(1- (3/(4*(I7+L7)-9)))</f>
        <v>0.86954795046866806</v>
      </c>
      <c r="R7">
        <f t="shared" ref="R7" si="19">SQRT((I7+L7)/(I7*L7)+(POWER(P7,2)/(2*(I7+L7))))</f>
        <v>0.34414417348878751</v>
      </c>
    </row>
    <row r="8" spans="1:18" x14ac:dyDescent="0.3">
      <c r="A8">
        <v>6</v>
      </c>
      <c r="B8" t="s">
        <v>96</v>
      </c>
      <c r="C8">
        <v>2013</v>
      </c>
      <c r="D8" t="s">
        <v>186</v>
      </c>
      <c r="E8" t="s">
        <v>43</v>
      </c>
      <c r="F8" t="s">
        <v>84</v>
      </c>
      <c r="H8" t="s">
        <v>185</v>
      </c>
      <c r="I8">
        <v>11</v>
      </c>
      <c r="J8">
        <v>6</v>
      </c>
      <c r="K8">
        <f>5*(3/4)</f>
        <v>3.75</v>
      </c>
      <c r="L8">
        <v>7</v>
      </c>
      <c r="M8">
        <v>3.5</v>
      </c>
      <c r="N8">
        <v>0.5</v>
      </c>
      <c r="O8">
        <f t="shared" ref="O8" si="20">SQRT(((I8-1)*POWER(K8,2) + (L8-1)*POWER(N8,2))/((I8-1)+(L8-1)))</f>
        <v>2.980404754391591</v>
      </c>
      <c r="P8">
        <f t="shared" ref="P8" si="21">(J8-M8)/O8</f>
        <v>0.83881224398004317</v>
      </c>
      <c r="Q8">
        <f t="shared" ref="Q8" si="22">P8*(1- (3/(4*(I8+L8)-9)))</f>
        <v>0.79886880379051728</v>
      </c>
      <c r="R8">
        <f t="shared" ref="R8" si="23">SQRT((I8+L8)/(I8*L8)+(POWER(P8,2)/(2*(I8+L8))))</f>
        <v>0.50329995463924693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6236-8F35-404B-A05E-33379B58B182}">
  <dimension ref="A1:R1"/>
  <sheetViews>
    <sheetView workbookViewId="0">
      <selection sqref="A1:R1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A652-0C22-4014-BA4E-6ABE2842051B}">
  <dimension ref="A1:R3"/>
  <sheetViews>
    <sheetView workbookViewId="0">
      <selection activeCell="B2" sqref="B2:R2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8</v>
      </c>
      <c r="C2">
        <v>2022</v>
      </c>
      <c r="D2" t="s">
        <v>73</v>
      </c>
      <c r="E2" t="s">
        <v>15</v>
      </c>
      <c r="F2" t="s">
        <v>74</v>
      </c>
      <c r="G2" t="s">
        <v>22</v>
      </c>
      <c r="H2" t="s">
        <v>75</v>
      </c>
      <c r="I2">
        <v>30</v>
      </c>
      <c r="J2">
        <v>33.83</v>
      </c>
      <c r="K2">
        <v>17.940000000000001</v>
      </c>
      <c r="L2">
        <v>30</v>
      </c>
      <c r="M2">
        <v>15.8</v>
      </c>
      <c r="N2">
        <v>5.59</v>
      </c>
      <c r="O2">
        <f>SQRT(((I2-1)*POWER(K2,2) + (L2-1)*POWER(N2,2))/((I2-1)+(L2-1)))</f>
        <v>13.287055731048923</v>
      </c>
      <c r="P2">
        <f>(J2-M2)/O2</f>
        <v>1.3569597633182089</v>
      </c>
      <c r="Q2">
        <f>P2*(1- (3/(4*(I2+L2)-9)))</f>
        <v>1.3393369092491412</v>
      </c>
      <c r="R2">
        <f>SQRT((I2+L2)/(I2*L2)+(POWER(P2,2)/(2*(I2+L2))))</f>
        <v>0.28637591552690278</v>
      </c>
    </row>
    <row r="3" spans="1:18" x14ac:dyDescent="0.3">
      <c r="A3">
        <v>1</v>
      </c>
      <c r="B3" t="s">
        <v>89</v>
      </c>
      <c r="C3">
        <v>1996</v>
      </c>
      <c r="D3" t="s">
        <v>88</v>
      </c>
      <c r="E3" t="s">
        <v>90</v>
      </c>
      <c r="F3" t="s">
        <v>84</v>
      </c>
      <c r="G3" t="s">
        <v>91</v>
      </c>
      <c r="H3" t="s">
        <v>92</v>
      </c>
      <c r="I3">
        <v>5</v>
      </c>
      <c r="J3">
        <v>14</v>
      </c>
      <c r="K3">
        <v>4</v>
      </c>
      <c r="L3">
        <v>1</v>
      </c>
      <c r="M3">
        <v>9</v>
      </c>
      <c r="N3">
        <v>4</v>
      </c>
      <c r="O3">
        <f>SQRT(((I3-1)*POWER(K3,2) + (L3-1)*POWER(N3,2))/((I3-1)+(L3-1)))</f>
        <v>4</v>
      </c>
      <c r="P3">
        <f>(J3-M3)/O3</f>
        <v>1.25</v>
      </c>
      <c r="Q3">
        <f>P3*(1- (3/(4*(I3+L3)-9)))</f>
        <v>1</v>
      </c>
      <c r="R3">
        <f>SQRT((I3+L3)/(I3*L3)+(POWER(P3,2)/(2*(I3+L3))))</f>
        <v>1.153346579885393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D4D7-D2C2-4F90-9A16-48DE70F95F03}">
  <dimension ref="A1:R6"/>
  <sheetViews>
    <sheetView workbookViewId="0">
      <selection activeCell="F13" sqref="F13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8</v>
      </c>
      <c r="C2">
        <v>2022</v>
      </c>
      <c r="D2" t="s">
        <v>93</v>
      </c>
      <c r="E2" t="s">
        <v>94</v>
      </c>
      <c r="F2" t="s">
        <v>74</v>
      </c>
      <c r="G2" t="s">
        <v>22</v>
      </c>
      <c r="H2" t="s">
        <v>95</v>
      </c>
      <c r="I2">
        <v>25</v>
      </c>
      <c r="J2">
        <f>0.78316-0.25485</f>
        <v>0.52830999999999995</v>
      </c>
      <c r="K2">
        <v>9.4689999999999996E-2</v>
      </c>
      <c r="L2">
        <v>25</v>
      </c>
      <c r="M2">
        <v>0.78315999999999997</v>
      </c>
      <c r="N2">
        <v>6.6960000000000006E-2</v>
      </c>
      <c r="O2">
        <f>SQRT(((I2-1)*POWER(K2,2) + (L2-1)*POWER(N2,2))/((I2-1)+(L2-1)))</f>
        <v>8.2005602552508564E-2</v>
      </c>
      <c r="P2">
        <f>(J2-M2)/O2</f>
        <v>-3.1077144983700156</v>
      </c>
      <c r="Q2">
        <f>P2*(1- (3/(4*(I2+L2)-9)))</f>
        <v>-3.0589022287621095</v>
      </c>
      <c r="R2">
        <f>SQRT((I2+L2)/(I2*L2)+(POWER(P2,2)/(2*(I2+L2))))</f>
        <v>0.42021291512017095</v>
      </c>
    </row>
    <row r="3" spans="1:18" x14ac:dyDescent="0.3">
      <c r="A3">
        <v>1</v>
      </c>
      <c r="B3" t="s">
        <v>96</v>
      </c>
      <c r="C3">
        <v>2017</v>
      </c>
      <c r="D3" t="s">
        <v>97</v>
      </c>
      <c r="E3" t="s">
        <v>98</v>
      </c>
      <c r="F3" t="s">
        <v>44</v>
      </c>
      <c r="G3" t="s">
        <v>99</v>
      </c>
      <c r="H3" t="s">
        <v>100</v>
      </c>
      <c r="I3">
        <v>28</v>
      </c>
      <c r="J3">
        <v>7.0000000000000007E-2</v>
      </c>
      <c r="K3">
        <v>0.05</v>
      </c>
      <c r="L3">
        <v>2</v>
      </c>
      <c r="M3">
        <v>0.24</v>
      </c>
      <c r="N3">
        <v>0.13</v>
      </c>
      <c r="O3">
        <f>SQRT(((I3-1)*POWER(K3,2) + (L3-1)*POWER(N3,2))/((I3-1)+(L3-1)))</f>
        <v>5.4902511001644679E-2</v>
      </c>
      <c r="P3">
        <f>(J3-M3)/O3</f>
        <v>-3.0963975399031822</v>
      </c>
      <c r="Q3">
        <f>P3*(1- (3/(4*(I3+L3)-9)))</f>
        <v>-3.012711119905799</v>
      </c>
      <c r="R3">
        <f>SQRT((I3+L3)/(I3*L3)+(POWER(P3,2)/(2*(I3+L3))))</f>
        <v>0.83397177078499507</v>
      </c>
    </row>
    <row r="4" spans="1:18" x14ac:dyDescent="0.3">
      <c r="A4">
        <v>2</v>
      </c>
      <c r="B4" t="s">
        <v>101</v>
      </c>
      <c r="C4">
        <v>2022</v>
      </c>
      <c r="D4" t="s">
        <v>102</v>
      </c>
      <c r="E4" t="s">
        <v>94</v>
      </c>
      <c r="H4" t="s">
        <v>106</v>
      </c>
      <c r="I4">
        <v>10</v>
      </c>
      <c r="J4">
        <v>2.93</v>
      </c>
      <c r="K4">
        <v>1</v>
      </c>
      <c r="L4">
        <v>14</v>
      </c>
      <c r="M4">
        <v>4.5</v>
      </c>
      <c r="N4">
        <v>0.5</v>
      </c>
      <c r="O4">
        <f>SQRT(((I4-1)*POWER(K4,2) + (L4-1)*POWER(N4,2))/((I4-1)+(L4-1)))</f>
        <v>0.74620250724463644</v>
      </c>
      <c r="P4">
        <f>(J4-M4)/O4</f>
        <v>-2.1039864979779384</v>
      </c>
      <c r="Q4">
        <f>P4*(1- (3/(4*(I4+L4)-9)))</f>
        <v>-2.0314352394269752</v>
      </c>
      <c r="R4">
        <f>SQRT((I4+L4)/(I4*L4)+(POWER(P4,2)/(2*(I4+L4))))</f>
        <v>0.51347124660338606</v>
      </c>
    </row>
    <row r="5" spans="1:18" x14ac:dyDescent="0.3">
      <c r="A5">
        <v>3</v>
      </c>
      <c r="B5" t="s">
        <v>104</v>
      </c>
      <c r="C5">
        <v>2016</v>
      </c>
      <c r="D5" t="s">
        <v>103</v>
      </c>
      <c r="E5" t="s">
        <v>105</v>
      </c>
      <c r="F5" t="s">
        <v>44</v>
      </c>
      <c r="G5" t="s">
        <v>107</v>
      </c>
      <c r="H5" t="s">
        <v>108</v>
      </c>
      <c r="I5">
        <v>32</v>
      </c>
      <c r="J5">
        <v>31</v>
      </c>
      <c r="K5">
        <f>J5/5</f>
        <v>6.2</v>
      </c>
      <c r="L5">
        <v>8</v>
      </c>
      <c r="M5">
        <v>88</v>
      </c>
      <c r="N5">
        <f>M5/12</f>
        <v>7.333333333333333</v>
      </c>
      <c r="O5">
        <f>SQRT(((I5-1)*POWER(K5,2) + (L5-1)*POWER(N5,2))/((I5-1)+(L5-1)))</f>
        <v>6.4238135182272424</v>
      </c>
      <c r="P5">
        <f>(J5-M5)/O5</f>
        <v>-8.8732339191144654</v>
      </c>
      <c r="Q5">
        <f>P5*(1- (3/(4*(I5+L5)-9)))</f>
        <v>-8.6969445035029196</v>
      </c>
      <c r="R5">
        <f>SQRT((I5+L5)/(I5*L5)+(POWER(P5,2)/(2*(I5+L5))))</f>
        <v>1.067908470933508</v>
      </c>
    </row>
    <row r="6" spans="1:18" x14ac:dyDescent="0.3">
      <c r="A6">
        <v>4</v>
      </c>
      <c r="B6" t="s">
        <v>109</v>
      </c>
      <c r="C6">
        <v>2021</v>
      </c>
      <c r="D6" t="s">
        <v>110</v>
      </c>
      <c r="E6" t="s">
        <v>15</v>
      </c>
      <c r="G6" t="s">
        <v>111</v>
      </c>
      <c r="H6" t="s">
        <v>112</v>
      </c>
      <c r="I6">
        <v>8</v>
      </c>
      <c r="J6">
        <v>0.43</v>
      </c>
      <c r="K6">
        <v>0.2</v>
      </c>
      <c r="L6">
        <v>12</v>
      </c>
      <c r="M6">
        <v>0.72</v>
      </c>
      <c r="N6">
        <v>0.4</v>
      </c>
      <c r="O6">
        <f>SQRT(((I6-1)*POWER(K6,2) + (L6-1)*POWER(N6,2))/((I6-1)+(L6-1)))</f>
        <v>0.33665016461206926</v>
      </c>
      <c r="P6">
        <f>(J6-M6)/O6</f>
        <v>-0.86142836238970666</v>
      </c>
      <c r="Q6">
        <f>P6*(1- (3/(4*(I6+L6)-9)))</f>
        <v>-0.82502998088028245</v>
      </c>
      <c r="R6">
        <f>SQRT((I6+L6)/(I6*L6)+(POWER(P6,2)/(2*(I6+L6))))</f>
        <v>0.47632426341891154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FF69-1A01-44B7-9B68-125032E688E1}">
  <dimension ref="A1:R7"/>
  <sheetViews>
    <sheetView workbookViewId="0">
      <selection activeCell="R2" sqref="O2:R2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113</v>
      </c>
      <c r="C2">
        <v>2020</v>
      </c>
      <c r="D2" t="s">
        <v>114</v>
      </c>
      <c r="E2" t="s">
        <v>115</v>
      </c>
      <c r="F2" t="s">
        <v>116</v>
      </c>
      <c r="G2" t="s">
        <v>117</v>
      </c>
      <c r="H2" t="s">
        <v>118</v>
      </c>
      <c r="I2">
        <f>50*20</f>
        <v>1000</v>
      </c>
      <c r="J2">
        <v>0.314</v>
      </c>
      <c r="K2">
        <v>0.315</v>
      </c>
      <c r="L2">
        <f>26*15</f>
        <v>390</v>
      </c>
      <c r="M2">
        <v>5.7000000000000002E-2</v>
      </c>
      <c r="N2">
        <v>0.35299999999999998</v>
      </c>
      <c r="O2">
        <f t="shared" ref="O2:O7" si="0">SQRT(((I2-1)*POWER(K2,2) + (L2-1)*POWER(N2,2))/((I2-1)+(L2-1)))</f>
        <v>0.32609677052433023</v>
      </c>
      <c r="P2">
        <f t="shared" ref="P2:P7" si="1">(J2-M2)/O2</f>
        <v>0.78810961416996039</v>
      </c>
      <c r="Q2">
        <f t="shared" ref="Q2:Q7" si="2">P2*(1- (3/(4*(I2+L2)-9)))</f>
        <v>0.78768368571697722</v>
      </c>
      <c r="R2">
        <f t="shared" ref="R2:R7" si="3">SQRT((I2+L2)/(I2*L2)+(POWER(P2,2)/(2*(I2+L2))))</f>
        <v>6.1542878227187438E-2</v>
      </c>
    </row>
    <row r="3" spans="1:18" x14ac:dyDescent="0.3">
      <c r="A3">
        <v>1</v>
      </c>
      <c r="B3" t="s">
        <v>119</v>
      </c>
      <c r="C3">
        <v>2019</v>
      </c>
      <c r="D3" t="s">
        <v>120</v>
      </c>
      <c r="E3" t="s">
        <v>121</v>
      </c>
      <c r="F3" t="s">
        <v>122</v>
      </c>
      <c r="G3" t="s">
        <v>123</v>
      </c>
      <c r="H3" t="s">
        <v>124</v>
      </c>
      <c r="I3">
        <v>13</v>
      </c>
      <c r="J3">
        <v>0.75</v>
      </c>
      <c r="K3">
        <v>0.75</v>
      </c>
      <c r="L3">
        <v>15</v>
      </c>
      <c r="M3">
        <v>0.25</v>
      </c>
      <c r="N3">
        <v>0.4</v>
      </c>
      <c r="O3">
        <f t="shared" si="0"/>
        <v>0.58802145434433839</v>
      </c>
      <c r="P3">
        <f t="shared" si="1"/>
        <v>0.8503091108427584</v>
      </c>
      <c r="Q3">
        <f t="shared" si="2"/>
        <v>0.82554282606093055</v>
      </c>
      <c r="R3">
        <f t="shared" si="3"/>
        <v>0.39560196502581091</v>
      </c>
    </row>
    <row r="4" spans="1:18" x14ac:dyDescent="0.3">
      <c r="A4">
        <v>2</v>
      </c>
      <c r="B4" t="s">
        <v>125</v>
      </c>
      <c r="C4">
        <v>2018</v>
      </c>
      <c r="D4" t="s">
        <v>126</v>
      </c>
      <c r="E4" t="s">
        <v>127</v>
      </c>
      <c r="F4" t="s">
        <v>78</v>
      </c>
      <c r="G4" t="s">
        <v>128</v>
      </c>
      <c r="H4" t="s">
        <v>129</v>
      </c>
      <c r="I4">
        <v>50</v>
      </c>
      <c r="J4">
        <f>0.02/8</f>
        <v>2.5000000000000001E-3</v>
      </c>
      <c r="K4">
        <v>5.0000000000000001E-3</v>
      </c>
      <c r="L4">
        <v>60</v>
      </c>
      <c r="M4">
        <v>1.7500000000000002E-2</v>
      </c>
      <c r="N4">
        <v>5.0000000000000001E-3</v>
      </c>
      <c r="O4">
        <f t="shared" si="0"/>
        <v>5.0000000000000001E-3</v>
      </c>
      <c r="P4">
        <f t="shared" si="1"/>
        <v>-3</v>
      </c>
      <c r="Q4">
        <f t="shared" si="2"/>
        <v>-2.9791183294663575</v>
      </c>
      <c r="R4">
        <f t="shared" si="3"/>
        <v>0.27852424952911653</v>
      </c>
    </row>
    <row r="5" spans="1:18" x14ac:dyDescent="0.3">
      <c r="A5">
        <v>3</v>
      </c>
      <c r="B5" t="s">
        <v>130</v>
      </c>
      <c r="C5">
        <v>2019</v>
      </c>
      <c r="D5" t="s">
        <v>131</v>
      </c>
      <c r="E5" t="s">
        <v>132</v>
      </c>
      <c r="F5" t="s">
        <v>84</v>
      </c>
      <c r="G5" t="s">
        <v>133</v>
      </c>
      <c r="H5" t="s">
        <v>134</v>
      </c>
      <c r="I5">
        <v>7</v>
      </c>
      <c r="J5">
        <v>4.87</v>
      </c>
      <c r="K5">
        <v>0.56000000000000005</v>
      </c>
      <c r="L5">
        <v>7</v>
      </c>
      <c r="M5">
        <v>4.0999999999999996</v>
      </c>
      <c r="N5">
        <v>0.31</v>
      </c>
      <c r="O5">
        <f t="shared" si="0"/>
        <v>0.45260357930533429</v>
      </c>
      <c r="P5">
        <f t="shared" si="1"/>
        <v>1.7012680305838788</v>
      </c>
      <c r="Q5">
        <f t="shared" si="2"/>
        <v>1.5926764541636311</v>
      </c>
      <c r="R5">
        <f t="shared" si="3"/>
        <v>0.62376486274553433</v>
      </c>
    </row>
    <row r="6" spans="1:18" x14ac:dyDescent="0.3">
      <c r="A6">
        <v>4</v>
      </c>
      <c r="B6" t="s">
        <v>141</v>
      </c>
      <c r="C6">
        <v>2020</v>
      </c>
      <c r="D6" t="s">
        <v>140</v>
      </c>
      <c r="E6" t="s">
        <v>142</v>
      </c>
      <c r="F6" t="s">
        <v>143</v>
      </c>
      <c r="G6" t="s">
        <v>144</v>
      </c>
      <c r="H6" t="s">
        <v>145</v>
      </c>
      <c r="I6">
        <v>18</v>
      </c>
      <c r="J6">
        <v>3.25</v>
      </c>
      <c r="K6">
        <f>0.96*(3/4)</f>
        <v>0.72</v>
      </c>
      <c r="L6">
        <v>14</v>
      </c>
      <c r="M6">
        <v>3.26</v>
      </c>
      <c r="N6">
        <f>0.7*(3/4)</f>
        <v>0.52499999999999991</v>
      </c>
      <c r="O6">
        <f t="shared" si="0"/>
        <v>0.6428044025984887</v>
      </c>
      <c r="P6">
        <f t="shared" si="1"/>
        <v>-1.5556831844299035E-2</v>
      </c>
      <c r="Q6">
        <f t="shared" si="2"/>
        <v>-1.5164642806207463E-2</v>
      </c>
      <c r="R6">
        <f t="shared" si="3"/>
        <v>0.35635362839287621</v>
      </c>
    </row>
    <row r="7" spans="1:18" x14ac:dyDescent="0.3">
      <c r="A7">
        <v>5</v>
      </c>
      <c r="B7" t="s">
        <v>146</v>
      </c>
      <c r="C7">
        <v>2018</v>
      </c>
      <c r="D7" t="s">
        <v>148</v>
      </c>
      <c r="E7" t="s">
        <v>147</v>
      </c>
      <c r="F7" t="s">
        <v>84</v>
      </c>
      <c r="G7" t="s">
        <v>149</v>
      </c>
      <c r="H7" t="s">
        <v>150</v>
      </c>
      <c r="I7">
        <v>12</v>
      </c>
      <c r="J7">
        <v>0.108</v>
      </c>
      <c r="K7">
        <v>7.4999999999999997E-2</v>
      </c>
      <c r="L7">
        <v>12</v>
      </c>
      <c r="M7">
        <v>3.7999999999999999E-2</v>
      </c>
      <c r="N7">
        <v>2.3E-2</v>
      </c>
      <c r="O7">
        <f t="shared" si="0"/>
        <v>5.5470712993434652E-2</v>
      </c>
      <c r="P7">
        <f t="shared" si="1"/>
        <v>1.2619271724213279</v>
      </c>
      <c r="Q7">
        <f t="shared" si="2"/>
        <v>1.218412442337834</v>
      </c>
      <c r="R7">
        <f t="shared" si="3"/>
        <v>0.44703794088830068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2027-C5D7-4FCE-B720-F07DC782C0FB}">
  <dimension ref="A1:R12"/>
  <sheetViews>
    <sheetView tabSelected="1" workbookViewId="0">
      <selection activeCell="F19" sqref="F19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151</v>
      </c>
      <c r="C2">
        <v>2001</v>
      </c>
      <c r="D2" t="s">
        <v>152</v>
      </c>
      <c r="E2" t="s">
        <v>153</v>
      </c>
      <c r="F2" t="s">
        <v>154</v>
      </c>
      <c r="G2" t="s">
        <v>85</v>
      </c>
      <c r="H2" t="s">
        <v>155</v>
      </c>
      <c r="I2">
        <v>12</v>
      </c>
      <c r="J2">
        <v>2080</v>
      </c>
      <c r="K2">
        <v>252</v>
      </c>
      <c r="L2">
        <v>13</v>
      </c>
      <c r="M2">
        <v>1337</v>
      </c>
      <c r="N2">
        <v>424</v>
      </c>
      <c r="O2">
        <f t="shared" ref="O2" si="0">SQRT(((I2-1)*POWER(K2,2) + (L2-1)*POWER(N2,2))/((I2-1)+(L2-1)))</f>
        <v>352.37430691512265</v>
      </c>
      <c r="P2">
        <f t="shared" ref="P2" si="1">(J2-M2)/O2</f>
        <v>2.1085532782018879</v>
      </c>
      <c r="Q2">
        <f t="shared" ref="Q2" si="2">P2*(1- (3/(4*(I2+L2)-9)))</f>
        <v>2.039040532766661</v>
      </c>
      <c r="R2">
        <f t="shared" ref="R2" si="3">SQRT((I2+L2)/(I2*L2)+(POWER(P2,2)/(2*(I2+L2))))</f>
        <v>0.49917566927558565</v>
      </c>
    </row>
    <row r="3" spans="1:18" x14ac:dyDescent="0.3">
      <c r="A3">
        <v>1</v>
      </c>
      <c r="B3" t="s">
        <v>156</v>
      </c>
      <c r="C3">
        <v>2012</v>
      </c>
      <c r="D3" t="s">
        <v>157</v>
      </c>
      <c r="E3" t="s">
        <v>94</v>
      </c>
      <c r="F3" t="s">
        <v>44</v>
      </c>
      <c r="G3" t="s">
        <v>138</v>
      </c>
      <c r="H3" t="s">
        <v>158</v>
      </c>
      <c r="I3">
        <v>4</v>
      </c>
      <c r="J3">
        <v>176.5</v>
      </c>
      <c r="K3">
        <v>4</v>
      </c>
      <c r="L3">
        <v>4</v>
      </c>
      <c r="M3">
        <v>42.5</v>
      </c>
      <c r="N3">
        <v>15.84</v>
      </c>
      <c r="O3">
        <f t="shared" ref="O3" si="4">SQRT(((I3-1)*POWER(K3,2) + (L3-1)*POWER(N3,2))/((I3-1)+(L3-1)))</f>
        <v>11.552177283958207</v>
      </c>
      <c r="P3">
        <f t="shared" ref="P3" si="5">(J3-M3)/O3</f>
        <v>11.59954497807764</v>
      </c>
      <c r="Q3">
        <f t="shared" ref="Q3" si="6">P3*(1- (3/(4*(I3+L3)-9)))</f>
        <v>10.086560850502295</v>
      </c>
      <c r="R3">
        <f t="shared" ref="R3" si="7">SQRT((I3+L3)/(I3*L3)+(POWER(P3,2)/(2*(I3+L3))))</f>
        <v>2.9848517938338057</v>
      </c>
    </row>
    <row r="4" spans="1:18" x14ac:dyDescent="0.3">
      <c r="A4">
        <v>2</v>
      </c>
      <c r="B4" t="s">
        <v>8</v>
      </c>
      <c r="C4">
        <v>2022</v>
      </c>
      <c r="D4" t="s">
        <v>73</v>
      </c>
      <c r="E4" t="s">
        <v>15</v>
      </c>
      <c r="F4" t="s">
        <v>74</v>
      </c>
      <c r="G4" t="s">
        <v>22</v>
      </c>
      <c r="H4" t="s">
        <v>75</v>
      </c>
      <c r="I4">
        <v>30</v>
      </c>
      <c r="J4">
        <v>33.83</v>
      </c>
      <c r="K4">
        <v>17.940000000000001</v>
      </c>
      <c r="L4">
        <v>30</v>
      </c>
      <c r="M4">
        <v>15.8</v>
      </c>
      <c r="N4">
        <v>5.59</v>
      </c>
      <c r="O4">
        <f t="shared" ref="O4:O10" si="8">SQRT(((I4-1)*POWER(K4,2) + (L4-1)*POWER(N4,2))/((I4-1)+(L4-1)))</f>
        <v>13.287055731048923</v>
      </c>
      <c r="P4">
        <f t="shared" ref="P4:P10" si="9">(J4-M4)/O4</f>
        <v>1.3569597633182089</v>
      </c>
      <c r="Q4">
        <f t="shared" ref="Q4:Q10" si="10">P4*(1- (3/(4*(I4+L4)-9)))</f>
        <v>1.3393369092491412</v>
      </c>
      <c r="R4">
        <f t="shared" ref="R4:R10" si="11">SQRT((I4+L4)/(I4*L4)+(POWER(P4,2)/(2*(I4+L4))))</f>
        <v>0.28637591552690278</v>
      </c>
    </row>
    <row r="5" spans="1:18" x14ac:dyDescent="0.3">
      <c r="A5">
        <v>3</v>
      </c>
      <c r="B5" t="s">
        <v>159</v>
      </c>
      <c r="C5">
        <v>2003</v>
      </c>
      <c r="D5" t="s">
        <v>160</v>
      </c>
      <c r="E5" t="s">
        <v>161</v>
      </c>
      <c r="F5" t="s">
        <v>154</v>
      </c>
      <c r="G5" t="s">
        <v>162</v>
      </c>
      <c r="H5" t="s">
        <v>163</v>
      </c>
      <c r="I5">
        <v>16</v>
      </c>
      <c r="J5">
        <v>80</v>
      </c>
      <c r="K5">
        <f>(101-72)*(3/4)</f>
        <v>21.75</v>
      </c>
      <c r="L5">
        <v>14</v>
      </c>
      <c r="M5">
        <v>57</v>
      </c>
      <c r="N5">
        <f>(68-52)*(3/4)</f>
        <v>12</v>
      </c>
      <c r="O5">
        <f t="shared" si="8"/>
        <v>17.896465632712431</v>
      </c>
      <c r="P5">
        <f t="shared" si="9"/>
        <v>1.2851699588078982</v>
      </c>
      <c r="Q5">
        <f t="shared" si="10"/>
        <v>1.250435635596874</v>
      </c>
      <c r="R5">
        <f t="shared" si="11"/>
        <v>0.40181621231471359</v>
      </c>
    </row>
    <row r="6" spans="1:18" x14ac:dyDescent="0.3">
      <c r="A6">
        <v>4</v>
      </c>
      <c r="B6" t="s">
        <v>41</v>
      </c>
      <c r="C6">
        <v>2002</v>
      </c>
      <c r="D6" t="s">
        <v>42</v>
      </c>
      <c r="E6" t="s">
        <v>43</v>
      </c>
      <c r="F6" t="s">
        <v>44</v>
      </c>
      <c r="G6" t="s">
        <v>164</v>
      </c>
      <c r="H6" t="s">
        <v>165</v>
      </c>
      <c r="I6">
        <v>15</v>
      </c>
      <c r="J6">
        <v>292.5</v>
      </c>
      <c r="K6">
        <v>31.4</v>
      </c>
      <c r="L6">
        <v>9</v>
      </c>
      <c r="M6">
        <v>125.7</v>
      </c>
      <c r="N6">
        <v>17.2</v>
      </c>
      <c r="O6">
        <f t="shared" si="8"/>
        <v>27.111017552413497</v>
      </c>
      <c r="P6">
        <f t="shared" si="9"/>
        <v>6.1524802482063619</v>
      </c>
      <c r="Q6">
        <f t="shared" si="10"/>
        <v>5.9403257568889014</v>
      </c>
      <c r="R6">
        <f t="shared" si="11"/>
        <v>0.98304741469556833</v>
      </c>
    </row>
    <row r="7" spans="1:18" x14ac:dyDescent="0.3">
      <c r="A7">
        <v>5</v>
      </c>
      <c r="B7" t="s">
        <v>166</v>
      </c>
      <c r="C7">
        <v>2007</v>
      </c>
      <c r="D7" t="s">
        <v>167</v>
      </c>
      <c r="E7" t="s">
        <v>168</v>
      </c>
      <c r="F7" t="s">
        <v>44</v>
      </c>
      <c r="G7" t="s">
        <v>164</v>
      </c>
      <c r="H7" t="s">
        <v>169</v>
      </c>
      <c r="I7">
        <v>14</v>
      </c>
      <c r="J7">
        <v>1708</v>
      </c>
      <c r="K7">
        <f>(2303-1015)*(3/4)</f>
        <v>966</v>
      </c>
      <c r="L7">
        <v>33</v>
      </c>
      <c r="M7">
        <v>1771</v>
      </c>
      <c r="N7">
        <f>(2303-1015)*(3/4)</f>
        <v>966</v>
      </c>
      <c r="O7">
        <f t="shared" si="8"/>
        <v>966</v>
      </c>
      <c r="P7">
        <f t="shared" si="9"/>
        <v>-6.5217391304347824E-2</v>
      </c>
      <c r="Q7">
        <f t="shared" si="10"/>
        <v>-6.4124362399805679E-2</v>
      </c>
      <c r="R7">
        <f t="shared" si="11"/>
        <v>0.3190248418076812</v>
      </c>
    </row>
    <row r="8" spans="1:18" x14ac:dyDescent="0.3">
      <c r="A8">
        <v>6</v>
      </c>
      <c r="B8" t="s">
        <v>170</v>
      </c>
      <c r="C8">
        <v>2007</v>
      </c>
      <c r="D8" t="s">
        <v>171</v>
      </c>
      <c r="E8" t="s">
        <v>43</v>
      </c>
      <c r="F8" t="s">
        <v>84</v>
      </c>
      <c r="G8" t="s">
        <v>172</v>
      </c>
      <c r="H8" t="s">
        <v>173</v>
      </c>
      <c r="I8">
        <v>15</v>
      </c>
      <c r="J8">
        <v>37</v>
      </c>
      <c r="K8">
        <v>3</v>
      </c>
      <c r="L8">
        <v>16</v>
      </c>
      <c r="M8">
        <v>31</v>
      </c>
      <c r="N8">
        <v>2</v>
      </c>
      <c r="O8">
        <f t="shared" si="8"/>
        <v>2.5325467623418674</v>
      </c>
      <c r="P8">
        <f t="shared" si="9"/>
        <v>2.3691566486423925</v>
      </c>
      <c r="Q8">
        <f t="shared" si="10"/>
        <v>2.3073525621560691</v>
      </c>
      <c r="R8">
        <f t="shared" si="11"/>
        <v>0.46871885374613781</v>
      </c>
    </row>
    <row r="9" spans="1:18" x14ac:dyDescent="0.3">
      <c r="A9">
        <v>7</v>
      </c>
      <c r="B9" t="s">
        <v>174</v>
      </c>
      <c r="C9">
        <v>2021</v>
      </c>
      <c r="D9" t="s">
        <v>175</v>
      </c>
      <c r="E9" t="s">
        <v>94</v>
      </c>
      <c r="H9" t="s">
        <v>176</v>
      </c>
      <c r="I9">
        <f>2*12</f>
        <v>24</v>
      </c>
      <c r="J9">
        <v>100</v>
      </c>
      <c r="K9">
        <v>20</v>
      </c>
      <c r="L9">
        <f>13*2</f>
        <v>26</v>
      </c>
      <c r="M9">
        <v>62</v>
      </c>
      <c r="N9">
        <v>5</v>
      </c>
      <c r="O9">
        <f t="shared" si="8"/>
        <v>14.306903927824496</v>
      </c>
      <c r="P9">
        <f t="shared" si="9"/>
        <v>2.6560603322495555</v>
      </c>
      <c r="Q9">
        <f t="shared" si="10"/>
        <v>2.614342107135688</v>
      </c>
      <c r="R9">
        <f t="shared" si="11"/>
        <v>0.38816848147898525</v>
      </c>
    </row>
    <row r="10" spans="1:18" x14ac:dyDescent="0.3">
      <c r="A10">
        <v>8</v>
      </c>
      <c r="B10" t="s">
        <v>28</v>
      </c>
      <c r="C10">
        <v>2016</v>
      </c>
      <c r="D10" t="s">
        <v>177</v>
      </c>
      <c r="E10" t="s">
        <v>30</v>
      </c>
      <c r="F10" t="s">
        <v>143</v>
      </c>
      <c r="G10" t="s">
        <v>162</v>
      </c>
      <c r="H10" t="s">
        <v>178</v>
      </c>
      <c r="I10">
        <f>(14/18)*135</f>
        <v>105</v>
      </c>
      <c r="J10">
        <v>725</v>
      </c>
      <c r="K10">
        <v>50</v>
      </c>
      <c r="L10">
        <v>30</v>
      </c>
      <c r="M10">
        <v>425</v>
      </c>
      <c r="N10">
        <v>25</v>
      </c>
      <c r="O10">
        <f t="shared" si="8"/>
        <v>45.729262114469272</v>
      </c>
      <c r="P10">
        <f t="shared" si="9"/>
        <v>6.5603507716577933</v>
      </c>
      <c r="Q10">
        <f t="shared" si="10"/>
        <v>6.5232866430043597</v>
      </c>
      <c r="R10">
        <f t="shared" si="11"/>
        <v>0.44973091056854569</v>
      </c>
    </row>
    <row r="11" spans="1:18" x14ac:dyDescent="0.3">
      <c r="A11">
        <v>9</v>
      </c>
      <c r="B11" t="s">
        <v>179</v>
      </c>
      <c r="C11">
        <v>2010</v>
      </c>
      <c r="D11" t="s">
        <v>180</v>
      </c>
      <c r="E11" t="s">
        <v>37</v>
      </c>
      <c r="F11" t="s">
        <v>44</v>
      </c>
      <c r="G11" t="s">
        <v>181</v>
      </c>
      <c r="H11" t="s">
        <v>182</v>
      </c>
      <c r="I11">
        <v>6</v>
      </c>
      <c r="J11">
        <v>26.83</v>
      </c>
      <c r="K11">
        <v>7.91</v>
      </c>
      <c r="L11">
        <v>8</v>
      </c>
      <c r="M11">
        <v>22.59</v>
      </c>
      <c r="N11">
        <v>5.61</v>
      </c>
      <c r="O11">
        <f t="shared" ref="O11:O12" si="12">SQRT(((I11-1)*POWER(K11,2) + (L11-1)*POWER(N11,2))/((I11-1)+(L11-1)))</f>
        <v>6.6654907296212382</v>
      </c>
      <c r="P11">
        <f t="shared" ref="P11:P12" si="13">(J11-M11)/O11</f>
        <v>0.63611220418589243</v>
      </c>
      <c r="Q11">
        <f t="shared" ref="Q11:Q12" si="14">P11*(1- (3/(4*(I11+L11)-9)))</f>
        <v>0.59550929753572912</v>
      </c>
      <c r="R11">
        <f t="shared" ref="R11:R12" si="15">SQRT((I11+L11)/(I11*L11)+(POWER(P11,2)/(2*(I11+L11))))</f>
        <v>0.55327935991365229</v>
      </c>
    </row>
    <row r="12" spans="1:18" x14ac:dyDescent="0.3">
      <c r="A12">
        <v>10</v>
      </c>
      <c r="B12" t="s">
        <v>96</v>
      </c>
      <c r="C12">
        <v>2013</v>
      </c>
      <c r="D12" t="s">
        <v>186</v>
      </c>
      <c r="E12" t="s">
        <v>43</v>
      </c>
      <c r="F12" t="s">
        <v>84</v>
      </c>
      <c r="H12" t="s">
        <v>185</v>
      </c>
      <c r="I12">
        <v>11</v>
      </c>
      <c r="J12">
        <v>700</v>
      </c>
      <c r="K12">
        <f>500*(3/4)</f>
        <v>375</v>
      </c>
      <c r="L12">
        <v>7</v>
      </c>
      <c r="M12">
        <v>400</v>
      </c>
      <c r="N12">
        <v>50</v>
      </c>
      <c r="O12">
        <f t="shared" si="12"/>
        <v>298.04047543915908</v>
      </c>
      <c r="P12">
        <f t="shared" si="13"/>
        <v>1.0065746927760519</v>
      </c>
      <c r="Q12">
        <f t="shared" si="14"/>
        <v>0.95864256454862085</v>
      </c>
      <c r="R12">
        <f t="shared" si="15"/>
        <v>0.51177189546932644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C3E7-A606-4632-BFE8-84337DA69629}">
  <dimension ref="A1:R2"/>
  <sheetViews>
    <sheetView workbookViewId="0">
      <selection activeCell="D6" sqref="D6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141</v>
      </c>
      <c r="C2">
        <v>2020</v>
      </c>
      <c r="D2" t="s">
        <v>140</v>
      </c>
      <c r="E2" t="s">
        <v>142</v>
      </c>
      <c r="F2" t="s">
        <v>143</v>
      </c>
      <c r="G2" t="s">
        <v>144</v>
      </c>
      <c r="H2" t="s">
        <v>145</v>
      </c>
      <c r="I2">
        <v>18</v>
      </c>
      <c r="J2">
        <v>22.7</v>
      </c>
      <c r="K2">
        <f>(3/4)*20.87</f>
        <v>15.6525</v>
      </c>
      <c r="L2">
        <v>14</v>
      </c>
      <c r="M2">
        <v>25.28</v>
      </c>
      <c r="N2">
        <f>(3/4)*20.08</f>
        <v>15.059999999999999</v>
      </c>
      <c r="O2">
        <f>SQRT(((I2-1)*POWER(K2,2) + (L2-1)*POWER(N2,2))/((I2-1)+(L2-1)))</f>
        <v>15.398549343201131</v>
      </c>
      <c r="P2">
        <f>(J2-M2)/O2</f>
        <v>-0.16754825032522563</v>
      </c>
      <c r="Q2">
        <f>P2*(1- (3/(4*(I2+L2)-9)))</f>
        <v>-0.16332434485484179</v>
      </c>
      <c r="R2">
        <f>SQRT((I2+L2)/(I2*L2)+(POWER(P2,2)/(2*(I2+L2))))</f>
        <v>0.35696324528871254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task_time</vt:lpstr>
      <vt:lpstr>tool_path_length</vt:lpstr>
      <vt:lpstr>tool_velocity</vt:lpstr>
      <vt:lpstr>tool_grasps</vt:lpstr>
      <vt:lpstr>tool_bimanual</vt:lpstr>
      <vt:lpstr>pupil_dilation</vt:lpstr>
      <vt:lpstr>tool_movements</vt:lpstr>
      <vt:lpstr>pupil_blinks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 Koskinen</dc:creator>
  <cp:lastModifiedBy>Jani Koskinen</cp:lastModifiedBy>
  <dcterms:created xsi:type="dcterms:W3CDTF">2015-06-05T18:17:20Z</dcterms:created>
  <dcterms:modified xsi:type="dcterms:W3CDTF">2022-06-14T10:53:18Z</dcterms:modified>
</cp:coreProperties>
</file>