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ankos\tyokansio\projektit\meta-analysis\data\"/>
    </mc:Choice>
  </mc:AlternateContent>
  <xr:revisionPtr revIDLastSave="0" documentId="13_ncr:1_{392E38B1-CA16-42F8-AAA0-58C645E7166A}" xr6:coauthVersionLast="47" xr6:coauthVersionMax="47" xr10:uidLastSave="{00000000-0000-0000-0000-000000000000}"/>
  <bookViews>
    <workbookView xWindow="28680" yWindow="-120" windowWidth="29040" windowHeight="15840" firstSheet="4" activeTab="12" xr2:uid="{00000000-000D-0000-FFFF-FFFF00000000}"/>
  </bookViews>
  <sheets>
    <sheet name="tool_path_length" sheetId="2" r:id="rId1"/>
    <sheet name="task_time" sheetId="1" r:id="rId2"/>
    <sheet name="tool_velocity" sheetId="3" r:id="rId3"/>
    <sheet name="tool_idle" sheetId="11" r:id="rId4"/>
    <sheet name="tool_movements" sheetId="8" r:id="rId5"/>
    <sheet name="tool_jerk" sheetId="10" r:id="rId6"/>
    <sheet name="tool_acceleration" sheetId="15" r:id="rId7"/>
    <sheet name="tool_grasps" sheetId="4" r:id="rId8"/>
    <sheet name="tool_bimanual" sheetId="5" r:id="rId9"/>
    <sheet name="pupil_dilation" sheetId="6" r:id="rId10"/>
    <sheet name="pupil_blinks" sheetId="7" r:id="rId11"/>
    <sheet name="pupil_ICA" sheetId="16" r:id="rId12"/>
    <sheet name="tool_force" sheetId="14" r:id="rId13"/>
    <sheet name="scale_UWOMSAb" sheetId="12" r:id="rId14"/>
    <sheet name="scale_OSATS" sheetId="1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7" i="2" l="1"/>
  <c r="P27" i="2" s="1"/>
  <c r="O40" i="1"/>
  <c r="P40" i="1" s="1"/>
  <c r="O39" i="1"/>
  <c r="K39" i="1"/>
  <c r="J39" i="1"/>
  <c r="P39" i="1" s="1"/>
  <c r="N39" i="1"/>
  <c r="M39" i="1"/>
  <c r="O26" i="2"/>
  <c r="P26" i="2"/>
  <c r="Q26" i="2"/>
  <c r="R26" i="2"/>
  <c r="O38" i="1"/>
  <c r="P38" i="1" s="1"/>
  <c r="O37" i="1"/>
  <c r="P37" i="1" s="1"/>
  <c r="O18" i="8"/>
  <c r="P18" i="8" s="1"/>
  <c r="O14" i="14"/>
  <c r="P14" i="14" s="1"/>
  <c r="L7" i="14"/>
  <c r="I7" i="14"/>
  <c r="O7" i="14"/>
  <c r="P7" i="14" s="1"/>
  <c r="O9" i="11"/>
  <c r="P9" i="11" s="1"/>
  <c r="O36" i="1"/>
  <c r="P36" i="1" s="1"/>
  <c r="O13" i="14"/>
  <c r="P13" i="14" s="1"/>
  <c r="O17" i="8"/>
  <c r="P17" i="8" s="1"/>
  <c r="O25" i="2"/>
  <c r="P25" i="2" s="1"/>
  <c r="O35" i="1"/>
  <c r="P35" i="1" s="1"/>
  <c r="N34" i="1"/>
  <c r="K34" i="1"/>
  <c r="N16" i="8"/>
  <c r="K24" i="2"/>
  <c r="O24" i="2" s="1"/>
  <c r="P24" i="2" s="1"/>
  <c r="N24" i="2"/>
  <c r="O16" i="8"/>
  <c r="P16" i="8" s="1"/>
  <c r="R16" i="8" s="1"/>
  <c r="K16" i="8"/>
  <c r="O15" i="10"/>
  <c r="P15" i="10" s="1"/>
  <c r="Q15" i="10" s="1"/>
  <c r="L15" i="10"/>
  <c r="I15" i="10"/>
  <c r="O17" i="3"/>
  <c r="P17" i="3" s="1"/>
  <c r="Q17" i="3" s="1"/>
  <c r="L17" i="3"/>
  <c r="I17" i="3"/>
  <c r="O33" i="1"/>
  <c r="P33" i="1" s="1"/>
  <c r="Q33" i="1" s="1"/>
  <c r="L33" i="1"/>
  <c r="I33" i="1"/>
  <c r="L23" i="2"/>
  <c r="I23" i="2"/>
  <c r="O23" i="2" s="1"/>
  <c r="P23" i="2" s="1"/>
  <c r="O32" i="1"/>
  <c r="P32" i="1" s="1"/>
  <c r="O15" i="8"/>
  <c r="P15" i="8" s="1"/>
  <c r="O8" i="5"/>
  <c r="P8" i="5" s="1"/>
  <c r="O9" i="15"/>
  <c r="P9" i="15" s="1"/>
  <c r="O16" i="3"/>
  <c r="P16" i="3" s="1"/>
  <c r="O22" i="2"/>
  <c r="P22" i="2"/>
  <c r="Q22" i="2"/>
  <c r="R22" i="2"/>
  <c r="K8" i="15"/>
  <c r="O8" i="15"/>
  <c r="P8" i="15" s="1"/>
  <c r="K15" i="3"/>
  <c r="O15" i="3"/>
  <c r="P15" i="3" s="1"/>
  <c r="O21" i="2"/>
  <c r="P21" i="2" s="1"/>
  <c r="K21" i="2"/>
  <c r="O7" i="15"/>
  <c r="P7" i="15" s="1"/>
  <c r="R7" i="15" s="1"/>
  <c r="O14" i="3"/>
  <c r="P14" i="3" s="1"/>
  <c r="O20" i="2"/>
  <c r="P20" i="2" s="1"/>
  <c r="N14" i="8"/>
  <c r="K14" i="8"/>
  <c r="O14" i="8"/>
  <c r="P14" i="8" s="1"/>
  <c r="N19" i="2"/>
  <c r="K19" i="2"/>
  <c r="O19" i="2"/>
  <c r="P19" i="2" s="1"/>
  <c r="N31" i="1"/>
  <c r="K31" i="1"/>
  <c r="O31" i="1" s="1"/>
  <c r="P31" i="1" s="1"/>
  <c r="O12" i="14"/>
  <c r="P12" i="14" s="1"/>
  <c r="L11" i="14"/>
  <c r="I11" i="14"/>
  <c r="O11" i="14" s="1"/>
  <c r="P11" i="14" s="1"/>
  <c r="L30" i="1"/>
  <c r="I30" i="1"/>
  <c r="O10" i="14"/>
  <c r="P10" i="14" s="1"/>
  <c r="L10" i="14"/>
  <c r="I10" i="14"/>
  <c r="O9" i="14"/>
  <c r="P9" i="14" s="1"/>
  <c r="N29" i="1"/>
  <c r="K29" i="1"/>
  <c r="O29" i="1" s="1"/>
  <c r="P29" i="1" s="1"/>
  <c r="N13" i="3"/>
  <c r="K13" i="3"/>
  <c r="O13" i="3" s="1"/>
  <c r="P13" i="3" s="1"/>
  <c r="O14" i="10"/>
  <c r="P14" i="10"/>
  <c r="Q14" i="10" s="1"/>
  <c r="K14" i="10"/>
  <c r="N28" i="1"/>
  <c r="O28" i="1" s="1"/>
  <c r="P28" i="1" s="1"/>
  <c r="K28" i="1"/>
  <c r="N12" i="3"/>
  <c r="K12" i="3"/>
  <c r="O12" i="3" s="1"/>
  <c r="P12" i="3" s="1"/>
  <c r="O27" i="1"/>
  <c r="P27" i="1" s="1"/>
  <c r="O18" i="2"/>
  <c r="P18" i="2" s="1"/>
  <c r="O13" i="8"/>
  <c r="P13" i="8" s="1"/>
  <c r="O10" i="13"/>
  <c r="P10" i="13" s="1"/>
  <c r="O8" i="14"/>
  <c r="P8" i="14" s="1"/>
  <c r="K8" i="14"/>
  <c r="N8" i="14"/>
  <c r="O9" i="13"/>
  <c r="P9" i="13" s="1"/>
  <c r="N9" i="13"/>
  <c r="K9" i="13"/>
  <c r="N3" i="7"/>
  <c r="O3" i="7" s="1"/>
  <c r="P3" i="7" s="1"/>
  <c r="K3" i="7"/>
  <c r="O8" i="6"/>
  <c r="P8" i="6" s="1"/>
  <c r="N8" i="6"/>
  <c r="K8" i="6"/>
  <c r="O8" i="13"/>
  <c r="P8" i="13"/>
  <c r="R8" i="13" s="1"/>
  <c r="Q8" i="13"/>
  <c r="N8" i="13"/>
  <c r="K8" i="13"/>
  <c r="O7" i="13"/>
  <c r="P7" i="13" s="1"/>
  <c r="N7" i="13"/>
  <c r="K7" i="13"/>
  <c r="O6" i="13"/>
  <c r="P6" i="13" s="1"/>
  <c r="N6" i="13"/>
  <c r="O5" i="13"/>
  <c r="P5" i="13" s="1"/>
  <c r="N5" i="13"/>
  <c r="K5" i="13"/>
  <c r="O4" i="13"/>
  <c r="P4" i="13" s="1"/>
  <c r="O3" i="13"/>
  <c r="P3" i="13" s="1"/>
  <c r="O2" i="13"/>
  <c r="P2" i="13" s="1"/>
  <c r="O3" i="11"/>
  <c r="P3" i="11" s="1"/>
  <c r="O4" i="11"/>
  <c r="P4" i="11" s="1"/>
  <c r="O5" i="11"/>
  <c r="P5" i="11" s="1"/>
  <c r="O6" i="11"/>
  <c r="P6" i="11" s="1"/>
  <c r="O7" i="11"/>
  <c r="P7" i="11" s="1"/>
  <c r="O8" i="11"/>
  <c r="P8" i="11" s="1"/>
  <c r="O3" i="2"/>
  <c r="P3" i="2" s="1"/>
  <c r="O4" i="2"/>
  <c r="P4" i="2" s="1"/>
  <c r="O5" i="2"/>
  <c r="P5" i="2" s="1"/>
  <c r="O6" i="2"/>
  <c r="P6" i="2" s="1"/>
  <c r="O7" i="2"/>
  <c r="P7" i="2" s="1"/>
  <c r="O8" i="2"/>
  <c r="P8" i="2" s="1"/>
  <c r="O9" i="2"/>
  <c r="P9" i="2" s="1"/>
  <c r="O10" i="2"/>
  <c r="P10" i="2" s="1"/>
  <c r="O11" i="2"/>
  <c r="P11" i="2" s="1"/>
  <c r="O12" i="2"/>
  <c r="P12" i="2" s="1"/>
  <c r="O13" i="2"/>
  <c r="P13" i="2" s="1"/>
  <c r="O14" i="2"/>
  <c r="P14" i="2" s="1"/>
  <c r="O15" i="2"/>
  <c r="P15" i="2" s="1"/>
  <c r="O16" i="2"/>
  <c r="P16" i="2" s="1"/>
  <c r="O17" i="2"/>
  <c r="P17" i="2" s="1"/>
  <c r="O3" i="1"/>
  <c r="P3" i="1"/>
  <c r="Q3" i="1" s="1"/>
  <c r="O6" i="1"/>
  <c r="P6" i="1" s="1"/>
  <c r="O7" i="1"/>
  <c r="P7" i="1" s="1"/>
  <c r="O8" i="1"/>
  <c r="P8" i="1" s="1"/>
  <c r="O9" i="1"/>
  <c r="P9" i="1" s="1"/>
  <c r="O10" i="1"/>
  <c r="P10" i="1" s="1"/>
  <c r="O11" i="1"/>
  <c r="P11" i="1" s="1"/>
  <c r="O12" i="1"/>
  <c r="P12" i="1" s="1"/>
  <c r="Q12" i="1" s="1"/>
  <c r="O13" i="1"/>
  <c r="P13" i="1" s="1"/>
  <c r="O14" i="1"/>
  <c r="P14" i="1" s="1"/>
  <c r="O15" i="1"/>
  <c r="P15" i="1"/>
  <c r="Q15" i="1" s="1"/>
  <c r="O16" i="1"/>
  <c r="P16" i="1" s="1"/>
  <c r="O17" i="1"/>
  <c r="P17" i="1" s="1"/>
  <c r="O18" i="1"/>
  <c r="P18" i="1" s="1"/>
  <c r="Q18" i="1" s="1"/>
  <c r="O19" i="1"/>
  <c r="P19" i="1" s="1"/>
  <c r="O20" i="1"/>
  <c r="P20" i="1" s="1"/>
  <c r="O21" i="1"/>
  <c r="P21" i="1" s="1"/>
  <c r="Q21" i="1" s="1"/>
  <c r="O23" i="1"/>
  <c r="P23" i="1" s="1"/>
  <c r="O25" i="1"/>
  <c r="P25" i="1" s="1"/>
  <c r="K6" i="15"/>
  <c r="N6" i="15"/>
  <c r="N26" i="1"/>
  <c r="K26" i="1"/>
  <c r="O26" i="1" s="1"/>
  <c r="P26" i="1" s="1"/>
  <c r="J26" i="1"/>
  <c r="M26" i="1"/>
  <c r="K17" i="2"/>
  <c r="N17" i="2"/>
  <c r="O13" i="10"/>
  <c r="P13" i="10" s="1"/>
  <c r="K13" i="10"/>
  <c r="N13" i="10"/>
  <c r="O11" i="3"/>
  <c r="P11" i="3" s="1"/>
  <c r="O5" i="15"/>
  <c r="P5" i="15" s="1"/>
  <c r="N4" i="15"/>
  <c r="K4" i="15"/>
  <c r="O4" i="15"/>
  <c r="P4" i="15" s="1"/>
  <c r="O3" i="15"/>
  <c r="P3" i="15" s="1"/>
  <c r="N10" i="3"/>
  <c r="K10" i="3"/>
  <c r="O10" i="3" s="1"/>
  <c r="P10" i="3" s="1"/>
  <c r="O2" i="15"/>
  <c r="P2" i="15" s="1"/>
  <c r="N2" i="15"/>
  <c r="K2" i="15"/>
  <c r="O12" i="10"/>
  <c r="P12" i="10" s="1"/>
  <c r="K7" i="14"/>
  <c r="N7" i="14"/>
  <c r="O6" i="14"/>
  <c r="P6" i="14" s="1"/>
  <c r="K6" i="14"/>
  <c r="N6" i="14"/>
  <c r="O5" i="14"/>
  <c r="P5" i="14" s="1"/>
  <c r="O4" i="14"/>
  <c r="P4" i="14" s="1"/>
  <c r="K4" i="14"/>
  <c r="N4" i="14"/>
  <c r="O3" i="14"/>
  <c r="P3" i="14" s="1"/>
  <c r="N3" i="14"/>
  <c r="K3" i="14"/>
  <c r="N2" i="14"/>
  <c r="O2" i="14" s="1"/>
  <c r="M2" i="14"/>
  <c r="K2" i="14"/>
  <c r="O2" i="12"/>
  <c r="P2" i="12" s="1"/>
  <c r="O11" i="10"/>
  <c r="P11" i="10" s="1"/>
  <c r="N11" i="10"/>
  <c r="K11" i="10"/>
  <c r="N10" i="10"/>
  <c r="K10" i="10"/>
  <c r="O10" i="10" s="1"/>
  <c r="P10" i="10" s="1"/>
  <c r="O9" i="3"/>
  <c r="P9" i="3" s="1"/>
  <c r="N8" i="3"/>
  <c r="K8" i="3"/>
  <c r="O8" i="3"/>
  <c r="P8" i="3" s="1"/>
  <c r="L7" i="3"/>
  <c r="I7" i="3"/>
  <c r="O7" i="3" s="1"/>
  <c r="P7" i="3" s="1"/>
  <c r="K6" i="3"/>
  <c r="N6" i="3"/>
  <c r="N16" i="2"/>
  <c r="K16" i="2"/>
  <c r="N5" i="3"/>
  <c r="K5" i="3"/>
  <c r="O5" i="3"/>
  <c r="P5" i="3" s="1"/>
  <c r="O4" i="3"/>
  <c r="P4" i="3" s="1"/>
  <c r="O3" i="3"/>
  <c r="P3" i="3" s="1"/>
  <c r="O2" i="3"/>
  <c r="P2" i="3" s="1"/>
  <c r="O7" i="5"/>
  <c r="P7" i="5" s="1"/>
  <c r="N7" i="5"/>
  <c r="K7" i="5"/>
  <c r="K24" i="1"/>
  <c r="O24" i="1" s="1"/>
  <c r="P24" i="1" s="1"/>
  <c r="Q24" i="1" s="1"/>
  <c r="N24" i="1"/>
  <c r="N15" i="2"/>
  <c r="K15" i="2"/>
  <c r="I13" i="2"/>
  <c r="N22" i="1"/>
  <c r="K22" i="1"/>
  <c r="O22" i="1" s="1"/>
  <c r="P22" i="1" s="1"/>
  <c r="N12" i="2"/>
  <c r="K12" i="2"/>
  <c r="N7" i="11"/>
  <c r="K7" i="11"/>
  <c r="N6" i="11"/>
  <c r="K6" i="11"/>
  <c r="N5" i="11"/>
  <c r="K5" i="11"/>
  <c r="K4" i="11"/>
  <c r="N4" i="11"/>
  <c r="M2" i="11"/>
  <c r="J2" i="11"/>
  <c r="O2" i="11"/>
  <c r="O9" i="10"/>
  <c r="P9" i="10"/>
  <c r="Q9" i="10" s="1"/>
  <c r="N9" i="10"/>
  <c r="K9" i="10"/>
  <c r="O8" i="10"/>
  <c r="P8" i="10" s="1"/>
  <c r="N10" i="2"/>
  <c r="K10" i="2"/>
  <c r="N9" i="2"/>
  <c r="K9" i="2"/>
  <c r="O7" i="10"/>
  <c r="P7" i="10" s="1"/>
  <c r="O6" i="10"/>
  <c r="P6" i="10" s="1"/>
  <c r="N5" i="10"/>
  <c r="K5" i="10"/>
  <c r="O5" i="10"/>
  <c r="P5" i="10" s="1"/>
  <c r="O4" i="10"/>
  <c r="P4" i="10" s="1"/>
  <c r="N4" i="10"/>
  <c r="K4" i="10"/>
  <c r="O3" i="10"/>
  <c r="P3" i="10" s="1"/>
  <c r="O2" i="10"/>
  <c r="P2" i="10" s="1"/>
  <c r="K21" i="1"/>
  <c r="K12" i="8"/>
  <c r="O12" i="8" s="1"/>
  <c r="P12" i="8" s="1"/>
  <c r="K8" i="2"/>
  <c r="N7" i="2"/>
  <c r="K7" i="2"/>
  <c r="O11" i="8"/>
  <c r="P11" i="8" s="1"/>
  <c r="I10" i="8"/>
  <c r="O10" i="8"/>
  <c r="P10" i="8" s="1"/>
  <c r="O9" i="8"/>
  <c r="P9" i="8" s="1"/>
  <c r="L9" i="8"/>
  <c r="I9" i="8"/>
  <c r="O8" i="8"/>
  <c r="P8" i="8" s="1"/>
  <c r="N19" i="1"/>
  <c r="K19" i="1"/>
  <c r="O2" i="2"/>
  <c r="P2" i="2" s="1"/>
  <c r="N2" i="2"/>
  <c r="K2" i="2"/>
  <c r="O7" i="8"/>
  <c r="P7" i="8" s="1"/>
  <c r="N7" i="8"/>
  <c r="K7" i="8"/>
  <c r="O6" i="8"/>
  <c r="P6" i="8" s="1"/>
  <c r="O5" i="8"/>
  <c r="P5" i="8" s="1"/>
  <c r="N5" i="8"/>
  <c r="K5" i="8"/>
  <c r="O4" i="8"/>
  <c r="P4" i="8" s="1"/>
  <c r="O3" i="8"/>
  <c r="P3" i="8" s="1"/>
  <c r="O2" i="8"/>
  <c r="P2" i="8" s="1"/>
  <c r="O7" i="6"/>
  <c r="P7" i="6" s="1"/>
  <c r="N2" i="7"/>
  <c r="K2" i="7"/>
  <c r="O6" i="6"/>
  <c r="P6" i="6" s="1"/>
  <c r="N6" i="6"/>
  <c r="K6" i="6"/>
  <c r="O5" i="6"/>
  <c r="P5" i="6" s="1"/>
  <c r="J4" i="6"/>
  <c r="O4" i="6"/>
  <c r="O3" i="6"/>
  <c r="P3" i="6" s="1"/>
  <c r="O2" i="6"/>
  <c r="P2" i="6" s="1"/>
  <c r="L2" i="6"/>
  <c r="I2" i="6"/>
  <c r="O6" i="5"/>
  <c r="P6" i="5" s="1"/>
  <c r="K5" i="5"/>
  <c r="N5" i="5"/>
  <c r="O5" i="5"/>
  <c r="P5" i="5" s="1"/>
  <c r="O4" i="5"/>
  <c r="P4" i="5" s="1"/>
  <c r="O3" i="5"/>
  <c r="P3" i="5" s="1"/>
  <c r="P2" i="5"/>
  <c r="J2" i="5"/>
  <c r="O2" i="5"/>
  <c r="O3" i="4"/>
  <c r="P3" i="4" s="1"/>
  <c r="R2" i="4"/>
  <c r="Q2" i="4"/>
  <c r="P2" i="4"/>
  <c r="O2" i="4"/>
  <c r="O2" i="1"/>
  <c r="P2" i="1" s="1"/>
  <c r="I5" i="1"/>
  <c r="O5" i="1" s="1"/>
  <c r="P5" i="1" s="1"/>
  <c r="N4" i="1"/>
  <c r="K4" i="1"/>
  <c r="O4" i="1" s="1"/>
  <c r="P4" i="1" s="1"/>
  <c r="R2" i="1" l="1"/>
  <c r="Q2" i="1"/>
  <c r="Q39" i="1"/>
  <c r="R39" i="1"/>
  <c r="O34" i="1"/>
  <c r="P34" i="1" s="1"/>
  <c r="R34" i="1" s="1"/>
  <c r="R27" i="2"/>
  <c r="Q27" i="2"/>
  <c r="R40" i="1"/>
  <c r="Q40" i="1"/>
  <c r="R38" i="1"/>
  <c r="Q38" i="1"/>
  <c r="Q37" i="1"/>
  <c r="R37" i="1"/>
  <c r="R18" i="8"/>
  <c r="Q18" i="8"/>
  <c r="Q14" i="14"/>
  <c r="R14" i="14"/>
  <c r="R9" i="11"/>
  <c r="Q9" i="11"/>
  <c r="R36" i="1"/>
  <c r="Q36" i="1"/>
  <c r="Q13" i="14"/>
  <c r="R13" i="14"/>
  <c r="R17" i="8"/>
  <c r="Q17" i="8"/>
  <c r="Q35" i="1"/>
  <c r="R35" i="1"/>
  <c r="R25" i="2"/>
  <c r="Q25" i="2"/>
  <c r="Q16" i="8"/>
  <c r="R24" i="2"/>
  <c r="Q24" i="2"/>
  <c r="R15" i="10"/>
  <c r="R17" i="3"/>
  <c r="R33" i="1"/>
  <c r="R23" i="2"/>
  <c r="Q23" i="2"/>
  <c r="R32" i="1"/>
  <c r="Q32" i="1"/>
  <c r="R15" i="8"/>
  <c r="Q15" i="8"/>
  <c r="R8" i="5"/>
  <c r="Q8" i="5"/>
  <c r="R9" i="15"/>
  <c r="Q9" i="15"/>
  <c r="R16" i="3"/>
  <c r="Q16" i="3"/>
  <c r="R8" i="15"/>
  <c r="Q8" i="15"/>
  <c r="R15" i="3"/>
  <c r="Q15" i="3"/>
  <c r="R21" i="2"/>
  <c r="Q21" i="2"/>
  <c r="Q7" i="15"/>
  <c r="R14" i="3"/>
  <c r="Q14" i="3"/>
  <c r="Q20" i="2"/>
  <c r="R20" i="2"/>
  <c r="R14" i="8"/>
  <c r="Q14" i="8"/>
  <c r="R19" i="2"/>
  <c r="Q19" i="2"/>
  <c r="Q31" i="1"/>
  <c r="R31" i="1"/>
  <c r="Q12" i="14"/>
  <c r="R12" i="14"/>
  <c r="Q11" i="14"/>
  <c r="R11" i="14"/>
  <c r="O30" i="1"/>
  <c r="P30" i="1" s="1"/>
  <c r="Q30" i="1" s="1"/>
  <c r="Q10" i="14"/>
  <c r="R10" i="14"/>
  <c r="Q9" i="14"/>
  <c r="R9" i="14"/>
  <c r="R29" i="1"/>
  <c r="Q29" i="1"/>
  <c r="R13" i="3"/>
  <c r="Q13" i="3"/>
  <c r="R14" i="10"/>
  <c r="R28" i="1"/>
  <c r="Q28" i="1"/>
  <c r="R12" i="3"/>
  <c r="Q12" i="3"/>
  <c r="R27" i="1"/>
  <c r="Q27" i="1"/>
  <c r="R18" i="2"/>
  <c r="Q18" i="2"/>
  <c r="Q13" i="8"/>
  <c r="R13" i="8"/>
  <c r="R10" i="13"/>
  <c r="Q10" i="13"/>
  <c r="Q8" i="14"/>
  <c r="R8" i="14"/>
  <c r="R9" i="13"/>
  <c r="Q9" i="13"/>
  <c r="R3" i="7"/>
  <c r="Q3" i="7"/>
  <c r="R8" i="6"/>
  <c r="Q8" i="6"/>
  <c r="R7" i="13"/>
  <c r="Q7" i="13"/>
  <c r="Q6" i="13"/>
  <c r="R6" i="13"/>
  <c r="Q4" i="13"/>
  <c r="R4" i="13"/>
  <c r="Q5" i="13"/>
  <c r="R5" i="13"/>
  <c r="Q3" i="13"/>
  <c r="R3" i="13"/>
  <c r="R2" i="13"/>
  <c r="Q2" i="13"/>
  <c r="Q5" i="11"/>
  <c r="R5" i="11"/>
  <c r="Q4" i="11"/>
  <c r="R4" i="11"/>
  <c r="R3" i="11"/>
  <c r="Q3" i="11"/>
  <c r="Q8" i="11"/>
  <c r="R8" i="11"/>
  <c r="Q6" i="11"/>
  <c r="R6" i="11"/>
  <c r="Q7" i="11"/>
  <c r="R7" i="11"/>
  <c r="Q8" i="2"/>
  <c r="R8" i="2"/>
  <c r="Q17" i="2"/>
  <c r="R17" i="2"/>
  <c r="Q4" i="2"/>
  <c r="R4" i="2"/>
  <c r="Q15" i="2"/>
  <c r="R15" i="2"/>
  <c r="Q3" i="2"/>
  <c r="R3" i="2"/>
  <c r="Q14" i="2"/>
  <c r="R14" i="2"/>
  <c r="Q13" i="2"/>
  <c r="R13" i="2"/>
  <c r="Q16" i="2"/>
  <c r="R16" i="2"/>
  <c r="Q10" i="2"/>
  <c r="R10" i="2"/>
  <c r="Q5" i="2"/>
  <c r="R5" i="2"/>
  <c r="Q12" i="2"/>
  <c r="R12" i="2"/>
  <c r="Q11" i="2"/>
  <c r="R11" i="2"/>
  <c r="Q9" i="2"/>
  <c r="R9" i="2"/>
  <c r="Q7" i="2"/>
  <c r="R7" i="2"/>
  <c r="Q6" i="2"/>
  <c r="R6" i="2"/>
  <c r="Q25" i="1"/>
  <c r="R25" i="1"/>
  <c r="Q14" i="1"/>
  <c r="R14" i="1"/>
  <c r="Q13" i="1"/>
  <c r="R13" i="1"/>
  <c r="Q10" i="1"/>
  <c r="R10" i="1"/>
  <c r="Q9" i="1"/>
  <c r="R9" i="1"/>
  <c r="Q23" i="1"/>
  <c r="R23" i="1"/>
  <c r="Q22" i="1"/>
  <c r="R22" i="1"/>
  <c r="Q20" i="1"/>
  <c r="R20" i="1"/>
  <c r="Q11" i="1"/>
  <c r="R11" i="1"/>
  <c r="Q19" i="1"/>
  <c r="R19" i="1"/>
  <c r="Q8" i="1"/>
  <c r="R8" i="1"/>
  <c r="Q26" i="1"/>
  <c r="R26" i="1"/>
  <c r="Q17" i="1"/>
  <c r="R17" i="1"/>
  <c r="Q7" i="1"/>
  <c r="R7" i="1"/>
  <c r="Q16" i="1"/>
  <c r="R16" i="1"/>
  <c r="Q6" i="1"/>
  <c r="R6" i="1"/>
  <c r="Q5" i="1"/>
  <c r="R5" i="1"/>
  <c r="Q4" i="1"/>
  <c r="R4" i="1"/>
  <c r="R24" i="1"/>
  <c r="R21" i="1"/>
  <c r="R18" i="1"/>
  <c r="R15" i="1"/>
  <c r="R12" i="1"/>
  <c r="R3" i="1"/>
  <c r="O6" i="15"/>
  <c r="P6" i="15" s="1"/>
  <c r="Q6" i="15" s="1"/>
  <c r="Q13" i="10"/>
  <c r="R13" i="10"/>
  <c r="R11" i="3"/>
  <c r="Q11" i="3"/>
  <c r="Q5" i="15"/>
  <c r="R5" i="15"/>
  <c r="Q4" i="15"/>
  <c r="R4" i="15"/>
  <c r="Q3" i="15"/>
  <c r="R3" i="15"/>
  <c r="R10" i="3"/>
  <c r="Q10" i="3"/>
  <c r="R2" i="15"/>
  <c r="Q2" i="15"/>
  <c r="R12" i="10"/>
  <c r="Q12" i="10"/>
  <c r="Q7" i="14"/>
  <c r="R7" i="14"/>
  <c r="Q6" i="14"/>
  <c r="R6" i="14"/>
  <c r="R5" i="14"/>
  <c r="Q5" i="14"/>
  <c r="Q4" i="14"/>
  <c r="R4" i="14"/>
  <c r="R3" i="14"/>
  <c r="Q3" i="14"/>
  <c r="P2" i="14"/>
  <c r="R2" i="14" s="1"/>
  <c r="Q2" i="14"/>
  <c r="R2" i="12"/>
  <c r="Q2" i="12"/>
  <c r="Q11" i="10"/>
  <c r="R11" i="10"/>
  <c r="R10" i="10"/>
  <c r="Q10" i="10"/>
  <c r="R9" i="3"/>
  <c r="Q9" i="3"/>
  <c r="R8" i="3"/>
  <c r="Q8" i="3"/>
  <c r="Q7" i="3"/>
  <c r="R7" i="3"/>
  <c r="O6" i="3"/>
  <c r="P6" i="3" s="1"/>
  <c r="Q6" i="3" s="1"/>
  <c r="R5" i="3"/>
  <c r="Q5" i="3"/>
  <c r="R4" i="3"/>
  <c r="Q4" i="3"/>
  <c r="Q3" i="3"/>
  <c r="R3" i="3"/>
  <c r="R2" i="3"/>
  <c r="Q2" i="3"/>
  <c r="Q7" i="5"/>
  <c r="R7" i="5"/>
  <c r="P2" i="11"/>
  <c r="R2" i="11" s="1"/>
  <c r="R9" i="10"/>
  <c r="Q8" i="10"/>
  <c r="R8" i="10"/>
  <c r="Q7" i="10"/>
  <c r="R7" i="10"/>
  <c r="Q6" i="10"/>
  <c r="R6" i="10"/>
  <c r="Q5" i="10"/>
  <c r="R5" i="10"/>
  <c r="Q4" i="10"/>
  <c r="R4" i="10"/>
  <c r="Q3" i="10"/>
  <c r="R3" i="10"/>
  <c r="R2" i="10"/>
  <c r="Q2" i="10"/>
  <c r="R12" i="8"/>
  <c r="Q12" i="8"/>
  <c r="Q11" i="8"/>
  <c r="R11" i="8"/>
  <c r="Q10" i="8"/>
  <c r="R10" i="8"/>
  <c r="Q9" i="8"/>
  <c r="R9" i="8"/>
  <c r="Q8" i="8"/>
  <c r="R8" i="8"/>
  <c r="R2" i="2"/>
  <c r="Q2" i="2"/>
  <c r="Q7" i="8"/>
  <c r="R7" i="8"/>
  <c r="Q6" i="8"/>
  <c r="R6" i="8"/>
  <c r="Q5" i="8"/>
  <c r="R5" i="8"/>
  <c r="R4" i="8"/>
  <c r="Q4" i="8"/>
  <c r="Q3" i="8"/>
  <c r="R3" i="8"/>
  <c r="R2" i="8"/>
  <c r="Q2" i="8"/>
  <c r="Q7" i="6"/>
  <c r="R7" i="6"/>
  <c r="O2" i="7"/>
  <c r="P2" i="7" s="1"/>
  <c r="Q2" i="7" s="1"/>
  <c r="Q6" i="6"/>
  <c r="R6" i="6"/>
  <c r="R5" i="6"/>
  <c r="Q5" i="6"/>
  <c r="P4" i="6"/>
  <c r="R4" i="6" s="1"/>
  <c r="Q4" i="6"/>
  <c r="Q3" i="6"/>
  <c r="R3" i="6"/>
  <c r="R2" i="6"/>
  <c r="Q2" i="6"/>
  <c r="Q6" i="5"/>
  <c r="R6" i="5"/>
  <c r="R5" i="5"/>
  <c r="Q5" i="5"/>
  <c r="R4" i="5"/>
  <c r="Q4" i="5"/>
  <c r="Q3" i="5"/>
  <c r="R3" i="5"/>
  <c r="R2" i="5"/>
  <c r="Q3" i="4"/>
  <c r="R3" i="4"/>
  <c r="Q34" i="1" l="1"/>
  <c r="R30" i="1"/>
  <c r="R6" i="15"/>
  <c r="R6" i="3"/>
  <c r="Q2" i="11"/>
  <c r="R2" i="7"/>
  <c r="Q2" i="5"/>
</calcChain>
</file>

<file path=xl/sharedStrings.xml><?xml version="1.0" encoding="utf-8"?>
<sst xmlns="http://schemas.openxmlformats.org/spreadsheetml/2006/main" count="1246" uniqueCount="437">
  <si>
    <t>Author</t>
  </si>
  <si>
    <t>Year</t>
  </si>
  <si>
    <t>Study</t>
  </si>
  <si>
    <t>Mn</t>
  </si>
  <si>
    <t>Nn</t>
  </si>
  <si>
    <t>SDn</t>
  </si>
  <si>
    <t>Ne</t>
  </si>
  <si>
    <t>Me</t>
  </si>
  <si>
    <t>Koskinen et al.</t>
  </si>
  <si>
    <t>suture</t>
  </si>
  <si>
    <t>SDe</t>
  </si>
  <si>
    <t>boxsuture</t>
  </si>
  <si>
    <t>Chainey et al.</t>
  </si>
  <si>
    <t>Journal</t>
  </si>
  <si>
    <t>Journal of Surgical Research</t>
  </si>
  <si>
    <t>Eye-Hand Coordination of Neurosurgeons: Evidence of Action-Related Fixation in Microsuturing</t>
  </si>
  <si>
    <t xml:space="preserve">Utilizing Grasp Monitoring to Predict Microsurgical Expertise </t>
  </si>
  <si>
    <t>Harada et al.</t>
  </si>
  <si>
    <t>Assessing microneurosurgical skill with medico-engineering technology</t>
  </si>
  <si>
    <t>World Neurosurgery</t>
  </si>
  <si>
    <t>suturing</t>
  </si>
  <si>
    <t>SDpooled</t>
  </si>
  <si>
    <t>SMD</t>
  </si>
  <si>
    <t>g</t>
  </si>
  <si>
    <t>SDg</t>
  </si>
  <si>
    <t>i</t>
  </si>
  <si>
    <t>Vedula et al.</t>
  </si>
  <si>
    <t>Task-Level vs. Segment-Level Quantitative Metrics for Surgical Skill Assessment</t>
  </si>
  <si>
    <t>Journal of Surgical Education</t>
  </si>
  <si>
    <t>effects estimated from boxplot</t>
  </si>
  <si>
    <t>effects estimated from barplot. Sample size per group not given, estimated from total sample (135 trials total, 4 experts, 14 novices, expert sample size rounded from (4/18)*135)</t>
  </si>
  <si>
    <t>Judkins et al.</t>
  </si>
  <si>
    <t>Objective evaluation of expert and novice performance during robotic surgical training tasks</t>
  </si>
  <si>
    <t>Surgical Endoscopy</t>
  </si>
  <si>
    <t>suture tying</t>
  </si>
  <si>
    <t>effect estimated from barplot. Novices pre-training, three trials each, five novices and five experts</t>
  </si>
  <si>
    <t>Smith et al.</t>
  </si>
  <si>
    <t>Motion analysis: A tool for assessing laparoscopic dexterity in the performance of a laboratory-based laparoscopic cholecystectomy</t>
  </si>
  <si>
    <t>Surgical Endoscopy and Other Interventional Techniques</t>
  </si>
  <si>
    <t>laparoscopy</t>
  </si>
  <si>
    <t>Calot's triangle</t>
  </si>
  <si>
    <t>Worst and best groups compared, novices have performed &lt; tasks, experts &gt;100</t>
  </si>
  <si>
    <t>Francis et al.</t>
  </si>
  <si>
    <t>The performance of master surgeons on the Advanced Dundee Endoscopic Psychomotor Tester: Contrast validity study</t>
  </si>
  <si>
    <t>Archives of Surgery</t>
  </si>
  <si>
    <t>Advanced Dundee Endoscopic Psychomotor Tester</t>
  </si>
  <si>
    <t>effects estimated from boxplots</t>
  </si>
  <si>
    <t>Moorthy et al.</t>
  </si>
  <si>
    <t>Bimodal assessment of laparoscopic suturing skills: Construct and concurrent validity</t>
  </si>
  <si>
    <t>box trainer</t>
  </si>
  <si>
    <t>Van Sickle et al.</t>
  </si>
  <si>
    <t>Construct validity of an objective assessment method for laparoscopic intracorporeal suturing and knot tying</t>
  </si>
  <si>
    <t>The American Journal of Surgery</t>
  </si>
  <si>
    <t>Nissen fundoplication</t>
  </si>
  <si>
    <t>the expert group had only 2 trials, and outperformed the other groups vastly (task time 15.6 sec!). Thus I compared instead the trained residents (second most experiened group)</t>
  </si>
  <si>
    <t>Xeroulis et al.</t>
  </si>
  <si>
    <t>Simulation in laparoscopic surgery: A concurrent validity study for FLS</t>
  </si>
  <si>
    <t>intracorporeal suturing</t>
  </si>
  <si>
    <t>effect sizes estimated from barplot</t>
  </si>
  <si>
    <t>Huffman et al.</t>
  </si>
  <si>
    <t>Optimizing Assessment of Surgical Knot Tying Skill</t>
  </si>
  <si>
    <t>knot tying</t>
  </si>
  <si>
    <t>By hand, did not use instruments</t>
  </si>
  <si>
    <t>Law et al.</t>
  </si>
  <si>
    <t>Eye gaze patterns differentiate novice and experts in a virtual laparoscopic surgery training environment</t>
  </si>
  <si>
    <t>Proceedings of the Eye tracking research &amp; applications symposium on Eye tracking research &amp; applications - ETRA'2004</t>
  </si>
  <si>
    <t>virtual pointing</t>
  </si>
  <si>
    <t>Utilizing Grasp Monitoring to Predict Microsurgical Expertise</t>
  </si>
  <si>
    <t>microsurgery</t>
  </si>
  <si>
    <t>grasps</t>
  </si>
  <si>
    <t>Kazemi et al.</t>
  </si>
  <si>
    <t>Assessing suturing techniques using a virtual reality surgical simulator</t>
  </si>
  <si>
    <t>Microsurgery</t>
  </si>
  <si>
    <t>Needle piercing in VR</t>
  </si>
  <si>
    <t>task completed in VR. Medical students and medical surgeons compared. Times estimated from barplot</t>
  </si>
  <si>
    <t>Measuring and Developing Suturing Technique with a Virtual Reality Surgical Simulator</t>
  </si>
  <si>
    <t>O'Toole et al.</t>
  </si>
  <si>
    <t>Anastomosis</t>
  </si>
  <si>
    <t>Journal ofthe American College of Surgeons</t>
  </si>
  <si>
    <t>Virtual reality, times from the trial taken after training</t>
  </si>
  <si>
    <t>Task and Motion Analysis in Endoscopic Surgery</t>
  </si>
  <si>
    <t>Cao et al.</t>
  </si>
  <si>
    <t>5th Annual Symposium on Haptic Interfaces for Virtual Environment and Teleoperator Systems</t>
  </si>
  <si>
    <t>Knot tying</t>
  </si>
  <si>
    <t>Laparoscopic training workshop, values estimated from barplots, did not report SD so I used expert's difference from the ideal (5) number of grasps as SD</t>
  </si>
  <si>
    <t>Movement-level process modeling of microsurgical bimanual and unimanual tasks</t>
  </si>
  <si>
    <t>International Journal of Computer Assisted Radiology and Surgery</t>
  </si>
  <si>
    <t>Bimanual efficiency defined as using both hand simultaneously for something productive</t>
  </si>
  <si>
    <t>Hofstad et al.</t>
  </si>
  <si>
    <t>Psychomotor skills assessment by motion analysis in minimally invasive surgery on an animal organ</t>
  </si>
  <si>
    <t>Minimally Invasive Therapy and Allied Technologies</t>
  </si>
  <si>
    <t>box trained</t>
  </si>
  <si>
    <t>Bimanual dexterity defined as the correlation between the two hands tool movements. Values estimated from boxplots</t>
  </si>
  <si>
    <t>Demirel et al.</t>
  </si>
  <si>
    <t>Scoring metrics for assessing skills in arthroscopic rotator cuff repair: performance comparison study of novice and expert surgeons</t>
  </si>
  <si>
    <t>Affordable, web-based surgical skill training and evaluation tool</t>
  </si>
  <si>
    <t>Islam et al.</t>
  </si>
  <si>
    <t>Journal of Biomedical Informatics</t>
  </si>
  <si>
    <t>Standard deviations estimated from the standard deviations of other metrics, not given directly in the paper</t>
  </si>
  <si>
    <t>Fundamentals of laparoscopy (FLS) training set</t>
  </si>
  <si>
    <t>Mean values estimated from boxplot. Standard deviations were not given, I used the similar-ish values as in our study (i = 0), so novice's SD is about 1/5 of the mean, experts is 1/12</t>
  </si>
  <si>
    <t>Zulbaran-Rojas et al.</t>
  </si>
  <si>
    <t>Utilization of Flexible-Wearable Sensors to Describe the Kinematics of Surgical Proficiency</t>
  </si>
  <si>
    <t>Vascular anastomosis</t>
  </si>
  <si>
    <t>I took the ratio of number of dominant and non-dominant hand movements as measure of bimanual dexterity. Other options were velocity and path length. No. Movements felt closest to our definition.</t>
  </si>
  <si>
    <t>Castner et al.</t>
  </si>
  <si>
    <t>Pupil diameter differentiates expertise in dental radiography visual search</t>
  </si>
  <si>
    <t>PLOS ONE</t>
  </si>
  <si>
    <t>Radiography</t>
  </si>
  <si>
    <t>Dental radiography, visual search</t>
  </si>
  <si>
    <t>Reported values are medians? Median change from baseline</t>
  </si>
  <si>
    <t>Cabrera-Mino et al.</t>
  </si>
  <si>
    <t>Task-Evoked Pupillary Responses in Nursing Simulation as an Indicator of Stress and Cognitive Load</t>
  </si>
  <si>
    <t>Clinical Simulation in Nursing</t>
  </si>
  <si>
    <t>Elevate HOB</t>
  </si>
  <si>
    <t>There were different tasks, picked the one that had the most significant result. Values estimated from barplot</t>
  </si>
  <si>
    <t>Bednarik et al.</t>
  </si>
  <si>
    <t>Pupil Size As an Indicator of Visual-motor Workload and Expertise in Microsurgical Training Tasks</t>
  </si>
  <si>
    <t>Proceedings of the 2018 ACM Symposium on Eye Tracking Research &amp; Applications</t>
  </si>
  <si>
    <t>Suturing</t>
  </si>
  <si>
    <t>Took the segment 'needle push', estimated from plots</t>
  </si>
  <si>
    <t>Gunawardena et al.</t>
  </si>
  <si>
    <t>Assessing Surgeons’ Skill Level in Laparoscopic Cholecystectomy using Eye Metrics</t>
  </si>
  <si>
    <t>Eye Tracking Research and Applications Symposium (ETRA)</t>
  </si>
  <si>
    <t>Laparoscopic cholecystectomy</t>
  </si>
  <si>
    <t>Study had only 4 participants of 3 skill levels who completed &gt;=7 tasks each. I picked the least experienced participant and expert E-2.</t>
  </si>
  <si>
    <t>Zheng et al.</t>
  </si>
  <si>
    <t>Action-related eye measures to assess surgical expertise</t>
  </si>
  <si>
    <t>BJS Open</t>
  </si>
  <si>
    <t>Box trainer</t>
  </si>
  <si>
    <t>Transporting and loading task</t>
  </si>
  <si>
    <t>Dilley et al.</t>
  </si>
  <si>
    <t>International Journal of Medical Robotics and Computer Assisted Surgery</t>
  </si>
  <si>
    <t>Fundamentals of Robotic Surgery, simulator task</t>
  </si>
  <si>
    <t>SDs calculated from inter-quartile ranges (SD = (3/4)*IQR). The paper reports medians.</t>
  </si>
  <si>
    <t>Gao et al.</t>
  </si>
  <si>
    <t>American Surgeon</t>
  </si>
  <si>
    <t>Quantitative evaluations of the effects of noise on mental workloads based on pupil dilation during laparoscopic surgery</t>
  </si>
  <si>
    <t>Appendectromy simulator</t>
  </si>
  <si>
    <t>They evaluated different noise conditions, I picked values from the no-noise condition. Paper does not give explicitly the number of participants in groups, only total number (24) which was "divided into experienced and moderately experienced". I assumed 12 per group</t>
  </si>
  <si>
    <t>Datta et al.</t>
  </si>
  <si>
    <t>The use of electromagnetic motion tracking analysis to objectively measure open surgical skill in the laboratory-based model</t>
  </si>
  <si>
    <t>Journal of the American College of Surgeons</t>
  </si>
  <si>
    <t>Used ICSAD system to record data. Several skill groups, here we compare basic surgical trainees and consultants</t>
  </si>
  <si>
    <t>Pagador et al.</t>
  </si>
  <si>
    <t>Decomposition and analysis of laparoscopic suturing task using tool-motion analysis (TMA): Improving the objective assessment</t>
  </si>
  <si>
    <t>Study reported left and right hand movements separately, I picked left hand</t>
  </si>
  <si>
    <t>Bann et al.</t>
  </si>
  <si>
    <t>Measurement of surgical dexterity using motion analysis of simple bench tasks</t>
  </si>
  <si>
    <t>World Journal of Surgery</t>
  </si>
  <si>
    <t>Knot tying and suturing</t>
  </si>
  <si>
    <t>Used ICSAD system to record data. Reports medians and inter-quartile ranges.</t>
  </si>
  <si>
    <t>Cholecystectomy</t>
  </si>
  <si>
    <t>Multiple tasks, picked Calot's triangle. Surgeon groups A and C compared</t>
  </si>
  <si>
    <t>Aggarwal et al.</t>
  </si>
  <si>
    <t>An evaluation of the feasibility, validity, and reliability of laparoscopic skills assessment in the operating room</t>
  </si>
  <si>
    <t>Annals of Surgery</t>
  </si>
  <si>
    <t>Whole procedure, paper reports medians and inter-quartile ranges, the SDs are calculated from these (IQR*(3/4))</t>
  </si>
  <si>
    <t>Yamaguchi et al.</t>
  </si>
  <si>
    <t>Construct validity for eye-hand coordination skill on a virtual reality laparoscopic surgical simulator</t>
  </si>
  <si>
    <t>LAP-mentor simulator</t>
  </si>
  <si>
    <t>Effects and SDs estimated from barplots. Reported right hand movements</t>
  </si>
  <si>
    <t>Task:Balloon dominant hand</t>
  </si>
  <si>
    <t>Task-Level vs . Segment-Level Quantitative Metrics for Surgical Skill Assessment</t>
  </si>
  <si>
    <t>Effects and SDs estimated from barplots. Paper does not give Ne/Nn directly, total of 135 trials performed by 14 novices and 4 experts, so I estimated sample sizes by 135*(14/(14+4)) for novices and 135*(4/(14+4)) for experts</t>
  </si>
  <si>
    <t>Wilson et al.</t>
  </si>
  <si>
    <t>Psychomotor control in a virtual laparoscopic surgery training environment: Gaze control parameters differentiate novices from experts</t>
  </si>
  <si>
    <t>LapMentor</t>
  </si>
  <si>
    <t>reported left and right hand separately, I used left hand because usually differences are larger with non-dominant hand (all were right-handed)</t>
  </si>
  <si>
    <t>Jimbo et al.</t>
  </si>
  <si>
    <t>A new innovative laparoscopic fundoplication training simulator with a surgical skill validation system</t>
  </si>
  <si>
    <t>Estimated effects and SDs from barplots. Reports left/right hand separately, I used left hand results</t>
  </si>
  <si>
    <t>A study of psychomotor skills in minimally invasive surgery: What differentiates expert and nonexpert performance</t>
  </si>
  <si>
    <t>Ghasemloonia et al.</t>
  </si>
  <si>
    <t>Modified O’Connor Dexterity board and Tweezer Dexterity pegboard</t>
  </si>
  <si>
    <t>Results from task C included. Task had 4 groups of participants, results are from surgeons and residents. 9 trials per participant, 4 participants per group, so n=36 for both groups</t>
  </si>
  <si>
    <t>Hwang et al.</t>
  </si>
  <si>
    <t>Correlating motor performance with surgical error in laparoscopic cholecystectomy</t>
  </si>
  <si>
    <t>Ebina et al.</t>
  </si>
  <si>
    <t>Motion analysis for better understanding of psychomotor skills in laparoscopy: objective assessment-based simulation training using animal organs</t>
  </si>
  <si>
    <t>Applying Hem-o-lock, suturing, suturing and knot tying</t>
  </si>
  <si>
    <t>Results from task 3, knot tying and suturing. Results given in paper as medians and inter-quartile ranges</t>
  </si>
  <si>
    <t>Azari et al.</t>
  </si>
  <si>
    <t>Can surgical performance for varying experience be measured from hand motions?</t>
  </si>
  <si>
    <t>Proceedings of the Human Factors and Ergonomics Society</t>
  </si>
  <si>
    <t>Reported grand average results by skill group and by skill group and task. Results included here are the grand average by skill. Had 4 skill groups, picked medical students and attending surgeons. Paper did not report SDs for motion metrics, so I used the ratio of subjective evaluations mean and sd to estimate the sd. I.e. for novice's the subjective motion fluidity score was mean=4.1, sd=1.9, so the SD for jerk was calculated as 178.34*(1.9/4.1) (mean jerk * (sd of fluidity score / mean of fluidity score)</t>
  </si>
  <si>
    <t>Davids et al.</t>
  </si>
  <si>
    <t>Automated vision-based microsurgical skill analysis in neurosurgery using deep learning: Development and preclinical validation.</t>
  </si>
  <si>
    <t>Arachnoid dissection</t>
  </si>
  <si>
    <t>Values given as medians</t>
  </si>
  <si>
    <t>Oropesa et al.</t>
  </si>
  <si>
    <t>Relevance of Motion-Related Assessment Metrics in Laparoscopic Surgery</t>
  </si>
  <si>
    <t>Surgical Innovation</t>
  </si>
  <si>
    <t>Novel training tasks</t>
  </si>
  <si>
    <t>Means and SDs estimated from boxplots. Reports dominant and non-dominant hand separately, I picked non-dominant hand. Results for Coordinated pulling task.</t>
  </si>
  <si>
    <t>Pellen et al.</t>
  </si>
  <si>
    <t>Laparoscopic surgical skills assessment: Can simulators replace experts?</t>
  </si>
  <si>
    <t>Sharp dissection</t>
  </si>
  <si>
    <t>Values estimated from boxplots</t>
  </si>
  <si>
    <t>Maithel et al</t>
  </si>
  <si>
    <t>Simulated laparoscopy using a head-mounted display vs traditional video monitor: An assessment of performance and muscle fatigue</t>
  </si>
  <si>
    <t>Block moving training task</t>
  </si>
  <si>
    <t>Liang et al.</t>
  </si>
  <si>
    <t>Motion control skill assessment based on kinematic analysis of robotic end-effector movements</t>
  </si>
  <si>
    <t>The International Journal of Medical Robotics and Computer Assisted Surgery</t>
  </si>
  <si>
    <t>Ring-threading</t>
  </si>
  <si>
    <t>Estimated from boxplots. Reported left/right hand separately, here the results are for left hand</t>
  </si>
  <si>
    <t>Reports left/right hand separately, results are for left-hand. Paper reports suturing efficiency, which is the inverse of idle time (idle time = 1 - efficiency)</t>
  </si>
  <si>
    <t>Procedural surgical skill assessment in laparoscopic training environments</t>
  </si>
  <si>
    <t>Uemura et al.</t>
  </si>
  <si>
    <t>Surgical Skill Assessment Using Motion Quality and Smoothness</t>
  </si>
  <si>
    <t>Reports left/right hand separately, results are for left-hand. Max time given as 420s, every novice exceeded this.</t>
  </si>
  <si>
    <t>D'Angelo et al.</t>
  </si>
  <si>
    <t>Idle time: An underdeveloped performance metric for assessing surgical skill</t>
  </si>
  <si>
    <t>American Journal of Surgery</t>
  </si>
  <si>
    <t>Training task, suturing</t>
  </si>
  <si>
    <t>Does not report idle time directly per skill group, only number of idle periods. Took values from the first segment, entering tissue with needle. Did not report SD for idle periods, estimated it from the SD of total operative time: SD_idle = M_idle*(SD_time/M_time).</t>
  </si>
  <si>
    <t>Enhanced Training Benefits of Video Recording Surgery With Automated Hand Motion Analysis</t>
  </si>
  <si>
    <t>Axillary artery exposure and control (AA) on un-preserved cadavers.</t>
  </si>
  <si>
    <t>Values given as means and ranges. Compared experts and residents post-training. SD for idle time not given, estimated from variance of total active time.</t>
  </si>
  <si>
    <t>Hung et al.</t>
  </si>
  <si>
    <t>Development and Validation of Objective Performance Metrics for Robot-Assisted Radical Prostatectomy: A Pilot Study</t>
  </si>
  <si>
    <t>Journal of Urology</t>
  </si>
  <si>
    <t>Robot-assisted</t>
  </si>
  <si>
    <t>Radical Prostactectomy</t>
  </si>
  <si>
    <t>Values given as mean and 95% conf interval. SD calculated from conf interval by sqrt(N)*(upper lim - lower lim)/3.92</t>
  </si>
  <si>
    <t>Values given as mean and 95% conf interval. SD calculated from conf interval by sqrt(N)*(upper lim - lower lim)/3.92. Results for non-dominant hand</t>
  </si>
  <si>
    <t>Objective assessment of laparoscopic suturing skills using a motion-tracking system</t>
  </si>
  <si>
    <t>Used results for left hand, for the whole procedure</t>
  </si>
  <si>
    <t>Results for the whole procedure</t>
  </si>
  <si>
    <t>Assessing Microneurosurgical Skill with Medico-Engineering Technology</t>
  </si>
  <si>
    <t>Simulated anastomosis</t>
  </si>
  <si>
    <t>Results for left hand, estimated from boxplot</t>
  </si>
  <si>
    <t>Estimated effects and SDs from boxplots.</t>
  </si>
  <si>
    <t>Validation of a novel virtual reality simulation system with the focus on training for surgical dissection during laparoscopic sigmoid colectomy</t>
  </si>
  <si>
    <t>Mori et al.</t>
  </si>
  <si>
    <t>BMC Surgery</t>
  </si>
  <si>
    <t>Sigmoid Colectomy</t>
  </si>
  <si>
    <t>Bimanual dexterity measured in GOALS score (see paper for more information). Results given as medians and inter-quartile ranges. SD calculated from IQR as SD = IQR*(3/4)</t>
  </si>
  <si>
    <t>Pastewski et al.</t>
  </si>
  <si>
    <t>Analysis of Instrument Motion and the Impact of Residency Level and Concurrent Distraction on Laparoscopic Skills</t>
  </si>
  <si>
    <t>Peg transfer</t>
  </si>
  <si>
    <t>Junior and Senior residents. Did task with and without secondary task (to add distractions). Velocity was reported for three degrees of freedom of motion (yaw, pitch, roll). Results here are for Roll and NO secondary task.</t>
  </si>
  <si>
    <t>Results for needle holder (left hand), from task 3, knot tying and suturing. Results given in paper as medians and inter-quartile ranges</t>
  </si>
  <si>
    <t>Bimanual carryinig</t>
  </si>
  <si>
    <t>Estimated effects and SDs from barplots. Compared experts and novices post-training. Results are for bimanual carrying task, which was repeated 3 times by each participant (5 novices 5 experts)</t>
  </si>
  <si>
    <t>Frasier et al.</t>
  </si>
  <si>
    <t>A marker-less technique for measuring kinematics in the operating room</t>
  </si>
  <si>
    <t>Surgery (United States)</t>
  </si>
  <si>
    <t>Gives values for grand average and by different tasks. I used grand average results.</t>
  </si>
  <si>
    <t>Topalli et al.</t>
  </si>
  <si>
    <t>Eye-Hand Coordination Patterns of Intermediate and Novice Surgeons in a Simulation-Based Endoscopic Surgery Training Environment</t>
  </si>
  <si>
    <t>Journal of Eye Movement Research</t>
  </si>
  <si>
    <t>Endoscopy</t>
  </si>
  <si>
    <t>Simulated training tasks</t>
  </si>
  <si>
    <t>Reports "Stand still duration", which measures the time when tools were still. Corresponds roughly to idle time. Compares novices and intermediates</t>
  </si>
  <si>
    <t>Mean values estimated from boxplot. Standard deviations were not given, I used the similar-ish values as in our study (i = 0), so novice's SD is about 1/5 of the mean, experts is 1/12. Measured jerk with "jerkiness score"</t>
  </si>
  <si>
    <t>Technique</t>
  </si>
  <si>
    <t>Task</t>
  </si>
  <si>
    <t>Note</t>
  </si>
  <si>
    <t>Animal organ training task</t>
  </si>
  <si>
    <t>Values estimated from boxplot, used results for US hook</t>
  </si>
  <si>
    <t>Values not reported directly in paper, calculated from data</t>
  </si>
  <si>
    <t>Results for needle extraction phase (c), estimated from boxplot. Maximum needle gripping force</t>
  </si>
  <si>
    <t>Prasad et al.</t>
  </si>
  <si>
    <t>Objective Assessment of Laparoscopic Force and Psychomotor Skills in a Novel Virtual Reality-Based Haptic Simulator</t>
  </si>
  <si>
    <t>Virtual reality haptic simulator</t>
  </si>
  <si>
    <t>Results estimated from boxplot. Whole group data (subplot a) reported here.</t>
  </si>
  <si>
    <t>Horeman et al.</t>
  </si>
  <si>
    <t>Assessment of Laparoscopic Skills Based on Force and Motion Parameters</t>
  </si>
  <si>
    <t>IEEE Transactions on Biomedical Engineering</t>
  </si>
  <si>
    <t>Results estimated from boxplot, for task 2. Max force values used.</t>
  </si>
  <si>
    <t>Trejos et al.</t>
  </si>
  <si>
    <t>Development of force-based metrics for skills assessment in minimally invasive surgery</t>
  </si>
  <si>
    <t>Simulated tumor removal and suturing</t>
  </si>
  <si>
    <t>Used results for max grasp force, values evaluated from Fig. 4 (a). Compared experience level 1 and 6</t>
  </si>
  <si>
    <t>Woodrow et al.</t>
  </si>
  <si>
    <t>Training and evaluating spinal surgeons: The development of novel performance measures</t>
  </si>
  <si>
    <t>Spine</t>
  </si>
  <si>
    <t>Lumbar pedicle cannulation</t>
  </si>
  <si>
    <t>Values estimated from Fig. 2. Values are mean forces. Compared results for lumbar level L2.</t>
  </si>
  <si>
    <t>Sugiyama et al.</t>
  </si>
  <si>
    <t>JAMA Surgery</t>
  </si>
  <si>
    <t>Forces of Tool-Tissue Interaction to Assess Surgical Skill Level</t>
  </si>
  <si>
    <t>Real neurosurgical procedures with various conditions</t>
  </si>
  <si>
    <t>Shafiel et al.</t>
  </si>
  <si>
    <t>Motor Skill Evaluation During Robot-Assisted Surgery</t>
  </si>
  <si>
    <t>Volume 5A: 41st Mechanisms and Robotics Conference</t>
  </si>
  <si>
    <t>Simple interrupted suturing</t>
  </si>
  <si>
    <t>Did not report SDs for motion metrics. I estimated SD from the subjective grading fluidity of motion SD, so acceleration SD = acceleration Mean * (grade SD/grade Mean).</t>
  </si>
  <si>
    <t>Used results for without secondary task</t>
  </si>
  <si>
    <t>Junior and Senior residents. Did task with and without secondary task (to add distractions). Acceleration was reported for three degrees of freedom of motion (yaw, pitch, roll). Results here are for Roll and NO secondary task.</t>
  </si>
  <si>
    <t>First subtask results</t>
  </si>
  <si>
    <t>Study reported left and right hand movements separately, I picked left hand. First subtask</t>
  </si>
  <si>
    <t>Chmarra et al.</t>
  </si>
  <si>
    <t>Objective classification of residents based on their psychomotor laparoscopic skills</t>
  </si>
  <si>
    <t>Values estimated from plots, used the pipe cleaner task results.</t>
  </si>
  <si>
    <t>Values given as medians. Sd estimated from boxplot</t>
  </si>
  <si>
    <t>Mackenzie et al.</t>
  </si>
  <si>
    <t>Goldbraikh et al.</t>
  </si>
  <si>
    <t>Robotic Surgery</t>
  </si>
  <si>
    <t>Nickel et al.</t>
  </si>
  <si>
    <t>Direct Observation versus Endoscopic Video Recording-Based Rating with the Objective Structured Assessment of Technical Skills for Training of Laparoscopic Cholecystectomy</t>
  </si>
  <si>
    <t>European Surgical Research</t>
  </si>
  <si>
    <t>OSATS score from Table 1, direct observation, novices and experts compared</t>
  </si>
  <si>
    <t>Paley et al.</t>
  </si>
  <si>
    <t>Crowdsourced Assessment of Surgical Skill Proficiency in Cataract Surgery</t>
  </si>
  <si>
    <t>Used modified OSATS. SD estimated from Figure 1F. Used expert ratings.</t>
  </si>
  <si>
    <t>Kassab et al.</t>
  </si>
  <si>
    <t>"Blowing up the barriers" in surgical training: Exploring and validating the concept of distributed simulation</t>
  </si>
  <si>
    <t>Study had two tasks, results are for DS (distributed simulation) because these results were given in the text (box trainer results only as figure). Note that DS was novel task developed for this study.</t>
  </si>
  <si>
    <t>Black et al.</t>
  </si>
  <si>
    <t>Assessment of surgical competence at carotid endarterectomy under local anaesthesia in a simulated operating theatre</t>
  </si>
  <si>
    <t>British Journal of Surgery</t>
  </si>
  <si>
    <t>Results for crisis scenario</t>
  </si>
  <si>
    <t>Willems et al.</t>
  </si>
  <si>
    <t>Assessing Endovascular Skills using the Simulator for Testing and Rating Endovascular Skills (STRESS) Machine</t>
  </si>
  <si>
    <t>European Journal of Vascular and Endovascular Surgery</t>
  </si>
  <si>
    <t>Combination of OSATS and some other score? May not be suitable for comparison here. Remove in the future. SDs estimated from Figure 2.</t>
  </si>
  <si>
    <t>Leong et al.</t>
  </si>
  <si>
    <t>Validation of orthopaedic bench models for trauma surgery</t>
  </si>
  <si>
    <t>Journal of Bone and Joint Surgery - Series B</t>
  </si>
  <si>
    <t>Used results for DCP, dynamic comperssion plate. Esimtaed values from boxplot.</t>
  </si>
  <si>
    <t>Hance et al.</t>
  </si>
  <si>
    <t>Objective assessment of technical skills in cardiac surgery</t>
  </si>
  <si>
    <t>European Journal of Cardio-thoracic Surgery</t>
  </si>
  <si>
    <t>LAD anastomosis</t>
  </si>
  <si>
    <t>Paper reported several tasks, live and blinded scoring. Values here are for LAD anastomosis, blinded scoring.</t>
  </si>
  <si>
    <t>Erridge et al.</t>
  </si>
  <si>
    <t>Comparison of gaze behaviour of trainee and experienced surgeons during laparoscopic gastric bypass</t>
  </si>
  <si>
    <t>Gastric bypass</t>
  </si>
  <si>
    <t>Results for Segment 1, maximum pupil size</t>
  </si>
  <si>
    <t>Zevin et al.</t>
  </si>
  <si>
    <t>Development, feasibility, validity, and reliability of a scale for objective assessment of operative performance in laparoscopic gastric bypass surgery</t>
  </si>
  <si>
    <t>Results are for Jejunojejunostomy</t>
  </si>
  <si>
    <t>Araki et al.</t>
  </si>
  <si>
    <t>Comparison of the performance of experienced and novice surgeons: measurement of gripping force during laparoscopic surgery performed on pigs using forceps with pressure sensors</t>
  </si>
  <si>
    <t>The plot shows that novices grasped with force that is slightly over 8, but the text reports 7.15. Typo in text? SDs evaluated from boxplots. 4 novices and 4 experts, task completed twice.</t>
  </si>
  <si>
    <t>Hopmans et al.</t>
  </si>
  <si>
    <t>Assessment of surgery residents' operative skills in the operating theater using a modified Objective Structured Assessment of Technical Skills (OSATS): A prospective multicenter study</t>
  </si>
  <si>
    <t>Laparoscopic Cholecystectomy</t>
  </si>
  <si>
    <t>Study included various tasks and techniques, results are for laparoscopic cholecystectomy. Novices are PGY1-2 and experts PGY5-6</t>
  </si>
  <si>
    <t>Rittenhouse et al.</t>
  </si>
  <si>
    <t>Design and validation of an assessment tool for open surgical procedures</t>
  </si>
  <si>
    <t>Used Wii (IR sensor) and Patrio EM tracking. Results are for the Patriot tracking system. Values estimated from barplot (Fig. 6)</t>
  </si>
  <si>
    <t>Mazomenos et al.</t>
  </si>
  <si>
    <t>Catheter manipulation analysis for objective performance and technical skills assessment in transcatheter aortic valve implantation</t>
  </si>
  <si>
    <t>Transcathether aortic valve implantation</t>
  </si>
  <si>
    <t>Task was performed with conventional tools and with robotic tools. Results are for conventional tools. There were 2 stages, results here are for stage 1. SDs evaluated from boxplots (Fig. 5). Expert jerk weirdly small?</t>
  </si>
  <si>
    <t>Face and Construct Validity of a Novel Virtual Reality–Based Bimanual Laparoscopic Force-Skills Trainer With Haptics Feedback</t>
  </si>
  <si>
    <t>Dissection and suturing, simulated</t>
  </si>
  <si>
    <t>Results are for the suturing task, non-dominant hand, mean needle force. Same dataset as in Prasad (2016)?</t>
  </si>
  <si>
    <t>Amiel et al.</t>
  </si>
  <si>
    <t>Experienced surgeons versus novice surgery residents: Validating a novel knot tying simulator for vessel ligation</t>
  </si>
  <si>
    <t>Surgery</t>
  </si>
  <si>
    <t>4 different knot types, each completed twice. 15 experts and 30 novices. Results are for the deep two hand knot (Fig. 2). Effects estimated from the plot, for Total Force.</t>
  </si>
  <si>
    <t>Yoshida et al.</t>
  </si>
  <si>
    <t>Analysis of laparoscopic dissection skill by instrument tip force measurement</t>
  </si>
  <si>
    <t>Dissection</t>
  </si>
  <si>
    <t>Peak horizontal force results used. 10 novices and 10 experts, each performed the task 10 times</t>
  </si>
  <si>
    <t>de Mathelin et al.</t>
  </si>
  <si>
    <t>Sensors</t>
  </si>
  <si>
    <t>Sensors for expert grip force profiling: Towards benchmarking manual control of a robotic device for surgical tool movements</t>
  </si>
  <si>
    <t>4-step-pick-and-drop</t>
  </si>
  <si>
    <t>Results are for non-dominant hand, sensor 6 (S6), which was placed on the ring finger. Expert user was right-handed and novice left-handed. One expert, one novice participant. Expert results are for 12 sessions, novice results are for 10 sessions.</t>
  </si>
  <si>
    <t>Balasundaram et al.</t>
  </si>
  <si>
    <t>Acquisition of microvascular suturing techniques is feasible using objective measures of performance outside of the operating room</t>
  </si>
  <si>
    <t>British Journal of Oral and Maxillofacial Surgery</t>
  </si>
  <si>
    <t>Results for novices are for post-intervention (training), fig 5. Effects estimated from the figure.</t>
  </si>
  <si>
    <t>Glarner et al.</t>
  </si>
  <si>
    <t>Quantifying technical skills during open operations using video-based motion analysis</t>
  </si>
  <si>
    <t>Reduction mammoplasty</t>
  </si>
  <si>
    <t>Effects and SDs estimated from fig 3. Effects are for non-dominant hand (ND). The task was split into four sub-tasks, resultsh ere are for suturing, C. Six patients operated on, novice and expert performed the same operation in parallel</t>
  </si>
  <si>
    <t>Zhenzhu et al.</t>
  </si>
  <si>
    <t>Feasibility Study of the Low-Cost Motion Tracking System for Assessing Endoscope Holding Skills</t>
  </si>
  <si>
    <t>Endoscopic camera alignment</t>
  </si>
  <si>
    <t>Values estimated from boxplots (Fig. 6), for the 0' setup.</t>
  </si>
  <si>
    <t>Values estimated from boxplots (Fig. 6), for the 0' setup. Max acceleration</t>
  </si>
  <si>
    <t>Franco-González et al.</t>
  </si>
  <si>
    <t>Development of a 3D Motion Tracking System for the Analysis of Skills in Microsurgery</t>
  </si>
  <si>
    <t>Journal of Medical Systems</t>
  </si>
  <si>
    <t>Transferring and suturing</t>
  </si>
  <si>
    <t>Values are for the suturing task</t>
  </si>
  <si>
    <t>Berges et al.</t>
  </si>
  <si>
    <t>Eye Tracking and Motion Data Predict Endoscopic Sinus Surgery Skill</t>
  </si>
  <si>
    <t>Laryngoscope</t>
  </si>
  <si>
    <t>Sinus surgery, cadaver simulation</t>
  </si>
  <si>
    <t>Participants completed 9 tasks. Results are for total distance in tracker units</t>
  </si>
  <si>
    <t>Participants completed 9 tasks. Results are for total time</t>
  </si>
  <si>
    <t>Participants completed 9 tasks. Results are for average velocity in tracker units</t>
  </si>
  <si>
    <t>Participants completed 9 tasks. Results are for smoothness. Text states that units for smoothness are 1/s^4, but Table 1 says that smoothness is the derivative of acceleration (jerk). Smoothness values are the first ones from Table 2.</t>
  </si>
  <si>
    <t>Saleh et al.</t>
  </si>
  <si>
    <t>Evaluating surgical dexterity during corneal suturing</t>
  </si>
  <si>
    <t>Archives of Ophthalmology</t>
  </si>
  <si>
    <t>Simulated corneal suturing</t>
  </si>
  <si>
    <t>Values given as medians and inter-quartile ranges. Values are for novice and expet surgeons (Table)</t>
  </si>
  <si>
    <t>Balal et al.</t>
  </si>
  <si>
    <t>Computer analysis of individual cataract surgery segments in the operating room</t>
  </si>
  <si>
    <t>Eye (Basingstoke)</t>
  </si>
  <si>
    <t>Cataract surgery</t>
  </si>
  <si>
    <t>Results from Table 1 for CCC</t>
  </si>
  <si>
    <t>Pérez-Escamirosa</t>
  </si>
  <si>
    <t>Design of a Dynamic Force Measurement System for Training and Evaluation of Suture Surgical Skills</t>
  </si>
  <si>
    <t>Force is measured from the pad where the sutures are made. Mean force values from Table 2</t>
  </si>
  <si>
    <t>Task time values from Table 2</t>
  </si>
  <si>
    <t>Idle time values from Table 2, given as percentage. Note, idle time defined as time when "no reaction between instruments and the tissue was measured."</t>
  </si>
  <si>
    <t>Visual behaviour in Robotic Surgery—Demonstrating the validity of the simulated environment</t>
  </si>
  <si>
    <t>Open Surgery</t>
  </si>
  <si>
    <t>Video-based fully automatic assessment of Open Surgery suturing skills</t>
  </si>
  <si>
    <t>Evaluated values from Fig. 3 c. Standardized, maximum force. Some trials failed, these have been deducted from the sample sizes</t>
  </si>
  <si>
    <t>Sańchez et al.</t>
  </si>
  <si>
    <t>Laparoscopic surgery skills evaluation: Analysis based on accelerometers</t>
  </si>
  <si>
    <t>Journal of the Society of Laparoendoscopic Surgeons</t>
  </si>
  <si>
    <t>Study reported xyz-axes separately, results are average acceleration for y-axis.</t>
  </si>
  <si>
    <t>Task 3 of laparoscopic common bile duct exploration</t>
  </si>
  <si>
    <t>"Excess needle manipulations" from Table 2. Results are for Experts and medical students</t>
  </si>
  <si>
    <t>Meneghetti et al.</t>
  </si>
  <si>
    <t>Objective Assessment of Laparoscopic Skills</t>
  </si>
  <si>
    <t>The study had three tasks, results are for task C (Lapar. Cholec.) for the "Alone" condition (Table 1)</t>
  </si>
  <si>
    <t>Curry et al.</t>
  </si>
  <si>
    <t>Objective assessment in residency-based training for transoral robotic surgery.</t>
  </si>
  <si>
    <t>The Laryngoscope</t>
  </si>
  <si>
    <t>Surgical extirpation of oropharyngeal tumors via a transoral approach using the da Vinci robotic system</t>
  </si>
  <si>
    <t>Results are from Table 2</t>
  </si>
  <si>
    <t>Zawani Ammad et al.</t>
  </si>
  <si>
    <t>Indonesian Journal of Electrical Engineering and Computer Science</t>
  </si>
  <si>
    <t>Virtual reality training  task</t>
  </si>
  <si>
    <t>Results from text below Figs. 5 and 6, referring to Fig. 7.</t>
  </si>
  <si>
    <t>Zafar et al.</t>
  </si>
  <si>
    <t>Journal of Cataract and Refractive Surgery</t>
  </si>
  <si>
    <t>Objective assessment of technical skill targeted to time in cataract surgery</t>
  </si>
  <si>
    <t>Results estimated from Fig. 2for the "Formation &amp; completion" phase.</t>
  </si>
  <si>
    <t>Verdaasdonk et al.</t>
  </si>
  <si>
    <t>Construct validity and assessment of the learning curve for the SIMENDO endoscopic simulator</t>
  </si>
  <si>
    <t>SIMENDO virtual reality simulator training</t>
  </si>
  <si>
    <t>Results are from Table 2, for repetition 10.</t>
  </si>
  <si>
    <t>Results are from Table 2, for repetition 10. Right hand instrument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</si>
</sst>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BB68-8CAB-46D4-B803-BAB5987C358F}">
  <dimension ref="A1:R27"/>
  <sheetViews>
    <sheetView workbookViewId="0">
      <selection activeCell="K32" sqref="K32"/>
    </sheetView>
  </sheetViews>
  <sheetFormatPr defaultRowHeight="14.4" x14ac:dyDescent="0.3"/>
  <cols>
    <col min="2" max="2" width="25.5546875" customWidth="1"/>
    <col min="6" max="6" width="33.8867187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154</v>
      </c>
      <c r="C2">
        <v>2007</v>
      </c>
      <c r="D2" t="s">
        <v>155</v>
      </c>
      <c r="E2" t="s">
        <v>156</v>
      </c>
      <c r="F2" t="s">
        <v>253</v>
      </c>
      <c r="G2" t="s">
        <v>152</v>
      </c>
      <c r="H2" t="s">
        <v>157</v>
      </c>
      <c r="I2">
        <v>14</v>
      </c>
      <c r="J2">
        <v>440</v>
      </c>
      <c r="K2">
        <f>(565-391)*(3/4)</f>
        <v>130.5</v>
      </c>
      <c r="L2">
        <v>33</v>
      </c>
      <c r="M2">
        <v>423</v>
      </c>
      <c r="N2">
        <f>(667-274)*(3/4)</f>
        <v>294.75</v>
      </c>
      <c r="O2">
        <f t="shared" ref="O2" si="0">SQRT(((I2-1)*POWER(K2,2) + (L2-1)*POWER(N2,2))/((I2-1)+(L2-1)))</f>
        <v>258.26236659645167</v>
      </c>
      <c r="P2">
        <f t="shared" ref="P2" si="1">(J2-M2)/O2</f>
        <v>6.58245342673692E-2</v>
      </c>
      <c r="Q2">
        <f t="shared" ref="Q2" si="2">P2*(1- (3/(4*(I2+L2)-9)))</f>
        <v>6.4721329782441217E-2</v>
      </c>
      <c r="R2">
        <f t="shared" ref="R2" si="3">SQRT((I2+L2)/(I2*L2)+(POWER(P2,2)/(2*(I2+L2))))</f>
        <v>0.31902616834043496</v>
      </c>
    </row>
    <row r="3" spans="1:18" x14ac:dyDescent="0.3">
      <c r="A3">
        <v>1</v>
      </c>
      <c r="B3" t="s">
        <v>47</v>
      </c>
      <c r="C3">
        <v>2004</v>
      </c>
      <c r="D3" t="s">
        <v>48</v>
      </c>
      <c r="E3" t="s">
        <v>38</v>
      </c>
      <c r="F3" t="s">
        <v>253</v>
      </c>
      <c r="G3" t="s">
        <v>39</v>
      </c>
      <c r="H3" t="s">
        <v>49</v>
      </c>
      <c r="I3">
        <v>13</v>
      </c>
      <c r="J3">
        <v>10050</v>
      </c>
      <c r="K3">
        <v>7554.5</v>
      </c>
      <c r="L3">
        <v>6</v>
      </c>
      <c r="M3">
        <v>1299.23</v>
      </c>
      <c r="N3">
        <v>437.7</v>
      </c>
      <c r="O3">
        <f t="shared" ref="O3:O19" si="4">SQRT(((I3-1)*POWER(K3,2) + (L3-1)*POWER(N3,2))/((I3-1)+(L3-1)))</f>
        <v>6351.4868544117062</v>
      </c>
      <c r="P3">
        <f t="shared" ref="P3:P19" si="5">(J3-M3)/O3</f>
        <v>1.3777514148394665</v>
      </c>
      <c r="Q3">
        <f t="shared" ref="Q3:Q19" si="6">P3*(1- (3/(4*(I3+L3)-9)))</f>
        <v>1.3160610529809829</v>
      </c>
      <c r="R3">
        <f t="shared" ref="R3:R19" si="7">SQRT((I3+L3)/(I3*L3)+(POWER(P3,2)/(2*(I3+L3))))</f>
        <v>0.54179548524236587</v>
      </c>
    </row>
    <row r="4" spans="1:18" x14ac:dyDescent="0.3">
      <c r="A4">
        <v>2</v>
      </c>
      <c r="B4" t="s">
        <v>36</v>
      </c>
      <c r="C4">
        <v>2002</v>
      </c>
      <c r="D4" t="s">
        <v>37</v>
      </c>
      <c r="E4" t="s">
        <v>38</v>
      </c>
      <c r="F4" t="s">
        <v>253</v>
      </c>
      <c r="G4" t="s">
        <v>152</v>
      </c>
      <c r="H4" t="s">
        <v>153</v>
      </c>
      <c r="I4">
        <v>15</v>
      </c>
      <c r="J4">
        <v>1329.5</v>
      </c>
      <c r="K4">
        <v>403.9</v>
      </c>
      <c r="L4">
        <v>9</v>
      </c>
      <c r="M4">
        <v>422.7</v>
      </c>
      <c r="N4">
        <v>117.3</v>
      </c>
      <c r="O4">
        <f t="shared" si="4"/>
        <v>329.87375408838398</v>
      </c>
      <c r="P4">
        <f t="shared" si="5"/>
        <v>2.7489304279631734</v>
      </c>
      <c r="Q4">
        <f t="shared" si="6"/>
        <v>2.6541397235506503</v>
      </c>
      <c r="R4">
        <f t="shared" si="7"/>
        <v>0.57897092311695464</v>
      </c>
    </row>
    <row r="5" spans="1:18" x14ac:dyDescent="0.3">
      <c r="A5">
        <v>3</v>
      </c>
      <c r="B5" t="s">
        <v>144</v>
      </c>
      <c r="C5">
        <v>2012</v>
      </c>
      <c r="D5" t="s">
        <v>145</v>
      </c>
      <c r="E5" t="s">
        <v>86</v>
      </c>
      <c r="F5" t="s">
        <v>253</v>
      </c>
      <c r="G5" t="s">
        <v>129</v>
      </c>
      <c r="H5" t="s">
        <v>146</v>
      </c>
      <c r="I5">
        <v>4</v>
      </c>
      <c r="J5">
        <v>203.06</v>
      </c>
      <c r="K5">
        <v>16.79</v>
      </c>
      <c r="L5">
        <v>4</v>
      </c>
      <c r="M5">
        <v>55.54</v>
      </c>
      <c r="N5">
        <v>23.47</v>
      </c>
      <c r="O5">
        <f t="shared" si="4"/>
        <v>20.405207668632045</v>
      </c>
      <c r="P5">
        <f t="shared" si="5"/>
        <v>7.229527010733416</v>
      </c>
      <c r="Q5">
        <f t="shared" si="6"/>
        <v>6.2865452267247095</v>
      </c>
      <c r="R5">
        <f t="shared" si="7"/>
        <v>1.9407804615496191</v>
      </c>
    </row>
    <row r="6" spans="1:18" x14ac:dyDescent="0.3">
      <c r="A6">
        <v>4</v>
      </c>
      <c r="B6" t="s">
        <v>299</v>
      </c>
      <c r="C6">
        <v>2021</v>
      </c>
      <c r="D6" t="s">
        <v>408</v>
      </c>
      <c r="E6" t="s">
        <v>86</v>
      </c>
      <c r="F6" t="s">
        <v>407</v>
      </c>
      <c r="H6" t="s">
        <v>162</v>
      </c>
      <c r="I6">
        <v>24</v>
      </c>
      <c r="J6">
        <v>12000</v>
      </c>
      <c r="K6">
        <v>2500</v>
      </c>
      <c r="L6">
        <v>26</v>
      </c>
      <c r="M6">
        <v>8000</v>
      </c>
      <c r="N6">
        <v>1250</v>
      </c>
      <c r="O6">
        <f t="shared" si="4"/>
        <v>1951.5618744994995</v>
      </c>
      <c r="P6">
        <f t="shared" si="5"/>
        <v>2.0496403687051155</v>
      </c>
      <c r="Q6">
        <f t="shared" si="6"/>
        <v>2.0174470644846165</v>
      </c>
      <c r="R6">
        <f t="shared" si="7"/>
        <v>0.34948313484124172</v>
      </c>
    </row>
    <row r="7" spans="1:18" x14ac:dyDescent="0.3">
      <c r="A7">
        <v>5</v>
      </c>
      <c r="B7" t="s">
        <v>169</v>
      </c>
      <c r="C7">
        <v>2017</v>
      </c>
      <c r="D7" t="s">
        <v>170</v>
      </c>
      <c r="E7" t="s">
        <v>33</v>
      </c>
      <c r="F7" t="s">
        <v>253</v>
      </c>
      <c r="G7" t="s">
        <v>119</v>
      </c>
      <c r="H7" t="s">
        <v>171</v>
      </c>
      <c r="I7">
        <v>24</v>
      </c>
      <c r="J7">
        <v>15000</v>
      </c>
      <c r="K7">
        <f>9000*(3/4)</f>
        <v>6750</v>
      </c>
      <c r="L7">
        <v>15</v>
      </c>
      <c r="M7">
        <v>10000</v>
      </c>
      <c r="N7">
        <f>4000*(3/4)</f>
        <v>3000</v>
      </c>
      <c r="O7">
        <f t="shared" si="4"/>
        <v>5632.7649108178248</v>
      </c>
      <c r="P7">
        <f t="shared" si="5"/>
        <v>0.88766353277009868</v>
      </c>
      <c r="Q7">
        <f t="shared" si="6"/>
        <v>0.86954795046866806</v>
      </c>
      <c r="R7">
        <f t="shared" si="7"/>
        <v>0.34414417348878751</v>
      </c>
    </row>
    <row r="8" spans="1:18" x14ac:dyDescent="0.3">
      <c r="A8">
        <v>6</v>
      </c>
      <c r="B8" t="s">
        <v>88</v>
      </c>
      <c r="C8">
        <v>2013</v>
      </c>
      <c r="D8" t="s">
        <v>172</v>
      </c>
      <c r="E8" t="s">
        <v>38</v>
      </c>
      <c r="F8" t="s">
        <v>253</v>
      </c>
      <c r="H8" t="s">
        <v>171</v>
      </c>
      <c r="I8">
        <v>11</v>
      </c>
      <c r="J8">
        <v>6</v>
      </c>
      <c r="K8">
        <f>5*(3/4)</f>
        <v>3.75</v>
      </c>
      <c r="L8">
        <v>7</v>
      </c>
      <c r="M8">
        <v>3.5</v>
      </c>
      <c r="N8">
        <v>0.5</v>
      </c>
      <c r="O8">
        <f t="shared" si="4"/>
        <v>2.980404754391591</v>
      </c>
      <c r="P8">
        <f t="shared" si="5"/>
        <v>0.83881224398004317</v>
      </c>
      <c r="Q8">
        <f t="shared" si="6"/>
        <v>0.79886880379051728</v>
      </c>
      <c r="R8">
        <f t="shared" si="7"/>
        <v>0.50329995463924693</v>
      </c>
    </row>
    <row r="9" spans="1:18" x14ac:dyDescent="0.3">
      <c r="A9">
        <v>7</v>
      </c>
      <c r="B9" t="s">
        <v>190</v>
      </c>
      <c r="C9">
        <v>2013</v>
      </c>
      <c r="D9" t="s">
        <v>191</v>
      </c>
      <c r="E9" t="s">
        <v>192</v>
      </c>
      <c r="F9" t="s">
        <v>253</v>
      </c>
      <c r="G9" t="s">
        <v>193</v>
      </c>
      <c r="H9" t="s">
        <v>194</v>
      </c>
      <c r="I9">
        <v>16</v>
      </c>
      <c r="J9">
        <v>1000</v>
      </c>
      <c r="K9">
        <f>900*(3/4)</f>
        <v>675</v>
      </c>
      <c r="L9">
        <v>4</v>
      </c>
      <c r="M9">
        <v>800</v>
      </c>
      <c r="N9">
        <f>800*(3/4)</f>
        <v>600</v>
      </c>
      <c r="O9">
        <f t="shared" si="4"/>
        <v>663.08936049374222</v>
      </c>
      <c r="P9">
        <f t="shared" si="5"/>
        <v>0.30161847243496448</v>
      </c>
      <c r="Q9">
        <f t="shared" si="6"/>
        <v>0.2888740299377125</v>
      </c>
      <c r="R9">
        <f t="shared" si="7"/>
        <v>0.5610475403857057</v>
      </c>
    </row>
    <row r="10" spans="1:18" x14ac:dyDescent="0.3">
      <c r="A10">
        <v>8</v>
      </c>
      <c r="B10" t="s">
        <v>195</v>
      </c>
      <c r="C10">
        <v>2009</v>
      </c>
      <c r="D10" t="s">
        <v>196</v>
      </c>
      <c r="E10" t="s">
        <v>149</v>
      </c>
      <c r="F10" t="s">
        <v>253</v>
      </c>
      <c r="G10" t="s">
        <v>197</v>
      </c>
      <c r="H10" t="s">
        <v>198</v>
      </c>
      <c r="I10">
        <v>10</v>
      </c>
      <c r="J10">
        <v>1750</v>
      </c>
      <c r="K10">
        <f>1000*(3/4)</f>
        <v>750</v>
      </c>
      <c r="L10">
        <v>10</v>
      </c>
      <c r="M10">
        <v>500</v>
      </c>
      <c r="N10">
        <f>400*(3/4)</f>
        <v>300</v>
      </c>
      <c r="O10">
        <f t="shared" si="4"/>
        <v>571.18298293979308</v>
      </c>
      <c r="P10">
        <f t="shared" si="5"/>
        <v>2.1884405476620428</v>
      </c>
      <c r="Q10">
        <f t="shared" si="6"/>
        <v>2.0959712287467451</v>
      </c>
      <c r="R10">
        <f t="shared" si="7"/>
        <v>0.565448318386644</v>
      </c>
    </row>
    <row r="11" spans="1:18" x14ac:dyDescent="0.3">
      <c r="A11">
        <v>9</v>
      </c>
      <c r="B11" t="s">
        <v>212</v>
      </c>
      <c r="C11">
        <v>2015</v>
      </c>
      <c r="D11" t="s">
        <v>213</v>
      </c>
      <c r="E11" t="s">
        <v>214</v>
      </c>
      <c r="F11" t="s">
        <v>407</v>
      </c>
      <c r="G11" t="s">
        <v>215</v>
      </c>
      <c r="I11">
        <v>5</v>
      </c>
      <c r="J11">
        <v>6.5</v>
      </c>
      <c r="K11">
        <v>1.29</v>
      </c>
      <c r="L11">
        <v>6</v>
      </c>
      <c r="M11">
        <v>4.03</v>
      </c>
      <c r="N11">
        <v>1.29</v>
      </c>
      <c r="O11">
        <f t="shared" si="4"/>
        <v>1.29</v>
      </c>
      <c r="P11">
        <f t="shared" si="5"/>
        <v>1.9147286821705425</v>
      </c>
      <c r="Q11">
        <f t="shared" si="6"/>
        <v>1.7506090808416388</v>
      </c>
      <c r="R11">
        <f t="shared" si="7"/>
        <v>0.73028178225921214</v>
      </c>
    </row>
    <row r="12" spans="1:18" x14ac:dyDescent="0.3">
      <c r="A12">
        <v>10</v>
      </c>
      <c r="B12" t="s">
        <v>220</v>
      </c>
      <c r="C12">
        <v>2018</v>
      </c>
      <c r="D12" t="s">
        <v>221</v>
      </c>
      <c r="E12" t="s">
        <v>222</v>
      </c>
      <c r="F12" t="s">
        <v>223</v>
      </c>
      <c r="G12" t="s">
        <v>224</v>
      </c>
      <c r="H12" t="s">
        <v>226</v>
      </c>
      <c r="I12">
        <v>42</v>
      </c>
      <c r="J12">
        <v>18.2</v>
      </c>
      <c r="K12">
        <f>SQRT(I12)*(20-16.4)/3.92</f>
        <v>5.951700641394976</v>
      </c>
      <c r="L12">
        <v>54</v>
      </c>
      <c r="M12">
        <v>8.1</v>
      </c>
      <c r="N12">
        <f>SQRT(L12)*(9.6-6.8)/3.92</f>
        <v>5.2489065916782387</v>
      </c>
      <c r="O12">
        <f t="shared" si="4"/>
        <v>5.5663659820625027</v>
      </c>
      <c r="P12">
        <f t="shared" si="5"/>
        <v>1.8144692664023596</v>
      </c>
      <c r="Q12">
        <f t="shared" si="6"/>
        <v>1.7999535122711408</v>
      </c>
      <c r="R12">
        <f t="shared" si="7"/>
        <v>0.24387585261365186</v>
      </c>
    </row>
    <row r="13" spans="1:18" x14ac:dyDescent="0.3">
      <c r="A13">
        <v>11</v>
      </c>
      <c r="B13" t="s">
        <v>26</v>
      </c>
      <c r="C13">
        <v>2016</v>
      </c>
      <c r="D13" t="s">
        <v>163</v>
      </c>
      <c r="E13" t="s">
        <v>28</v>
      </c>
      <c r="F13" t="s">
        <v>300</v>
      </c>
      <c r="G13" t="s">
        <v>150</v>
      </c>
      <c r="H13" t="s">
        <v>164</v>
      </c>
      <c r="I13">
        <f>(14/18)*135</f>
        <v>105</v>
      </c>
      <c r="J13">
        <v>2.25</v>
      </c>
      <c r="K13">
        <v>0.25</v>
      </c>
      <c r="L13">
        <v>30</v>
      </c>
      <c r="M13">
        <v>1.7</v>
      </c>
      <c r="N13">
        <v>0.1</v>
      </c>
      <c r="O13">
        <f t="shared" si="4"/>
        <v>0.22594829403858613</v>
      </c>
      <c r="P13">
        <f t="shared" si="5"/>
        <v>2.4341852295909536</v>
      </c>
      <c r="Q13">
        <f t="shared" si="6"/>
        <v>2.4204327706667113</v>
      </c>
      <c r="R13">
        <f t="shared" si="7"/>
        <v>0.25456343387139785</v>
      </c>
    </row>
    <row r="14" spans="1:18" x14ac:dyDescent="0.3">
      <c r="A14">
        <v>12</v>
      </c>
      <c r="B14" t="s">
        <v>158</v>
      </c>
      <c r="C14">
        <v>2011</v>
      </c>
      <c r="D14" t="s">
        <v>227</v>
      </c>
      <c r="E14" t="s">
        <v>33</v>
      </c>
      <c r="F14" t="s">
        <v>253</v>
      </c>
      <c r="G14" t="s">
        <v>57</v>
      </c>
      <c r="H14" t="s">
        <v>228</v>
      </c>
      <c r="I14">
        <v>9</v>
      </c>
      <c r="J14">
        <v>3453</v>
      </c>
      <c r="K14">
        <v>309</v>
      </c>
      <c r="L14">
        <v>9</v>
      </c>
      <c r="M14">
        <v>2505</v>
      </c>
      <c r="N14">
        <v>220</v>
      </c>
      <c r="O14">
        <f t="shared" si="4"/>
        <v>268.21726268083489</v>
      </c>
      <c r="P14">
        <f t="shared" si="5"/>
        <v>3.5344481206195608</v>
      </c>
      <c r="Q14">
        <f t="shared" si="6"/>
        <v>3.3661410672567245</v>
      </c>
      <c r="R14">
        <f t="shared" si="7"/>
        <v>0.75447412733327679</v>
      </c>
    </row>
    <row r="15" spans="1:18" x14ac:dyDescent="0.3">
      <c r="A15">
        <v>13</v>
      </c>
      <c r="B15" t="s">
        <v>17</v>
      </c>
      <c r="C15">
        <v>2015</v>
      </c>
      <c r="D15" t="s">
        <v>230</v>
      </c>
      <c r="E15" t="s">
        <v>19</v>
      </c>
      <c r="F15" t="s">
        <v>72</v>
      </c>
      <c r="G15" t="s">
        <v>231</v>
      </c>
      <c r="H15" t="s">
        <v>232</v>
      </c>
      <c r="I15">
        <v>23</v>
      </c>
      <c r="J15">
        <v>1100</v>
      </c>
      <c r="K15">
        <f>1000*(3/4)</f>
        <v>750</v>
      </c>
      <c r="L15">
        <v>19</v>
      </c>
      <c r="M15">
        <v>500</v>
      </c>
      <c r="N15">
        <f>300*(3/4)</f>
        <v>225</v>
      </c>
      <c r="O15">
        <f t="shared" si="4"/>
        <v>576.32998360314377</v>
      </c>
      <c r="P15">
        <f t="shared" si="5"/>
        <v>1.0410702498052837</v>
      </c>
      <c r="Q15">
        <f t="shared" si="6"/>
        <v>1.0214274149032974</v>
      </c>
      <c r="R15">
        <f t="shared" si="7"/>
        <v>0.33017047922702103</v>
      </c>
    </row>
    <row r="16" spans="1:18" x14ac:dyDescent="0.3">
      <c r="A16">
        <v>14</v>
      </c>
      <c r="B16" t="s">
        <v>178</v>
      </c>
      <c r="C16">
        <v>2021</v>
      </c>
      <c r="D16" t="s">
        <v>179</v>
      </c>
      <c r="E16" t="s">
        <v>33</v>
      </c>
      <c r="F16" t="s">
        <v>253</v>
      </c>
      <c r="G16" t="s">
        <v>180</v>
      </c>
      <c r="H16" t="s">
        <v>243</v>
      </c>
      <c r="I16">
        <v>15</v>
      </c>
      <c r="J16">
        <v>8.8000000000000007</v>
      </c>
      <c r="K16">
        <f>(14.9-6.9)*(3/4)</f>
        <v>6</v>
      </c>
      <c r="L16">
        <v>18</v>
      </c>
      <c r="M16">
        <v>5</v>
      </c>
      <c r="N16">
        <f>(5.6-4.4)*(3/4)</f>
        <v>0.89999999999999947</v>
      </c>
      <c r="O16">
        <f t="shared" si="4"/>
        <v>4.0868396181543671</v>
      </c>
      <c r="P16">
        <f t="shared" si="5"/>
        <v>0.92981383050115773</v>
      </c>
      <c r="Q16">
        <f t="shared" si="6"/>
        <v>0.90713544439137339</v>
      </c>
      <c r="R16">
        <f t="shared" si="7"/>
        <v>0.36786073670199965</v>
      </c>
    </row>
    <row r="17" spans="1:18" x14ac:dyDescent="0.3">
      <c r="A17">
        <v>15</v>
      </c>
      <c r="B17" t="s">
        <v>294</v>
      </c>
      <c r="C17">
        <v>2010</v>
      </c>
      <c r="D17" t="s">
        <v>295</v>
      </c>
      <c r="E17" t="s">
        <v>38</v>
      </c>
      <c r="F17" t="s">
        <v>253</v>
      </c>
      <c r="G17" t="s">
        <v>129</v>
      </c>
      <c r="H17" t="s">
        <v>296</v>
      </c>
      <c r="I17">
        <v>11</v>
      </c>
      <c r="J17">
        <v>3</v>
      </c>
      <c r="K17">
        <f>(10/9)*(3/4)</f>
        <v>0.83333333333333337</v>
      </c>
      <c r="L17">
        <v>10</v>
      </c>
      <c r="M17">
        <v>2</v>
      </c>
      <c r="N17">
        <f>(10/10)*(3/4)</f>
        <v>0.75</v>
      </c>
      <c r="O17">
        <f t="shared" si="4"/>
        <v>0.79494933451412142</v>
      </c>
      <c r="P17">
        <f t="shared" si="5"/>
        <v>1.257941804066302</v>
      </c>
      <c r="Q17">
        <f t="shared" si="6"/>
        <v>1.2076241319036498</v>
      </c>
      <c r="R17">
        <f t="shared" si="7"/>
        <v>0.47810636893297231</v>
      </c>
    </row>
    <row r="18" spans="1:18" x14ac:dyDescent="0.3">
      <c r="A18">
        <v>16</v>
      </c>
      <c r="B18" t="s">
        <v>342</v>
      </c>
      <c r="C18">
        <v>2014</v>
      </c>
      <c r="D18" t="s">
        <v>343</v>
      </c>
      <c r="E18" t="s">
        <v>33</v>
      </c>
      <c r="F18" t="s">
        <v>253</v>
      </c>
      <c r="G18" t="s">
        <v>152</v>
      </c>
      <c r="H18" t="s">
        <v>344</v>
      </c>
      <c r="I18">
        <v>11</v>
      </c>
      <c r="J18">
        <v>290</v>
      </c>
      <c r="K18">
        <v>50</v>
      </c>
      <c r="L18">
        <v>5</v>
      </c>
      <c r="M18">
        <v>140</v>
      </c>
      <c r="N18">
        <v>40</v>
      </c>
      <c r="O18">
        <f t="shared" si="4"/>
        <v>47.358812726430784</v>
      </c>
      <c r="P18">
        <f t="shared" si="5"/>
        <v>3.1673091313854989</v>
      </c>
      <c r="Q18">
        <f t="shared" si="6"/>
        <v>2.9945468151281078</v>
      </c>
      <c r="R18">
        <f t="shared" si="7"/>
        <v>0.77743444343496082</v>
      </c>
    </row>
    <row r="19" spans="1:18" x14ac:dyDescent="0.3">
      <c r="A19">
        <v>17</v>
      </c>
      <c r="B19" t="s">
        <v>365</v>
      </c>
      <c r="C19">
        <v>2022</v>
      </c>
      <c r="D19" t="s">
        <v>366</v>
      </c>
      <c r="E19" t="s">
        <v>367</v>
      </c>
      <c r="F19" t="s">
        <v>72</v>
      </c>
      <c r="G19" t="s">
        <v>77</v>
      </c>
      <c r="H19" t="s">
        <v>368</v>
      </c>
      <c r="I19">
        <v>10</v>
      </c>
      <c r="J19">
        <v>40</v>
      </c>
      <c r="K19">
        <f>20*(3/4)</f>
        <v>15</v>
      </c>
      <c r="L19">
        <v>10</v>
      </c>
      <c r="M19">
        <v>20</v>
      </c>
      <c r="N19">
        <f>20*(3/4)</f>
        <v>15</v>
      </c>
      <c r="O19">
        <f t="shared" si="4"/>
        <v>15</v>
      </c>
      <c r="P19">
        <f t="shared" si="5"/>
        <v>1.3333333333333333</v>
      </c>
      <c r="Q19">
        <f t="shared" si="6"/>
        <v>1.2769953051643192</v>
      </c>
      <c r="R19">
        <f t="shared" si="7"/>
        <v>0.4944132324730442</v>
      </c>
    </row>
    <row r="20" spans="1:18" x14ac:dyDescent="0.3">
      <c r="A20">
        <v>18</v>
      </c>
      <c r="B20" t="s">
        <v>369</v>
      </c>
      <c r="C20">
        <v>2014</v>
      </c>
      <c r="D20" t="s">
        <v>370</v>
      </c>
      <c r="E20" t="s">
        <v>354</v>
      </c>
      <c r="F20" t="s">
        <v>407</v>
      </c>
      <c r="G20" t="s">
        <v>371</v>
      </c>
      <c r="H20" t="s">
        <v>372</v>
      </c>
      <c r="I20">
        <v>6</v>
      </c>
      <c r="J20">
        <v>5.57</v>
      </c>
      <c r="K20">
        <v>4</v>
      </c>
      <c r="L20">
        <v>6</v>
      </c>
      <c r="M20">
        <v>9.73</v>
      </c>
      <c r="N20">
        <v>6</v>
      </c>
      <c r="O20">
        <f t="shared" ref="O20" si="8">SQRT(((I20-1)*POWER(K20,2) + (L20-1)*POWER(N20,2))/((I20-1)+(L20-1)))</f>
        <v>5.0990195135927845</v>
      </c>
      <c r="P20">
        <f t="shared" ref="P20" si="9">(J20-M20)/O20</f>
        <v>-0.81584312217484567</v>
      </c>
      <c r="Q20">
        <f t="shared" ref="Q20" si="10">P20*(1- (3/(4*(I20+L20)-9)))</f>
        <v>-0.7530859589306268</v>
      </c>
      <c r="R20">
        <f t="shared" ref="R20" si="11">SQRT((I20+L20)/(I20*L20)+(POWER(P20,2)/(2*(I20+L20))))</f>
        <v>0.6008882314263333</v>
      </c>
    </row>
    <row r="21" spans="1:18" x14ac:dyDescent="0.3">
      <c r="A21">
        <v>19</v>
      </c>
      <c r="B21" t="s">
        <v>373</v>
      </c>
      <c r="C21">
        <v>2020</v>
      </c>
      <c r="D21" t="s">
        <v>374</v>
      </c>
      <c r="E21" t="s">
        <v>19</v>
      </c>
      <c r="F21" t="s">
        <v>253</v>
      </c>
      <c r="G21" t="s">
        <v>375</v>
      </c>
      <c r="H21" t="s">
        <v>376</v>
      </c>
      <c r="I21">
        <v>6</v>
      </c>
      <c r="J21">
        <v>15000</v>
      </c>
      <c r="K21">
        <f>4000*(3/4)</f>
        <v>3000</v>
      </c>
      <c r="L21">
        <v>3</v>
      </c>
      <c r="M21">
        <v>3000</v>
      </c>
      <c r="N21">
        <v>300</v>
      </c>
      <c r="O21">
        <f t="shared" ref="O21" si="12">SQRT(((I21-1)*POWER(K21,2) + (L21-1)*POWER(N21,2))/((I21-1)+(L21-1)))</f>
        <v>2540.5286289049595</v>
      </c>
      <c r="P21">
        <f t="shared" ref="P21" si="13">(J21-M21)/O21</f>
        <v>4.723426401682528</v>
      </c>
      <c r="Q21">
        <f t="shared" ref="Q21" si="14">P21*(1- (3/(4*(I21+L21)-9)))</f>
        <v>4.1986012459400248</v>
      </c>
      <c r="R21">
        <f t="shared" ref="R21" si="15">SQRT((I21+L21)/(I21*L21)+(POWER(P21,2)/(2*(I21+L21))))</f>
        <v>1.3188959392046977</v>
      </c>
    </row>
    <row r="22" spans="1:18" x14ac:dyDescent="0.3">
      <c r="A22">
        <v>20</v>
      </c>
      <c r="B22" t="s">
        <v>378</v>
      </c>
      <c r="C22">
        <v>2021</v>
      </c>
      <c r="D22" t="s">
        <v>379</v>
      </c>
      <c r="E22" t="s">
        <v>380</v>
      </c>
      <c r="F22" t="s">
        <v>72</v>
      </c>
      <c r="G22" t="s">
        <v>381</v>
      </c>
      <c r="H22" t="s">
        <v>382</v>
      </c>
      <c r="I22">
        <v>9</v>
      </c>
      <c r="J22">
        <v>1.9</v>
      </c>
      <c r="K22">
        <v>0.95</v>
      </c>
      <c r="L22">
        <v>5</v>
      </c>
      <c r="M22">
        <v>0.51</v>
      </c>
      <c r="N22">
        <v>0.23</v>
      </c>
      <c r="O22">
        <f t="shared" ref="O22:O27" si="16">SQRT(((I22-1)*POWER(K22,2) + (L22-1)*POWER(N22,2))/((I22-1)+(L22-1)))</f>
        <v>0.78695616142196889</v>
      </c>
      <c r="P22">
        <f t="shared" ref="P22:P27" si="17">(J22-M22)/O22</f>
        <v>1.7662991512619679</v>
      </c>
      <c r="Q22">
        <f t="shared" ref="Q22:Q27" si="18">P22*(1- (3/(4*(I22+L22)-9)))</f>
        <v>1.6535566522452465</v>
      </c>
      <c r="R22">
        <f t="shared" ref="R22:R27" si="19">SQRT((I22+L22)/(I22*L22)+(POWER(P22,2)/(2*(I22+L22))))</f>
        <v>0.65002537870400157</v>
      </c>
    </row>
    <row r="23" spans="1:18" x14ac:dyDescent="0.3">
      <c r="A23">
        <v>21</v>
      </c>
      <c r="B23" t="s">
        <v>383</v>
      </c>
      <c r="C23">
        <v>2022</v>
      </c>
      <c r="D23" t="s">
        <v>384</v>
      </c>
      <c r="E23" t="s">
        <v>385</v>
      </c>
      <c r="F23" t="s">
        <v>253</v>
      </c>
      <c r="G23" t="s">
        <v>386</v>
      </c>
      <c r="H23" t="s">
        <v>387</v>
      </c>
      <c r="I23">
        <f>13*9</f>
        <v>117</v>
      </c>
      <c r="J23">
        <v>27900</v>
      </c>
      <c r="K23">
        <v>31400</v>
      </c>
      <c r="L23">
        <f>7*9</f>
        <v>63</v>
      </c>
      <c r="M23">
        <v>10400</v>
      </c>
      <c r="N23">
        <v>9760</v>
      </c>
      <c r="O23">
        <f t="shared" si="16"/>
        <v>25994.525266298377</v>
      </c>
      <c r="P23">
        <f t="shared" si="17"/>
        <v>0.67321868049994982</v>
      </c>
      <c r="Q23">
        <f t="shared" si="18"/>
        <v>0.67037809535016102</v>
      </c>
      <c r="R23">
        <f t="shared" si="19"/>
        <v>0.16024661708149587</v>
      </c>
    </row>
    <row r="24" spans="1:18" x14ac:dyDescent="0.3">
      <c r="A24">
        <v>22</v>
      </c>
      <c r="B24" t="s">
        <v>391</v>
      </c>
      <c r="C24">
        <v>2006</v>
      </c>
      <c r="D24" t="s">
        <v>392</v>
      </c>
      <c r="E24" t="s">
        <v>393</v>
      </c>
      <c r="F24" t="s">
        <v>72</v>
      </c>
      <c r="G24" t="s">
        <v>394</v>
      </c>
      <c r="H24" t="s">
        <v>395</v>
      </c>
      <c r="I24">
        <v>10</v>
      </c>
      <c r="J24">
        <v>3064</v>
      </c>
      <c r="K24">
        <f>(3968-1072)*(3/4)</f>
        <v>2172</v>
      </c>
      <c r="L24">
        <v>10</v>
      </c>
      <c r="M24">
        <v>316</v>
      </c>
      <c r="N24">
        <f>(402-172)*(3/4)</f>
        <v>172.5</v>
      </c>
      <c r="O24">
        <f t="shared" si="16"/>
        <v>1540.671971900573</v>
      </c>
      <c r="P24">
        <f t="shared" si="17"/>
        <v>1.7836373025012373</v>
      </c>
      <c r="Q24">
        <f t="shared" si="18"/>
        <v>1.7082723460575231</v>
      </c>
      <c r="R24">
        <f t="shared" si="19"/>
        <v>0.52870979816138008</v>
      </c>
    </row>
    <row r="25" spans="1:18" x14ac:dyDescent="0.3">
      <c r="A25">
        <v>23</v>
      </c>
      <c r="B25" t="s">
        <v>396</v>
      </c>
      <c r="C25">
        <v>2019</v>
      </c>
      <c r="D25" t="s">
        <v>397</v>
      </c>
      <c r="E25" t="s">
        <v>398</v>
      </c>
      <c r="F25" t="s">
        <v>72</v>
      </c>
      <c r="G25" t="s">
        <v>399</v>
      </c>
      <c r="H25" t="s">
        <v>400</v>
      </c>
      <c r="I25">
        <v>20</v>
      </c>
      <c r="J25">
        <v>545.70000000000005</v>
      </c>
      <c r="K25">
        <v>253</v>
      </c>
      <c r="L25">
        <v>20</v>
      </c>
      <c r="M25">
        <v>293</v>
      </c>
      <c r="N25">
        <v>103</v>
      </c>
      <c r="O25">
        <f t="shared" si="16"/>
        <v>193.15537786973471</v>
      </c>
      <c r="P25">
        <f t="shared" si="17"/>
        <v>1.3082731777233902</v>
      </c>
      <c r="Q25">
        <f t="shared" si="18"/>
        <v>1.2822809953845149</v>
      </c>
      <c r="R25">
        <f t="shared" si="19"/>
        <v>0.34841747063598966</v>
      </c>
    </row>
    <row r="26" spans="1:18" x14ac:dyDescent="0.3">
      <c r="A26">
        <v>24</v>
      </c>
      <c r="B26" t="s">
        <v>424</v>
      </c>
      <c r="C26">
        <v>2019</v>
      </c>
      <c r="D26" t="s">
        <v>425</v>
      </c>
      <c r="F26" t="s">
        <v>72</v>
      </c>
      <c r="G26" t="s">
        <v>426</v>
      </c>
      <c r="H26" t="s">
        <v>427</v>
      </c>
      <c r="I26">
        <v>11</v>
      </c>
      <c r="J26">
        <v>3.6709999999999998</v>
      </c>
      <c r="K26">
        <v>1.3520000000000001</v>
      </c>
      <c r="L26">
        <v>5</v>
      </c>
      <c r="M26">
        <v>3.2290000000000001</v>
      </c>
      <c r="N26">
        <v>1.248</v>
      </c>
      <c r="O26">
        <f t="shared" si="16"/>
        <v>1.323120121962801</v>
      </c>
      <c r="P26">
        <f t="shared" si="17"/>
        <v>0.33405886031293108</v>
      </c>
      <c r="Q26">
        <f t="shared" si="18"/>
        <v>0.31583746793222572</v>
      </c>
      <c r="R26">
        <f t="shared" si="19"/>
        <v>0.54258312241203199</v>
      </c>
    </row>
    <row r="27" spans="1:18" x14ac:dyDescent="0.3">
      <c r="A27">
        <v>25</v>
      </c>
      <c r="B27" t="s">
        <v>432</v>
      </c>
      <c r="C27">
        <v>2007</v>
      </c>
      <c r="D27" t="s">
        <v>433</v>
      </c>
      <c r="E27" t="s">
        <v>38</v>
      </c>
      <c r="F27" t="s">
        <v>253</v>
      </c>
      <c r="G27" t="s">
        <v>434</v>
      </c>
      <c r="H27" t="s">
        <v>436</v>
      </c>
      <c r="I27">
        <v>14</v>
      </c>
      <c r="J27">
        <v>203.6</v>
      </c>
      <c r="K27">
        <v>52.7</v>
      </c>
      <c r="L27">
        <v>15</v>
      </c>
      <c r="M27">
        <v>144</v>
      </c>
      <c r="N27">
        <v>20.2</v>
      </c>
      <c r="O27">
        <f t="shared" si="16"/>
        <v>39.354669354474318</v>
      </c>
      <c r="P27">
        <f t="shared" si="17"/>
        <v>1.5144327465483824</v>
      </c>
      <c r="Q27">
        <f t="shared" si="18"/>
        <v>1.4719720153367455</v>
      </c>
      <c r="R27">
        <f t="shared" si="19"/>
        <v>0.42147177173324857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8FF69-1A01-44B7-9B68-125032E688E1}">
  <dimension ref="A1:R8"/>
  <sheetViews>
    <sheetView workbookViewId="0">
      <selection activeCell="H15" sqref="H15"/>
    </sheetView>
  </sheetViews>
  <sheetFormatPr defaultRowHeight="14.4" x14ac:dyDescent="0.3"/>
  <cols>
    <col min="2" max="2" width="20.3320312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105</v>
      </c>
      <c r="C2">
        <v>2020</v>
      </c>
      <c r="D2" t="s">
        <v>106</v>
      </c>
      <c r="E2" t="s">
        <v>107</v>
      </c>
      <c r="F2" t="s">
        <v>108</v>
      </c>
      <c r="G2" t="s">
        <v>109</v>
      </c>
      <c r="H2" t="s">
        <v>110</v>
      </c>
      <c r="I2">
        <f>50*20</f>
        <v>1000</v>
      </c>
      <c r="J2">
        <v>0.314</v>
      </c>
      <c r="K2">
        <v>0.315</v>
      </c>
      <c r="L2">
        <f>26*15</f>
        <v>390</v>
      </c>
      <c r="M2">
        <v>5.7000000000000002E-2</v>
      </c>
      <c r="N2">
        <v>0.35299999999999998</v>
      </c>
      <c r="O2">
        <f t="shared" ref="O2:O7" si="0">SQRT(((I2-1)*POWER(K2,2) + (L2-1)*POWER(N2,2))/((I2-1)+(L2-1)))</f>
        <v>0.32609677052433023</v>
      </c>
      <c r="P2">
        <f t="shared" ref="P2:P7" si="1">(J2-M2)/O2</f>
        <v>0.78810961416996039</v>
      </c>
      <c r="Q2">
        <f t="shared" ref="Q2:Q7" si="2">P2*(1- (3/(4*(I2+L2)-9)))</f>
        <v>0.78768368571697722</v>
      </c>
      <c r="R2">
        <f t="shared" ref="R2:R7" si="3">SQRT((I2+L2)/(I2*L2)+(POWER(P2,2)/(2*(I2+L2))))</f>
        <v>6.1542878227187438E-2</v>
      </c>
    </row>
    <row r="3" spans="1:18" x14ac:dyDescent="0.3">
      <c r="A3">
        <v>1</v>
      </c>
      <c r="B3" t="s">
        <v>111</v>
      </c>
      <c r="C3">
        <v>2019</v>
      </c>
      <c r="D3" t="s">
        <v>112</v>
      </c>
      <c r="E3" t="s">
        <v>113</v>
      </c>
      <c r="F3" t="s">
        <v>407</v>
      </c>
      <c r="G3" t="s">
        <v>114</v>
      </c>
      <c r="H3" t="s">
        <v>115</v>
      </c>
      <c r="I3">
        <v>13</v>
      </c>
      <c r="J3">
        <v>0.75</v>
      </c>
      <c r="K3">
        <v>0.75</v>
      </c>
      <c r="L3">
        <v>15</v>
      </c>
      <c r="M3">
        <v>0.25</v>
      </c>
      <c r="N3">
        <v>0.4</v>
      </c>
      <c r="O3">
        <f t="shared" si="0"/>
        <v>0.58802145434433839</v>
      </c>
      <c r="P3">
        <f t="shared" si="1"/>
        <v>0.8503091108427584</v>
      </c>
      <c r="Q3">
        <f t="shared" si="2"/>
        <v>0.82554282606093055</v>
      </c>
      <c r="R3">
        <f t="shared" si="3"/>
        <v>0.39560196502581091</v>
      </c>
    </row>
    <row r="4" spans="1:18" x14ac:dyDescent="0.3">
      <c r="A4">
        <v>2</v>
      </c>
      <c r="B4" t="s">
        <v>116</v>
      </c>
      <c r="C4">
        <v>2018</v>
      </c>
      <c r="D4" t="s">
        <v>117</v>
      </c>
      <c r="E4" t="s">
        <v>118</v>
      </c>
      <c r="F4" t="s">
        <v>72</v>
      </c>
      <c r="G4" t="s">
        <v>119</v>
      </c>
      <c r="H4" t="s">
        <v>120</v>
      </c>
      <c r="I4">
        <v>50</v>
      </c>
      <c r="J4">
        <f>0.02/8</f>
        <v>2.5000000000000001E-3</v>
      </c>
      <c r="K4">
        <v>5.0000000000000001E-3</v>
      </c>
      <c r="L4">
        <v>60</v>
      </c>
      <c r="M4">
        <v>1.7500000000000002E-2</v>
      </c>
      <c r="N4">
        <v>5.0000000000000001E-3</v>
      </c>
      <c r="O4">
        <f t="shared" si="0"/>
        <v>5.0000000000000001E-3</v>
      </c>
      <c r="P4">
        <f t="shared" si="1"/>
        <v>-3</v>
      </c>
      <c r="Q4">
        <f t="shared" si="2"/>
        <v>-2.9791183294663575</v>
      </c>
      <c r="R4">
        <f t="shared" si="3"/>
        <v>0.27852424952911653</v>
      </c>
    </row>
    <row r="5" spans="1:18" x14ac:dyDescent="0.3">
      <c r="A5">
        <v>3</v>
      </c>
      <c r="B5" t="s">
        <v>121</v>
      </c>
      <c r="C5">
        <v>2019</v>
      </c>
      <c r="D5" t="s">
        <v>122</v>
      </c>
      <c r="E5" t="s">
        <v>123</v>
      </c>
      <c r="F5" t="s">
        <v>253</v>
      </c>
      <c r="G5" t="s">
        <v>124</v>
      </c>
      <c r="H5" t="s">
        <v>125</v>
      </c>
      <c r="I5">
        <v>7</v>
      </c>
      <c r="J5">
        <v>4.87</v>
      </c>
      <c r="K5">
        <v>0.56000000000000005</v>
      </c>
      <c r="L5">
        <v>7</v>
      </c>
      <c r="M5">
        <v>4.0999999999999996</v>
      </c>
      <c r="N5">
        <v>0.31</v>
      </c>
      <c r="O5">
        <f t="shared" si="0"/>
        <v>0.45260357930533429</v>
      </c>
      <c r="P5">
        <f t="shared" si="1"/>
        <v>1.7012680305838788</v>
      </c>
      <c r="Q5">
        <f t="shared" si="2"/>
        <v>1.5926764541636311</v>
      </c>
      <c r="R5">
        <f t="shared" si="3"/>
        <v>0.62376486274553433</v>
      </c>
    </row>
    <row r="6" spans="1:18" x14ac:dyDescent="0.3">
      <c r="A6">
        <v>4</v>
      </c>
      <c r="B6" t="s">
        <v>131</v>
      </c>
      <c r="C6">
        <v>2020</v>
      </c>
      <c r="D6" t="s">
        <v>406</v>
      </c>
      <c r="E6" t="s">
        <v>132</v>
      </c>
      <c r="F6" t="s">
        <v>300</v>
      </c>
      <c r="G6" t="s">
        <v>133</v>
      </c>
      <c r="H6" t="s">
        <v>134</v>
      </c>
      <c r="I6">
        <v>18</v>
      </c>
      <c r="J6">
        <v>3.25</v>
      </c>
      <c r="K6">
        <f>0.96*(3/4)</f>
        <v>0.72</v>
      </c>
      <c r="L6">
        <v>14</v>
      </c>
      <c r="M6">
        <v>3.26</v>
      </c>
      <c r="N6">
        <f>0.7*(3/4)</f>
        <v>0.52499999999999991</v>
      </c>
      <c r="O6">
        <f t="shared" si="0"/>
        <v>0.6428044025984887</v>
      </c>
      <c r="P6">
        <f t="shared" si="1"/>
        <v>-1.5556831844299035E-2</v>
      </c>
      <c r="Q6">
        <f t="shared" si="2"/>
        <v>-1.5164642806207463E-2</v>
      </c>
      <c r="R6">
        <f t="shared" si="3"/>
        <v>0.35635362839287621</v>
      </c>
    </row>
    <row r="7" spans="1:18" x14ac:dyDescent="0.3">
      <c r="A7">
        <v>5</v>
      </c>
      <c r="B7" t="s">
        <v>135</v>
      </c>
      <c r="C7">
        <v>2018</v>
      </c>
      <c r="D7" t="s">
        <v>137</v>
      </c>
      <c r="E7" t="s">
        <v>136</v>
      </c>
      <c r="F7" t="s">
        <v>253</v>
      </c>
      <c r="G7" t="s">
        <v>138</v>
      </c>
      <c r="H7" t="s">
        <v>139</v>
      </c>
      <c r="I7">
        <v>12</v>
      </c>
      <c r="J7">
        <v>0.108</v>
      </c>
      <c r="K7">
        <v>7.4999999999999997E-2</v>
      </c>
      <c r="L7">
        <v>12</v>
      </c>
      <c r="M7">
        <v>3.7999999999999999E-2</v>
      </c>
      <c r="N7">
        <v>2.3E-2</v>
      </c>
      <c r="O7">
        <f t="shared" si="0"/>
        <v>5.5470712993434652E-2</v>
      </c>
      <c r="P7">
        <f t="shared" si="1"/>
        <v>1.2619271724213279</v>
      </c>
      <c r="Q7">
        <f t="shared" si="2"/>
        <v>1.218412442337834</v>
      </c>
      <c r="R7">
        <f t="shared" si="3"/>
        <v>0.44703794088830068</v>
      </c>
    </row>
    <row r="8" spans="1:18" x14ac:dyDescent="0.3">
      <c r="A8">
        <v>6</v>
      </c>
      <c r="B8" t="s">
        <v>328</v>
      </c>
      <c r="C8">
        <v>2018</v>
      </c>
      <c r="D8" t="s">
        <v>329</v>
      </c>
      <c r="E8" t="s">
        <v>313</v>
      </c>
      <c r="F8" t="s">
        <v>253</v>
      </c>
      <c r="G8" t="s">
        <v>330</v>
      </c>
      <c r="H8" t="s">
        <v>331</v>
      </c>
      <c r="I8">
        <v>2</v>
      </c>
      <c r="J8">
        <v>4.9000000000000004</v>
      </c>
      <c r="K8">
        <f>(6.7-3.6)*(3/4)</f>
        <v>2.3250000000000002</v>
      </c>
      <c r="L8">
        <v>2</v>
      </c>
      <c r="M8">
        <v>4.1500000000000004</v>
      </c>
      <c r="N8">
        <f>(6.4-4)*(3/4)</f>
        <v>1.8000000000000003</v>
      </c>
      <c r="O8">
        <f t="shared" ref="O8" si="4">SQRT(((I8-1)*POWER(K8,2) + (L8-1)*POWER(N8,2))/((I8-1)+(L8-1)))</f>
        <v>2.0791374413443671</v>
      </c>
      <c r="P8">
        <f t="shared" ref="P8" si="5">(J8-M8)/O8</f>
        <v>0.36072651335404321</v>
      </c>
      <c r="Q8">
        <f t="shared" ref="Q8" si="6">P8*(1- (3/(4*(I8+L8)-9)))</f>
        <v>0.20612943620231039</v>
      </c>
      <c r="R8">
        <f t="shared" ref="R8" si="7">SQRT((I8+L8)/(I8*L8)+(POWER(P8,2)/(2*(I8+L8))))</f>
        <v>1.0080999217238193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C3E7-A606-4632-BFE8-84337DA69629}">
  <dimension ref="A1:R3"/>
  <sheetViews>
    <sheetView workbookViewId="0">
      <selection activeCell="R1" sqref="A1:R1"/>
    </sheetView>
  </sheetViews>
  <sheetFormatPr defaultRowHeight="14.4" x14ac:dyDescent="0.3"/>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131</v>
      </c>
      <c r="C2">
        <v>2020</v>
      </c>
      <c r="D2" t="s">
        <v>406</v>
      </c>
      <c r="E2" t="s">
        <v>132</v>
      </c>
      <c r="F2" t="s">
        <v>300</v>
      </c>
      <c r="G2" t="s">
        <v>133</v>
      </c>
      <c r="H2" t="s">
        <v>134</v>
      </c>
      <c r="I2">
        <v>18</v>
      </c>
      <c r="J2">
        <v>22.7</v>
      </c>
      <c r="K2">
        <f>(3/4)*20.87</f>
        <v>15.6525</v>
      </c>
      <c r="L2">
        <v>14</v>
      </c>
      <c r="M2">
        <v>25.28</v>
      </c>
      <c r="N2">
        <f>(3/4)*20.08</f>
        <v>15.059999999999999</v>
      </c>
      <c r="O2">
        <f>SQRT(((I2-1)*POWER(K2,2) + (L2-1)*POWER(N2,2))/((I2-1)+(L2-1)))</f>
        <v>15.398549343201131</v>
      </c>
      <c r="P2">
        <f>(J2-M2)/O2</f>
        <v>-0.16754825032522563</v>
      </c>
      <c r="Q2">
        <f>P2*(1- (3/(4*(I2+L2)-9)))</f>
        <v>-0.16332434485484179</v>
      </c>
      <c r="R2">
        <f>SQRT((I2+L2)/(I2*L2)+(POWER(P2,2)/(2*(I2+L2))))</f>
        <v>0.35696324528871254</v>
      </c>
    </row>
    <row r="3" spans="1:18" x14ac:dyDescent="0.3">
      <c r="A3">
        <v>1</v>
      </c>
      <c r="B3" t="s">
        <v>328</v>
      </c>
      <c r="C3">
        <v>2018</v>
      </c>
      <c r="D3" t="s">
        <v>329</v>
      </c>
      <c r="E3" t="s">
        <v>313</v>
      </c>
      <c r="F3" t="s">
        <v>253</v>
      </c>
      <c r="G3" t="s">
        <v>330</v>
      </c>
      <c r="H3" t="s">
        <v>331</v>
      </c>
      <c r="I3">
        <v>2</v>
      </c>
      <c r="J3">
        <v>1</v>
      </c>
      <c r="K3">
        <f>(1.7-0.4)*(3/4)</f>
        <v>0.97499999999999987</v>
      </c>
      <c r="L3">
        <v>2</v>
      </c>
      <c r="M3">
        <v>0.3</v>
      </c>
      <c r="N3">
        <f>(0.4-0.3)*(3/4)</f>
        <v>7.5000000000000025E-2</v>
      </c>
      <c r="O3">
        <f t="shared" ref="O3" si="0">SQRT(((I3-1)*POWER(K3,2) + (L3-1)*POWER(N3,2))/((I3-1)+(L3-1)))</f>
        <v>0.6914658342969664</v>
      </c>
      <c r="P3">
        <f t="shared" ref="P3" si="1">(J3-M3)/O3</f>
        <v>1.0123421364870624</v>
      </c>
      <c r="Q3">
        <f t="shared" ref="Q3" si="2">P3*(1- (3/(4*(I3+L3)-9)))</f>
        <v>0.57848122084974996</v>
      </c>
      <c r="R3">
        <f t="shared" ref="R3" si="3">SQRT((I3+L3)/(I3*L3)+(POWER(P3,2)/(2*(I3+L3))))</f>
        <v>1.0621226742534964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A30E-38AD-4AA4-A25F-0DF14F283FD0}">
  <dimension ref="A1:R1"/>
  <sheetViews>
    <sheetView workbookViewId="0">
      <selection activeCell="F21" sqref="F21"/>
    </sheetView>
  </sheetViews>
  <sheetFormatPr defaultRowHeight="14.4" x14ac:dyDescent="0.3"/>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B5582-C584-406A-ABB8-AA0332D414F1}">
  <dimension ref="A1:R14"/>
  <sheetViews>
    <sheetView tabSelected="1" workbookViewId="0">
      <selection activeCell="H19" sqref="H19"/>
    </sheetView>
  </sheetViews>
  <sheetFormatPr defaultRowHeight="14.4" x14ac:dyDescent="0.3"/>
  <cols>
    <col min="2" max="2" width="16.6640625" customWidth="1"/>
    <col min="8" max="8" width="49.7773437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17</v>
      </c>
      <c r="C2">
        <v>2015</v>
      </c>
      <c r="D2" t="s">
        <v>230</v>
      </c>
      <c r="E2" t="s">
        <v>19</v>
      </c>
      <c r="F2" t="s">
        <v>72</v>
      </c>
      <c r="G2" t="s">
        <v>231</v>
      </c>
      <c r="H2" t="s">
        <v>263</v>
      </c>
      <c r="I2">
        <v>23</v>
      </c>
      <c r="J2">
        <v>1</v>
      </c>
      <c r="K2">
        <f>1*(3/4)</f>
        <v>0.75</v>
      </c>
      <c r="L2">
        <v>19</v>
      </c>
      <c r="M2">
        <f>2/3</f>
        <v>0.66666666666666663</v>
      </c>
      <c r="N2">
        <f>0.5*(3/4)</f>
        <v>0.375</v>
      </c>
      <c r="O2">
        <f t="shared" ref="O2" si="0">SQRT(((I2-1)*POWER(K2,2) + (L2-1)*POWER(N2,2))/((I2-1)+(L2-1)))</f>
        <v>0.61045577235373905</v>
      </c>
      <c r="P2">
        <f t="shared" ref="P2" si="1">(J2-M2)/O2</f>
        <v>0.54604010385240109</v>
      </c>
      <c r="Q2">
        <f t="shared" ref="Q2" si="2">P2*(1- (3/(4*(I2+L2)-9)))</f>
        <v>0.53573746038348791</v>
      </c>
      <c r="R2">
        <f t="shared" ref="R2" si="3">SQRT((I2+L2)/(I2*L2)+(POWER(P2,2)/(2*(I2+L2))))</f>
        <v>0.31568870931055087</v>
      </c>
    </row>
    <row r="3" spans="1:18" x14ac:dyDescent="0.3">
      <c r="A3">
        <v>1</v>
      </c>
      <c r="B3" t="s">
        <v>264</v>
      </c>
      <c r="C3">
        <v>2016</v>
      </c>
      <c r="D3" t="s">
        <v>265</v>
      </c>
      <c r="E3" t="s">
        <v>28</v>
      </c>
      <c r="F3" t="s">
        <v>253</v>
      </c>
      <c r="G3" t="s">
        <v>266</v>
      </c>
      <c r="H3" t="s">
        <v>267</v>
      </c>
      <c r="I3">
        <v>25</v>
      </c>
      <c r="J3">
        <v>10</v>
      </c>
      <c r="K3">
        <f>4*(3/4)</f>
        <v>3</v>
      </c>
      <c r="L3">
        <v>25</v>
      </c>
      <c r="M3">
        <v>7</v>
      </c>
      <c r="N3">
        <f>2*(3/4)</f>
        <v>1.5</v>
      </c>
      <c r="O3">
        <f t="shared" ref="O3" si="4">SQRT(((I3-1)*POWER(K3,2) + (L3-1)*POWER(N3,2))/((I3-1)+(L3-1)))</f>
        <v>2.3717082451262845</v>
      </c>
      <c r="P3">
        <f t="shared" ref="P3" si="5">(J3-M3)/O3</f>
        <v>1.2649110640673518</v>
      </c>
      <c r="Q3">
        <f t="shared" ref="Q3" si="6">P3*(1- (3/(4*(I3+L3)-9)))</f>
        <v>1.2450433510191734</v>
      </c>
      <c r="R3">
        <f t="shared" ref="R3" si="7">SQRT((I3+L3)/(I3*L3)+(POWER(P3,2)/(2*(I3+L3))))</f>
        <v>0.30983866769659335</v>
      </c>
    </row>
    <row r="4" spans="1:18" x14ac:dyDescent="0.3">
      <c r="A4">
        <v>3</v>
      </c>
      <c r="B4" t="s">
        <v>268</v>
      </c>
      <c r="C4">
        <v>2014</v>
      </c>
      <c r="D4" t="s">
        <v>269</v>
      </c>
      <c r="E4" t="s">
        <v>270</v>
      </c>
      <c r="F4" t="s">
        <v>253</v>
      </c>
      <c r="G4" t="s">
        <v>129</v>
      </c>
      <c r="H4" t="s">
        <v>271</v>
      </c>
      <c r="I4">
        <v>12</v>
      </c>
      <c r="J4">
        <v>10</v>
      </c>
      <c r="K4">
        <f>4*(3/4)</f>
        <v>3</v>
      </c>
      <c r="L4">
        <v>11</v>
      </c>
      <c r="M4">
        <v>2.5</v>
      </c>
      <c r="N4">
        <f>3*(3/4)</f>
        <v>2.25</v>
      </c>
      <c r="O4">
        <f t="shared" ref="O4" si="8">SQRT(((I4-1)*POWER(K4,2) + (L4-1)*POWER(N4,2))/((I4-1)+(L4-1)))</f>
        <v>2.6692695630078278</v>
      </c>
      <c r="P4">
        <f t="shared" ref="P4" si="9">(J4-M4)/O4</f>
        <v>2.809757434745082</v>
      </c>
      <c r="Q4">
        <f t="shared" ref="Q4" si="10">P4*(1- (3/(4*(I4+L4)-9)))</f>
        <v>2.7081999371036933</v>
      </c>
      <c r="R4">
        <f t="shared" ref="R4" si="11">SQRT((I4+L4)/(I4*L4)+(POWER(P4,2)/(2*(I4+L4))))</f>
        <v>0.58810470003328008</v>
      </c>
    </row>
    <row r="5" spans="1:18" x14ac:dyDescent="0.3">
      <c r="A5">
        <v>4</v>
      </c>
      <c r="B5" t="s">
        <v>272</v>
      </c>
      <c r="C5">
        <v>2014</v>
      </c>
      <c r="D5" t="s">
        <v>273</v>
      </c>
      <c r="E5" t="s">
        <v>33</v>
      </c>
      <c r="F5" t="s">
        <v>253</v>
      </c>
      <c r="G5" t="s">
        <v>274</v>
      </c>
      <c r="H5" t="s">
        <v>275</v>
      </c>
      <c r="I5">
        <v>6</v>
      </c>
      <c r="J5">
        <v>20</v>
      </c>
      <c r="K5">
        <v>8</v>
      </c>
      <c r="L5">
        <v>6</v>
      </c>
      <c r="M5">
        <v>7.5</v>
      </c>
      <c r="N5">
        <v>7</v>
      </c>
      <c r="O5">
        <f t="shared" ref="O5" si="12">SQRT(((I5-1)*POWER(K5,2) + (L5-1)*POWER(N5,2))/((I5-1)+(L5-1)))</f>
        <v>7.5166481891864541</v>
      </c>
      <c r="P5">
        <f t="shared" ref="P5" si="13">(J5-M5)/O5</f>
        <v>1.6629752630943482</v>
      </c>
      <c r="Q5">
        <f t="shared" ref="Q5" si="14">P5*(1- (3/(4*(I5+L5)-9)))</f>
        <v>1.5350540890101676</v>
      </c>
      <c r="R5">
        <f t="shared" ref="R5" si="15">SQRT((I5+L5)/(I5*L5)+(POWER(P5,2)/(2*(I5+L5))))</f>
        <v>0.66974767405542723</v>
      </c>
    </row>
    <row r="6" spans="1:18" x14ac:dyDescent="0.3">
      <c r="A6">
        <v>5</v>
      </c>
      <c r="B6" t="s">
        <v>276</v>
      </c>
      <c r="C6">
        <v>2007</v>
      </c>
      <c r="D6" t="s">
        <v>277</v>
      </c>
      <c r="E6" t="s">
        <v>278</v>
      </c>
      <c r="F6" t="s">
        <v>407</v>
      </c>
      <c r="G6" t="s">
        <v>279</v>
      </c>
      <c r="H6" t="s">
        <v>280</v>
      </c>
      <c r="I6">
        <v>12</v>
      </c>
      <c r="J6">
        <v>122</v>
      </c>
      <c r="K6">
        <f>12*(3/4)</f>
        <v>9</v>
      </c>
      <c r="L6">
        <v>7</v>
      </c>
      <c r="M6">
        <v>88</v>
      </c>
      <c r="N6">
        <f>10*(3/4)</f>
        <v>7.5</v>
      </c>
      <c r="O6">
        <f t="shared" ref="O6:O8" si="16">SQRT(((I6-1)*POWER(K6,2) + (L6-1)*POWER(N6,2))/((I6-1)+(L6-1)))</f>
        <v>8.5008650078890753</v>
      </c>
      <c r="P6">
        <f t="shared" ref="P6:P8" si="17">(J6-M6)/O6</f>
        <v>3.9995929788847264</v>
      </c>
      <c r="Q6">
        <f t="shared" ref="Q6:Q8" si="18">P6*(1- (3/(4*(I6+L6)-9)))</f>
        <v>3.8205067260988432</v>
      </c>
      <c r="R6">
        <f t="shared" ref="R6:R8" si="19">SQRT((I6+L6)/(I6*L6)+(POWER(P6,2)/(2*(I6+L6))))</f>
        <v>0.80446095211216628</v>
      </c>
    </row>
    <row r="7" spans="1:18" x14ac:dyDescent="0.3">
      <c r="A7">
        <v>6</v>
      </c>
      <c r="B7" t="s">
        <v>281</v>
      </c>
      <c r="C7">
        <v>2018</v>
      </c>
      <c r="D7" t="s">
        <v>283</v>
      </c>
      <c r="E7" t="s">
        <v>282</v>
      </c>
      <c r="F7" t="s">
        <v>72</v>
      </c>
      <c r="G7" t="s">
        <v>284</v>
      </c>
      <c r="H7" t="s">
        <v>409</v>
      </c>
      <c r="I7">
        <f>187-45-18</f>
        <v>124</v>
      </c>
      <c r="J7">
        <v>0.5</v>
      </c>
      <c r="K7">
        <f>2.9*(3/4)</f>
        <v>2.1749999999999998</v>
      </c>
      <c r="L7">
        <f>451-46-17</f>
        <v>388</v>
      </c>
      <c r="M7">
        <v>-0.1</v>
      </c>
      <c r="N7">
        <f>1.5*(3/4)</f>
        <v>1.125</v>
      </c>
      <c r="O7">
        <f t="shared" si="16"/>
        <v>1.449586655080763</v>
      </c>
      <c r="P7">
        <f t="shared" si="17"/>
        <v>0.41391109520566832</v>
      </c>
      <c r="Q7">
        <f t="shared" si="18"/>
        <v>0.41330210389344813</v>
      </c>
      <c r="R7">
        <f t="shared" si="19"/>
        <v>0.10396702719020531</v>
      </c>
    </row>
    <row r="8" spans="1:18" x14ac:dyDescent="0.3">
      <c r="A8">
        <v>7</v>
      </c>
      <c r="B8" t="s">
        <v>335</v>
      </c>
      <c r="C8">
        <v>2017</v>
      </c>
      <c r="D8" t="s">
        <v>336</v>
      </c>
      <c r="E8" t="s">
        <v>33</v>
      </c>
      <c r="H8" t="s">
        <v>337</v>
      </c>
      <c r="I8">
        <v>8</v>
      </c>
      <c r="J8">
        <v>8.16</v>
      </c>
      <c r="K8">
        <f>6*(3/4)</f>
        <v>4.5</v>
      </c>
      <c r="L8">
        <v>8</v>
      </c>
      <c r="M8">
        <v>3.06</v>
      </c>
      <c r="N8">
        <f>1.4*(3/4)</f>
        <v>1.0499999999999998</v>
      </c>
      <c r="O8">
        <f t="shared" si="16"/>
        <v>3.2674531366187947</v>
      </c>
      <c r="P8">
        <f t="shared" si="17"/>
        <v>1.5608487059366212</v>
      </c>
      <c r="Q8">
        <f t="shared" si="18"/>
        <v>1.4757115037946236</v>
      </c>
      <c r="R8">
        <f t="shared" si="19"/>
        <v>0.57108035453712713</v>
      </c>
    </row>
    <row r="9" spans="1:18" x14ac:dyDescent="0.3">
      <c r="A9">
        <v>8</v>
      </c>
      <c r="B9" t="s">
        <v>264</v>
      </c>
      <c r="C9">
        <v>2018</v>
      </c>
      <c r="D9" t="s">
        <v>349</v>
      </c>
      <c r="E9" t="s">
        <v>192</v>
      </c>
      <c r="F9" t="s">
        <v>253</v>
      </c>
      <c r="G9" t="s">
        <v>350</v>
      </c>
      <c r="H9" t="s">
        <v>351</v>
      </c>
      <c r="I9">
        <v>25</v>
      </c>
      <c r="J9">
        <v>7.52</v>
      </c>
      <c r="K9">
        <v>0.55000000000000004</v>
      </c>
      <c r="L9">
        <v>25</v>
      </c>
      <c r="M9">
        <v>9.8800000000000008</v>
      </c>
      <c r="N9">
        <v>0.82</v>
      </c>
      <c r="O9">
        <f t="shared" ref="O9" si="20">SQRT(((I9-1)*POWER(K9,2) + (L9-1)*POWER(N9,2))/((I9-1)+(L9-1)))</f>
        <v>0.69817619552660204</v>
      </c>
      <c r="P9">
        <f t="shared" ref="P9" si="21">(J9-M9)/O9</f>
        <v>-3.3802355553242003</v>
      </c>
      <c r="Q9">
        <f t="shared" ref="Q9" si="22">P9*(1- (3/(4*(I9+L9)-9)))</f>
        <v>-3.3271428502667524</v>
      </c>
      <c r="R9">
        <f t="shared" ref="R9" si="23">SQRT((I9+L9)/(I9*L9)+(POWER(P9,2)/(2*(I9+L9))))</f>
        <v>0.44074927577340278</v>
      </c>
    </row>
    <row r="10" spans="1:18" x14ac:dyDescent="0.3">
      <c r="A10">
        <v>9</v>
      </c>
      <c r="B10" t="s">
        <v>352</v>
      </c>
      <c r="C10">
        <v>2020</v>
      </c>
      <c r="D10" t="s">
        <v>353</v>
      </c>
      <c r="E10" t="s">
        <v>354</v>
      </c>
      <c r="F10" t="s">
        <v>407</v>
      </c>
      <c r="G10" t="s">
        <v>83</v>
      </c>
      <c r="H10" t="s">
        <v>355</v>
      </c>
      <c r="I10">
        <f>30*2</f>
        <v>60</v>
      </c>
      <c r="J10">
        <v>12</v>
      </c>
      <c r="K10">
        <v>7.5</v>
      </c>
      <c r="L10">
        <f>15*2</f>
        <v>30</v>
      </c>
      <c r="M10">
        <v>5</v>
      </c>
      <c r="N10">
        <v>2.5</v>
      </c>
      <c r="O10">
        <f t="shared" ref="O10" si="24">SQRT(((I10-1)*POWER(K10,2) + (L10-1)*POWER(N10,2))/((I10-1)+(L10-1)))</f>
        <v>6.3065622388689127</v>
      </c>
      <c r="P10">
        <f t="shared" ref="P10" si="25">(J10-M10)/O10</f>
        <v>1.1099549540409286</v>
      </c>
      <c r="Q10">
        <f t="shared" ref="Q10" si="26">P10*(1- (3/(4*(I10+L10)-9)))</f>
        <v>1.1004681595619463</v>
      </c>
      <c r="R10">
        <f t="shared" ref="R10" si="27">SQRT((I10+L10)/(I10*L10)+(POWER(P10,2)/(2*(I10+L10))))</f>
        <v>0.23842072989663557</v>
      </c>
    </row>
    <row r="11" spans="1:18" x14ac:dyDescent="0.3">
      <c r="A11">
        <v>10</v>
      </c>
      <c r="B11" t="s">
        <v>356</v>
      </c>
      <c r="C11">
        <v>2013</v>
      </c>
      <c r="D11" t="s">
        <v>357</v>
      </c>
      <c r="E11" t="s">
        <v>33</v>
      </c>
      <c r="F11" t="s">
        <v>253</v>
      </c>
      <c r="G11" t="s">
        <v>358</v>
      </c>
      <c r="H11" t="s">
        <v>359</v>
      </c>
      <c r="I11">
        <f>10*10</f>
        <v>100</v>
      </c>
      <c r="J11">
        <v>3.25</v>
      </c>
      <c r="K11">
        <v>1.59</v>
      </c>
      <c r="L11">
        <f>10*10</f>
        <v>100</v>
      </c>
      <c r="M11">
        <v>2.8</v>
      </c>
      <c r="N11">
        <v>1.39</v>
      </c>
      <c r="O11">
        <f t="shared" ref="O11" si="28">SQRT(((I11-1)*POWER(K11,2) + (L11-1)*POWER(N11,2))/((I11-1)+(L11-1)))</f>
        <v>1.4933519344079613</v>
      </c>
      <c r="P11">
        <f t="shared" ref="P11" si="29">(J11-M11)/O11</f>
        <v>0.30133553225576559</v>
      </c>
      <c r="Q11">
        <f t="shared" ref="Q11" si="30">P11*(1- (3/(4*(I11+L11)-9)))</f>
        <v>0.30019266677312678</v>
      </c>
      <c r="R11">
        <f t="shared" ref="R11" si="31">SQRT((I11+L11)/(I11*L11)+(POWER(P11,2)/(2*(I11+L11))))</f>
        <v>0.14222168525755721</v>
      </c>
    </row>
    <row r="12" spans="1:18" x14ac:dyDescent="0.3">
      <c r="A12">
        <v>11</v>
      </c>
      <c r="B12" t="s">
        <v>360</v>
      </c>
      <c r="C12">
        <v>2019</v>
      </c>
      <c r="D12" t="s">
        <v>362</v>
      </c>
      <c r="E12" t="s">
        <v>361</v>
      </c>
      <c r="F12" t="s">
        <v>300</v>
      </c>
      <c r="G12" t="s">
        <v>363</v>
      </c>
      <c r="H12" t="s">
        <v>364</v>
      </c>
      <c r="I12">
        <v>10</v>
      </c>
      <c r="J12">
        <v>1063</v>
      </c>
      <c r="K12">
        <v>120</v>
      </c>
      <c r="L12">
        <v>12</v>
      </c>
      <c r="M12">
        <v>371</v>
      </c>
      <c r="N12">
        <v>68</v>
      </c>
      <c r="O12">
        <f t="shared" ref="O12:O14" si="32">SQRT(((I12-1)*POWER(K12,2) + (L12-1)*POWER(N12,2))/((I12-1)+(L12-1)))</f>
        <v>94.990525843370293</v>
      </c>
      <c r="P12">
        <f t="shared" ref="P12:P14" si="33">(J12-M12)/O12</f>
        <v>7.2849370382582945</v>
      </c>
      <c r="Q12">
        <f t="shared" ref="Q12:Q14" si="34">P12*(1- (3/(4*(I12+L12)-9)))</f>
        <v>7.0082938595902577</v>
      </c>
      <c r="R12">
        <f t="shared" ref="R12:R14" si="35">SQRT((I12+L12)/(I12*L12)+(POWER(P12,2)/(2*(I12+L12))))</f>
        <v>1.1787606580840262</v>
      </c>
    </row>
    <row r="13" spans="1:18" x14ac:dyDescent="0.3">
      <c r="A13">
        <v>12</v>
      </c>
      <c r="B13" t="s">
        <v>401</v>
      </c>
      <c r="C13">
        <v>2020</v>
      </c>
      <c r="D13" t="s">
        <v>402</v>
      </c>
      <c r="E13" t="s">
        <v>380</v>
      </c>
      <c r="F13" t="s">
        <v>407</v>
      </c>
      <c r="G13" t="s">
        <v>119</v>
      </c>
      <c r="H13" t="s">
        <v>403</v>
      </c>
      <c r="I13">
        <v>11</v>
      </c>
      <c r="J13">
        <v>291.35000000000002</v>
      </c>
      <c r="K13">
        <v>60.54</v>
      </c>
      <c r="L13">
        <v>6</v>
      </c>
      <c r="M13">
        <v>202.63</v>
      </c>
      <c r="N13">
        <v>62.1</v>
      </c>
      <c r="O13">
        <f t="shared" si="32"/>
        <v>61.064428270475112</v>
      </c>
      <c r="P13">
        <f t="shared" si="33"/>
        <v>1.4528916836333747</v>
      </c>
      <c r="Q13">
        <f t="shared" si="34"/>
        <v>1.3790158353130337</v>
      </c>
      <c r="R13">
        <f t="shared" si="35"/>
        <v>0.56538560506100566</v>
      </c>
    </row>
    <row r="14" spans="1:18" x14ac:dyDescent="0.3">
      <c r="A14">
        <v>13</v>
      </c>
      <c r="B14" t="s">
        <v>410</v>
      </c>
      <c r="C14">
        <v>2015</v>
      </c>
      <c r="D14" t="s">
        <v>411</v>
      </c>
      <c r="E14" t="s">
        <v>412</v>
      </c>
      <c r="F14" t="s">
        <v>253</v>
      </c>
      <c r="G14" t="s">
        <v>414</v>
      </c>
      <c r="H14" t="s">
        <v>413</v>
      </c>
      <c r="I14">
        <v>5</v>
      </c>
      <c r="J14">
        <v>1.8700000000000001E-2</v>
      </c>
      <c r="K14">
        <v>3.5000000000000001E-3</v>
      </c>
      <c r="L14">
        <v>5</v>
      </c>
      <c r="M14">
        <v>1.38E-2</v>
      </c>
      <c r="N14">
        <v>2.7000000000000001E-3</v>
      </c>
      <c r="O14">
        <f t="shared" si="32"/>
        <v>3.125699921617557E-3</v>
      </c>
      <c r="P14">
        <f t="shared" si="33"/>
        <v>1.5676488859699111</v>
      </c>
      <c r="Q14">
        <f t="shared" si="34"/>
        <v>1.4159409292631455</v>
      </c>
      <c r="R14">
        <f t="shared" si="35"/>
        <v>0.72310175735102122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A9462-4AD5-4A95-B8F1-A29FBB82FC76}">
  <dimension ref="A1:R2"/>
  <sheetViews>
    <sheetView workbookViewId="0">
      <selection activeCell="R1" sqref="A1:R1"/>
    </sheetView>
  </sheetViews>
  <sheetFormatPr defaultRowHeight="14.4" x14ac:dyDescent="0.3"/>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8</v>
      </c>
      <c r="C2">
        <v>2022</v>
      </c>
      <c r="D2" t="s">
        <v>67</v>
      </c>
      <c r="E2" t="s">
        <v>14</v>
      </c>
      <c r="F2" t="s">
        <v>68</v>
      </c>
      <c r="G2" t="s">
        <v>20</v>
      </c>
      <c r="H2" t="s">
        <v>262</v>
      </c>
      <c r="I2">
        <v>30</v>
      </c>
      <c r="J2">
        <v>1.8</v>
      </c>
      <c r="K2">
        <v>0.85</v>
      </c>
      <c r="L2">
        <v>30</v>
      </c>
      <c r="M2">
        <v>4.13</v>
      </c>
      <c r="N2">
        <v>0.68</v>
      </c>
      <c r="O2">
        <f t="shared" ref="O2" si="0">SQRT(((I2-1)*POWER(K2,2) + (L2-1)*POWER(N2,2))/((I2-1)+(L2-1)))</f>
        <v>0.76970773674168036</v>
      </c>
      <c r="P2">
        <f t="shared" ref="P2" si="1">(J2-M2)/O2</f>
        <v>-3.0271230088752055</v>
      </c>
      <c r="Q2">
        <f t="shared" ref="Q2" si="2">P2*(1- (3/(4*(I2+L2)-9)))</f>
        <v>-2.9878097230456575</v>
      </c>
      <c r="R2">
        <f t="shared" ref="R2" si="3">SQRT((I2+L2)/(I2*L2)+(POWER(P2,2)/(2*(I2+L2))))</f>
        <v>0.37819168101706574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254F-A5B3-4B18-98B0-711AB8CE8C49}">
  <dimension ref="A1:R10"/>
  <sheetViews>
    <sheetView workbookViewId="0">
      <selection activeCell="R13" sqref="R13"/>
    </sheetView>
  </sheetViews>
  <sheetFormatPr defaultRowHeight="14.4" x14ac:dyDescent="0.3"/>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301</v>
      </c>
      <c r="C2">
        <v>2016</v>
      </c>
      <c r="D2" t="s">
        <v>302</v>
      </c>
      <c r="E2" t="s">
        <v>303</v>
      </c>
      <c r="F2" t="s">
        <v>253</v>
      </c>
      <c r="H2" t="s">
        <v>304</v>
      </c>
      <c r="I2">
        <v>15</v>
      </c>
      <c r="J2">
        <v>48.6</v>
      </c>
      <c r="K2">
        <v>8.8000000000000007</v>
      </c>
      <c r="L2">
        <v>6</v>
      </c>
      <c r="M2">
        <v>65.3</v>
      </c>
      <c r="N2">
        <v>10.4</v>
      </c>
      <c r="O2">
        <f t="shared" ref="O2" si="0">SQRT(((I2-1)*POWER(K2,2) + (L2-1)*POWER(N2,2))/((I2-1)+(L2-1)))</f>
        <v>9.2479300671185758</v>
      </c>
      <c r="P2">
        <f t="shared" ref="P2" si="1">(J2-M2)/O2</f>
        <v>-1.8058095031857544</v>
      </c>
      <c r="Q2">
        <f t="shared" ref="Q2" si="2">P2*(1- (3/(4*(I2+L2)-9)))</f>
        <v>-1.7335771230583241</v>
      </c>
      <c r="R2">
        <f t="shared" ref="R2" si="3">SQRT((I2+L2)/(I2*L2)+(POWER(P2,2)/(2*(I2+L2))))</f>
        <v>0.55765128124243823</v>
      </c>
    </row>
    <row r="3" spans="1:18" x14ac:dyDescent="0.3">
      <c r="A3">
        <v>1</v>
      </c>
      <c r="B3" t="s">
        <v>305</v>
      </c>
      <c r="C3">
        <v>2021</v>
      </c>
      <c r="D3" t="s">
        <v>306</v>
      </c>
      <c r="E3" t="s">
        <v>28</v>
      </c>
      <c r="H3" t="s">
        <v>307</v>
      </c>
      <c r="I3">
        <v>6</v>
      </c>
      <c r="J3">
        <v>7.3</v>
      </c>
      <c r="K3">
        <v>2</v>
      </c>
      <c r="L3">
        <v>9</v>
      </c>
      <c r="M3">
        <v>21</v>
      </c>
      <c r="N3">
        <v>4</v>
      </c>
      <c r="O3">
        <f t="shared" ref="O3" si="4">SQRT(((I3-1)*POWER(K3,2) + (L3-1)*POWER(N3,2))/((I3-1)+(L3-1)))</f>
        <v>3.3741095691478935</v>
      </c>
      <c r="P3">
        <f t="shared" ref="P3" si="5">(J3-M3)/O3</f>
        <v>-4.0603305017921612</v>
      </c>
      <c r="Q3">
        <f t="shared" ref="Q3" si="6">P3*(1- (3/(4*(I3+L3)-9)))</f>
        <v>-3.8214875310985046</v>
      </c>
      <c r="R3">
        <f t="shared" ref="R3" si="7">SQRT((I3+L3)/(I3*L3)+(POWER(P3,2)/(2*(I3+L3))))</f>
        <v>0.9095716412523922</v>
      </c>
    </row>
    <row r="4" spans="1:18" x14ac:dyDescent="0.3">
      <c r="A4">
        <v>2</v>
      </c>
      <c r="B4" t="s">
        <v>308</v>
      </c>
      <c r="C4">
        <v>2011</v>
      </c>
      <c r="D4" t="s">
        <v>309</v>
      </c>
      <c r="E4" t="s">
        <v>156</v>
      </c>
      <c r="F4" t="s">
        <v>253</v>
      </c>
      <c r="G4" t="s">
        <v>129</v>
      </c>
      <c r="H4" t="s">
        <v>310</v>
      </c>
      <c r="I4">
        <v>10</v>
      </c>
      <c r="J4">
        <v>16.3</v>
      </c>
      <c r="K4">
        <v>3.8</v>
      </c>
      <c r="L4">
        <v>10</v>
      </c>
      <c r="M4">
        <v>27.3</v>
      </c>
      <c r="N4">
        <v>5.7</v>
      </c>
      <c r="O4">
        <f t="shared" ref="O4" si="8">SQRT(((I4-1)*POWER(K4,2) + (L4-1)*POWER(N4,2))/((I4-1)+(L4-1)))</f>
        <v>4.8440685379131452</v>
      </c>
      <c r="P4">
        <f t="shared" ref="P4" si="9">(J4-M4)/O4</f>
        <v>-2.2708184068631838</v>
      </c>
      <c r="Q4">
        <f t="shared" ref="Q4" si="10">P4*(1- (3/(4*(I4+L4)-9)))</f>
        <v>-2.1748683333337535</v>
      </c>
      <c r="R4">
        <f t="shared" ref="R4" si="11">SQRT((I4+L4)/(I4*L4)+(POWER(P4,2)/(2*(I4+L4))))</f>
        <v>0.5735114697403324</v>
      </c>
    </row>
    <row r="5" spans="1:18" x14ac:dyDescent="0.3">
      <c r="A5">
        <v>3</v>
      </c>
      <c r="B5" t="s">
        <v>311</v>
      </c>
      <c r="C5">
        <v>2010</v>
      </c>
      <c r="D5" t="s">
        <v>312</v>
      </c>
      <c r="E5" t="s">
        <v>313</v>
      </c>
      <c r="H5" t="s">
        <v>314</v>
      </c>
      <c r="I5">
        <v>10</v>
      </c>
      <c r="J5">
        <v>15.5</v>
      </c>
      <c r="K5">
        <f>(19-12)*(3/4)</f>
        <v>5.25</v>
      </c>
      <c r="L5">
        <v>10</v>
      </c>
      <c r="M5">
        <v>36</v>
      </c>
      <c r="N5">
        <f>(36-35)*(3/4)</f>
        <v>0.75</v>
      </c>
      <c r="O5">
        <f t="shared" ref="O5" si="12">SQRT(((I5-1)*POWER(K5,2) + (L5-1)*POWER(N5,2))/((I5-1)+(L5-1)))</f>
        <v>3.75</v>
      </c>
      <c r="P5">
        <f t="shared" ref="P5" si="13">(J5-M5)/O5</f>
        <v>-5.4666666666666668</v>
      </c>
      <c r="Q5">
        <f t="shared" ref="Q5" si="14">P5*(1- (3/(4*(I5+L5)-9)))</f>
        <v>-5.2356807511737093</v>
      </c>
      <c r="R5">
        <f t="shared" ref="R5" si="15">SQRT((I5+L5)/(I5*L5)+(POWER(P5,2)/(2*(I5+L5))))</f>
        <v>0.97319633739092493</v>
      </c>
    </row>
    <row r="6" spans="1:18" x14ac:dyDescent="0.3">
      <c r="A6">
        <v>4</v>
      </c>
      <c r="B6" t="s">
        <v>315</v>
      </c>
      <c r="C6">
        <v>2009</v>
      </c>
      <c r="D6" t="s">
        <v>316</v>
      </c>
      <c r="E6" t="s">
        <v>317</v>
      </c>
      <c r="H6" t="s">
        <v>318</v>
      </c>
      <c r="I6">
        <v>8</v>
      </c>
      <c r="J6">
        <v>42.75</v>
      </c>
      <c r="K6">
        <v>5</v>
      </c>
      <c r="L6">
        <v>5</v>
      </c>
      <c r="M6">
        <v>82.8</v>
      </c>
      <c r="N6">
        <f>25*(3/5)</f>
        <v>15</v>
      </c>
      <c r="O6">
        <f t="shared" ref="O6" si="16">SQRT(((I6-1)*POWER(K6,2) + (L6-1)*POWER(N6,2))/((I6-1)+(L6-1)))</f>
        <v>9.8857105322416121</v>
      </c>
      <c r="P6">
        <f t="shared" ref="P6" si="17">(J6-M6)/O6</f>
        <v>-4.0513021162595733</v>
      </c>
      <c r="Q6">
        <f t="shared" ref="Q6" si="18">P6*(1- (3/(4*(I6+L6)-9)))</f>
        <v>-3.7686531314042542</v>
      </c>
      <c r="R6">
        <f t="shared" ref="R6" si="19">SQRT((I6+L6)/(I6*L6)+(POWER(P6,2)/(2*(I6+L6))))</f>
        <v>0.977891154026579</v>
      </c>
    </row>
    <row r="7" spans="1:18" x14ac:dyDescent="0.3">
      <c r="A7">
        <v>5</v>
      </c>
      <c r="B7" t="s">
        <v>319</v>
      </c>
      <c r="C7">
        <v>2008</v>
      </c>
      <c r="D7" t="s">
        <v>320</v>
      </c>
      <c r="E7" t="s">
        <v>321</v>
      </c>
      <c r="H7" t="s">
        <v>322</v>
      </c>
      <c r="I7">
        <v>8</v>
      </c>
      <c r="J7">
        <v>35</v>
      </c>
      <c r="K7">
        <f>15*(3/4)</f>
        <v>11.25</v>
      </c>
      <c r="L7">
        <v>6</v>
      </c>
      <c r="M7">
        <v>65</v>
      </c>
      <c r="N7">
        <f>12*(3/4)</f>
        <v>9</v>
      </c>
      <c r="O7">
        <f t="shared" ref="O7:O8" si="20">SQRT(((I7-1)*POWER(K7,2) + (L7-1)*POWER(N7,2))/((I7-1)+(L7-1)))</f>
        <v>10.371987514454498</v>
      </c>
      <c r="P7">
        <f t="shared" ref="P7:P8" si="21">(J7-M7)/O7</f>
        <v>-2.892406104248749</v>
      </c>
      <c r="Q7">
        <f t="shared" ref="Q7:Q8" si="22">P7*(1- (3/(4*(I7+L7)-9)))</f>
        <v>-2.7077844380201057</v>
      </c>
      <c r="R7">
        <f t="shared" ref="R7:R8" si="23">SQRT((I7+L7)/(I7*L7)+(POWER(P7,2)/(2*(I7+L7))))</f>
        <v>0.768409297058403</v>
      </c>
    </row>
    <row r="8" spans="1:18" x14ac:dyDescent="0.3">
      <c r="A8">
        <v>6</v>
      </c>
      <c r="B8" t="s">
        <v>323</v>
      </c>
      <c r="C8">
        <v>2005</v>
      </c>
      <c r="D8" t="s">
        <v>324</v>
      </c>
      <c r="E8" t="s">
        <v>325</v>
      </c>
      <c r="G8" t="s">
        <v>326</v>
      </c>
      <c r="H8" t="s">
        <v>327</v>
      </c>
      <c r="I8">
        <v>12</v>
      </c>
      <c r="J8">
        <v>15.5</v>
      </c>
      <c r="K8">
        <f>(19.5-13.25)*(3/4)</f>
        <v>4.6875</v>
      </c>
      <c r="L8">
        <v>13</v>
      </c>
      <c r="M8">
        <v>24</v>
      </c>
      <c r="N8">
        <f>(34-21)*(3/4)</f>
        <v>9.75</v>
      </c>
      <c r="O8">
        <f t="shared" si="20"/>
        <v>7.752837401347918</v>
      </c>
      <c r="P8">
        <f t="shared" si="21"/>
        <v>-1.0963727935945335</v>
      </c>
      <c r="Q8">
        <f t="shared" si="22"/>
        <v>-1.0602286355639445</v>
      </c>
      <c r="R8">
        <f t="shared" si="23"/>
        <v>0.42929835348752027</v>
      </c>
    </row>
    <row r="9" spans="1:18" x14ac:dyDescent="0.3">
      <c r="A9">
        <v>7</v>
      </c>
      <c r="B9" t="s">
        <v>332</v>
      </c>
      <c r="C9">
        <v>2013</v>
      </c>
      <c r="D9" t="s">
        <v>333</v>
      </c>
      <c r="E9" t="s">
        <v>142</v>
      </c>
      <c r="F9" t="s">
        <v>253</v>
      </c>
      <c r="G9" t="s">
        <v>330</v>
      </c>
      <c r="H9" t="s">
        <v>334</v>
      </c>
      <c r="I9">
        <v>22</v>
      </c>
      <c r="J9">
        <v>24.5</v>
      </c>
      <c r="K9">
        <f>(27-21)*(3/4)</f>
        <v>4.5</v>
      </c>
      <c r="L9">
        <v>30</v>
      </c>
      <c r="M9">
        <v>31</v>
      </c>
      <c r="N9">
        <f>(32-29)*(3/4)</f>
        <v>2.25</v>
      </c>
      <c r="O9">
        <f t="shared" ref="O9" si="24">SQRT(((I9-1)*POWER(K9,2) + (L9-1)*POWER(N9,2))/((I9-1)+(L9-1)))</f>
        <v>3.3824916851339042</v>
      </c>
      <c r="P9">
        <f t="shared" ref="P9" si="25">(J9-M9)/O9</f>
        <v>-1.9216603040201359</v>
      </c>
      <c r="Q9">
        <f t="shared" ref="Q9" si="26">P9*(1- (3/(4*(I9+L9)-9)))</f>
        <v>-1.8926905506931992</v>
      </c>
      <c r="R9">
        <f t="shared" ref="R9" si="27">SQRT((I9+L9)/(I9*L9)+(POWER(P9,2)/(2*(I9+L9))))</f>
        <v>0.33807597174739257</v>
      </c>
    </row>
    <row r="10" spans="1:18" x14ac:dyDescent="0.3">
      <c r="A10">
        <v>8</v>
      </c>
      <c r="B10" t="s">
        <v>338</v>
      </c>
      <c r="C10">
        <v>2014</v>
      </c>
      <c r="D10" t="s">
        <v>339</v>
      </c>
      <c r="E10" t="s">
        <v>248</v>
      </c>
      <c r="F10" t="s">
        <v>253</v>
      </c>
      <c r="G10" t="s">
        <v>340</v>
      </c>
      <c r="H10" t="s">
        <v>341</v>
      </c>
      <c r="I10">
        <v>29</v>
      </c>
      <c r="J10">
        <v>7.5</v>
      </c>
      <c r="K10">
        <v>0.77</v>
      </c>
      <c r="L10">
        <v>16</v>
      </c>
      <c r="M10">
        <v>8.8000000000000007</v>
      </c>
      <c r="N10">
        <v>0.49</v>
      </c>
      <c r="O10">
        <f t="shared" ref="O10" si="28">SQRT(((I10-1)*POWER(K10,2) + (L10-1)*POWER(N10,2))/((I10-1)+(L10-1)))</f>
        <v>0.68544163322498841</v>
      </c>
      <c r="P10">
        <f t="shared" ref="P10" si="29">(J10-M10)/O10</f>
        <v>-1.8965874510474774</v>
      </c>
      <c r="Q10">
        <f t="shared" ref="Q10" si="30">P10*(1- (3/(4*(I10+L10)-9)))</f>
        <v>-1.8633139869940127</v>
      </c>
      <c r="R10">
        <f t="shared" ref="R10" si="31">SQRT((I10+L10)/(I10*L10)+(POWER(P10,2)/(2*(I10+L10))))</f>
        <v>0.37006744483393889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0"/>
  <sheetViews>
    <sheetView topLeftCell="A4" workbookViewId="0">
      <selection activeCell="E43" sqref="E43"/>
    </sheetView>
  </sheetViews>
  <sheetFormatPr defaultRowHeight="14.4" x14ac:dyDescent="0.3"/>
  <cols>
    <col min="2" max="2" width="16.44140625" customWidth="1"/>
    <col min="5" max="5" width="18.88671875" customWidth="1"/>
    <col min="6" max="6" width="27" customWidth="1"/>
    <col min="10" max="12" width="8.8867187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8</v>
      </c>
      <c r="C2">
        <v>2022</v>
      </c>
      <c r="D2" t="s">
        <v>16</v>
      </c>
      <c r="E2" t="s">
        <v>14</v>
      </c>
      <c r="F2" t="s">
        <v>72</v>
      </c>
      <c r="G2" t="s">
        <v>9</v>
      </c>
      <c r="I2">
        <v>60</v>
      </c>
      <c r="J2">
        <v>175.2</v>
      </c>
      <c r="K2">
        <v>73.2</v>
      </c>
      <c r="L2">
        <v>60</v>
      </c>
      <c r="M2">
        <v>76.7</v>
      </c>
      <c r="N2">
        <v>17.100000000000001</v>
      </c>
      <c r="O2">
        <f>SQRT(((I2-1)*POWER(K2,2) + (L2-1)*POWER(N2,2))/((I2-1)+(L2-1)))</f>
        <v>53.15378631856813</v>
      </c>
      <c r="P2">
        <f>(J2-M2)/O2</f>
        <v>1.8531135187558809</v>
      </c>
      <c r="Q2">
        <f>P2*(1- (3/(4*(I2+L2)-9)))</f>
        <v>1.8413102479357797</v>
      </c>
      <c r="R2">
        <f>SQRT((I2+L2)/(I2*L2)+(POWER(P2,2)/(2*(I2+L2))))</f>
        <v>0.21826999443918652</v>
      </c>
    </row>
    <row r="3" spans="1:18" x14ac:dyDescent="0.3">
      <c r="A3">
        <v>1</v>
      </c>
      <c r="B3" t="s">
        <v>12</v>
      </c>
      <c r="C3">
        <v>2021</v>
      </c>
      <c r="D3" t="s">
        <v>15</v>
      </c>
      <c r="E3" t="s">
        <v>19</v>
      </c>
      <c r="F3" t="s">
        <v>72</v>
      </c>
      <c r="G3" t="s">
        <v>11</v>
      </c>
      <c r="I3">
        <v>18</v>
      </c>
      <c r="J3">
        <v>330.02</v>
      </c>
      <c r="K3">
        <v>96.52</v>
      </c>
      <c r="L3">
        <v>19</v>
      </c>
      <c r="M3">
        <v>258.52</v>
      </c>
      <c r="N3">
        <v>102.14</v>
      </c>
      <c r="O3">
        <f t="shared" ref="O3:O30" si="0">SQRT(((I3-1)*POWER(K3,2) + (L3-1)*POWER(N3,2))/((I3-1)+(L3-1)))</f>
        <v>99.449960080434423</v>
      </c>
      <c r="P3">
        <f t="shared" ref="P3:P30" si="1">(J3-M3)/O3</f>
        <v>0.71895453695679024</v>
      </c>
      <c r="Q3">
        <f t="shared" ref="Q3:Q30" si="2">P3*(1- (3/(4*(I3+L3)-9)))</f>
        <v>0.70343753256203934</v>
      </c>
      <c r="R3">
        <f t="shared" ref="R3:R30" si="3">SQRT((I3+L3)/(I3*L3)+(POWER(P3,2)/(2*(I3+L3))))</f>
        <v>0.33937031474894647</v>
      </c>
    </row>
    <row r="4" spans="1:18" x14ac:dyDescent="0.3">
      <c r="A4">
        <v>2</v>
      </c>
      <c r="B4" t="s">
        <v>17</v>
      </c>
      <c r="C4">
        <v>2015</v>
      </c>
      <c r="D4" t="s">
        <v>18</v>
      </c>
      <c r="E4" t="s">
        <v>19</v>
      </c>
      <c r="F4" t="s">
        <v>72</v>
      </c>
      <c r="G4" t="s">
        <v>20</v>
      </c>
      <c r="H4" t="s">
        <v>29</v>
      </c>
      <c r="I4">
        <v>23</v>
      </c>
      <c r="J4">
        <v>125</v>
      </c>
      <c r="K4">
        <f>(3/4)*50</f>
        <v>37.5</v>
      </c>
      <c r="L4">
        <v>19</v>
      </c>
      <c r="M4">
        <v>75</v>
      </c>
      <c r="N4">
        <f>(3/4)*30</f>
        <v>22.5</v>
      </c>
      <c r="O4">
        <f t="shared" si="0"/>
        <v>31.64253466459348</v>
      </c>
      <c r="P4">
        <f t="shared" si="1"/>
        <v>1.5801515437999241</v>
      </c>
      <c r="Q4">
        <f t="shared" si="2"/>
        <v>1.5503373637282274</v>
      </c>
      <c r="R4">
        <f t="shared" si="3"/>
        <v>0.35473171361298678</v>
      </c>
    </row>
    <row r="5" spans="1:18" x14ac:dyDescent="0.3">
      <c r="A5">
        <v>3</v>
      </c>
      <c r="B5" t="s">
        <v>26</v>
      </c>
      <c r="C5">
        <v>2016</v>
      </c>
      <c r="D5" t="s">
        <v>27</v>
      </c>
      <c r="E5" t="s">
        <v>28</v>
      </c>
      <c r="F5" t="s">
        <v>300</v>
      </c>
      <c r="G5" t="s">
        <v>20</v>
      </c>
      <c r="H5" t="s">
        <v>30</v>
      </c>
      <c r="I5">
        <f>(14/18)*135</f>
        <v>105</v>
      </c>
      <c r="J5">
        <v>80</v>
      </c>
      <c r="K5">
        <v>15</v>
      </c>
      <c r="L5">
        <v>30</v>
      </c>
      <c r="M5">
        <v>50</v>
      </c>
      <c r="N5">
        <v>5</v>
      </c>
      <c r="O5">
        <f t="shared" si="0"/>
        <v>13.46814677094102</v>
      </c>
      <c r="P5">
        <f t="shared" si="1"/>
        <v>2.2274779529970847</v>
      </c>
      <c r="Q5">
        <f t="shared" si="2"/>
        <v>2.2148933317937116</v>
      </c>
      <c r="R5">
        <f t="shared" si="3"/>
        <v>0.24745434747321579</v>
      </c>
    </row>
    <row r="6" spans="1:18" x14ac:dyDescent="0.3">
      <c r="A6">
        <v>4</v>
      </c>
      <c r="B6" t="s">
        <v>31</v>
      </c>
      <c r="C6">
        <v>2009</v>
      </c>
      <c r="D6" t="s">
        <v>32</v>
      </c>
      <c r="E6" t="s">
        <v>33</v>
      </c>
      <c r="F6" t="s">
        <v>300</v>
      </c>
      <c r="G6" t="s">
        <v>34</v>
      </c>
      <c r="H6" t="s">
        <v>35</v>
      </c>
      <c r="I6">
        <v>15</v>
      </c>
      <c r="J6">
        <v>75</v>
      </c>
      <c r="K6">
        <v>10</v>
      </c>
      <c r="L6">
        <v>15</v>
      </c>
      <c r="M6">
        <v>35</v>
      </c>
      <c r="N6">
        <v>2</v>
      </c>
      <c r="O6">
        <f t="shared" si="0"/>
        <v>7.2111025509279782</v>
      </c>
      <c r="P6">
        <f t="shared" si="1"/>
        <v>5.5470019622522919</v>
      </c>
      <c r="Q6">
        <f t="shared" si="2"/>
        <v>5.3970829902995279</v>
      </c>
      <c r="R6">
        <f t="shared" si="3"/>
        <v>0.80383695246850051</v>
      </c>
    </row>
    <row r="7" spans="1:18" x14ac:dyDescent="0.3">
      <c r="A7">
        <v>5</v>
      </c>
      <c r="B7" t="s">
        <v>36</v>
      </c>
      <c r="C7">
        <v>2002</v>
      </c>
      <c r="D7" t="s">
        <v>37</v>
      </c>
      <c r="E7" t="s">
        <v>38</v>
      </c>
      <c r="F7" t="s">
        <v>253</v>
      </c>
      <c r="G7" t="s">
        <v>40</v>
      </c>
      <c r="H7" t="s">
        <v>41</v>
      </c>
      <c r="I7">
        <v>15</v>
      </c>
      <c r="J7">
        <v>428.1</v>
      </c>
      <c r="K7">
        <v>32.299999999999997</v>
      </c>
      <c r="L7">
        <v>9</v>
      </c>
      <c r="M7">
        <v>192.2</v>
      </c>
      <c r="N7">
        <v>19.3</v>
      </c>
      <c r="O7">
        <f t="shared" si="0"/>
        <v>28.273003506396822</v>
      </c>
      <c r="P7">
        <f t="shared" si="1"/>
        <v>8.3436483833996338</v>
      </c>
      <c r="Q7">
        <f t="shared" si="2"/>
        <v>8.0559363701789568</v>
      </c>
      <c r="R7">
        <f t="shared" si="3"/>
        <v>1.2759783964924447</v>
      </c>
    </row>
    <row r="8" spans="1:18" x14ac:dyDescent="0.3">
      <c r="A8">
        <v>6</v>
      </c>
      <c r="B8" t="s">
        <v>42</v>
      </c>
      <c r="C8">
        <v>2002</v>
      </c>
      <c r="D8" t="s">
        <v>43</v>
      </c>
      <c r="E8" t="s">
        <v>44</v>
      </c>
      <c r="F8" t="s">
        <v>253</v>
      </c>
      <c r="G8" t="s">
        <v>45</v>
      </c>
      <c r="H8" t="s">
        <v>46</v>
      </c>
      <c r="I8">
        <v>20</v>
      </c>
      <c r="J8">
        <v>8.5500000000000007</v>
      </c>
      <c r="K8">
        <v>0.1</v>
      </c>
      <c r="L8">
        <v>20</v>
      </c>
      <c r="M8">
        <v>8.4499999999999993</v>
      </c>
      <c r="N8">
        <v>0.1</v>
      </c>
      <c r="O8">
        <f t="shared" si="0"/>
        <v>0.1</v>
      </c>
      <c r="P8">
        <f t="shared" si="1"/>
        <v>1.0000000000000142</v>
      </c>
      <c r="Q8">
        <f t="shared" si="2"/>
        <v>0.98013245033113972</v>
      </c>
      <c r="R8">
        <f t="shared" si="3"/>
        <v>0.33541019662496901</v>
      </c>
    </row>
    <row r="9" spans="1:18" x14ac:dyDescent="0.3">
      <c r="A9">
        <v>7</v>
      </c>
      <c r="B9" t="s">
        <v>47</v>
      </c>
      <c r="C9">
        <v>2004</v>
      </c>
      <c r="D9" t="s">
        <v>48</v>
      </c>
      <c r="E9" t="s">
        <v>38</v>
      </c>
      <c r="F9" t="s">
        <v>253</v>
      </c>
      <c r="G9" t="s">
        <v>49</v>
      </c>
      <c r="I9">
        <v>13</v>
      </c>
      <c r="J9">
        <v>667</v>
      </c>
      <c r="K9">
        <v>432.2</v>
      </c>
      <c r="L9">
        <v>6</v>
      </c>
      <c r="M9">
        <v>128</v>
      </c>
      <c r="N9">
        <v>37.200000000000003</v>
      </c>
      <c r="O9">
        <f t="shared" si="0"/>
        <v>363.68063559376156</v>
      </c>
      <c r="P9">
        <f t="shared" si="1"/>
        <v>1.4820695611686998</v>
      </c>
      <c r="Q9">
        <f t="shared" si="2"/>
        <v>1.4157082375342804</v>
      </c>
      <c r="R9">
        <f t="shared" si="3"/>
        <v>0.54899286834005212</v>
      </c>
    </row>
    <row r="10" spans="1:18" x14ac:dyDescent="0.3">
      <c r="A10">
        <v>8</v>
      </c>
      <c r="B10" t="s">
        <v>50</v>
      </c>
      <c r="C10">
        <v>2008</v>
      </c>
      <c r="D10" t="s">
        <v>51</v>
      </c>
      <c r="E10" t="s">
        <v>52</v>
      </c>
      <c r="F10" t="s">
        <v>253</v>
      </c>
      <c r="G10" t="s">
        <v>53</v>
      </c>
      <c r="H10" t="s">
        <v>54</v>
      </c>
      <c r="I10">
        <v>10</v>
      </c>
      <c r="J10">
        <v>558.6</v>
      </c>
      <c r="K10">
        <v>128.69999999999999</v>
      </c>
      <c r="L10">
        <v>10</v>
      </c>
      <c r="M10">
        <v>285.3</v>
      </c>
      <c r="N10">
        <v>116</v>
      </c>
      <c r="O10">
        <f t="shared" si="0"/>
        <v>122.5146725906738</v>
      </c>
      <c r="P10">
        <f t="shared" si="1"/>
        <v>2.23075321690738</v>
      </c>
      <c r="Q10">
        <f t="shared" si="2"/>
        <v>2.136496038728195</v>
      </c>
      <c r="R10">
        <f t="shared" si="3"/>
        <v>0.5695669388830128</v>
      </c>
    </row>
    <row r="11" spans="1:18" x14ac:dyDescent="0.3">
      <c r="A11">
        <v>9</v>
      </c>
      <c r="B11" t="s">
        <v>55</v>
      </c>
      <c r="C11">
        <v>2009</v>
      </c>
      <c r="D11" t="s">
        <v>56</v>
      </c>
      <c r="E11" t="s">
        <v>38</v>
      </c>
      <c r="F11" t="s">
        <v>253</v>
      </c>
      <c r="G11" t="s">
        <v>57</v>
      </c>
      <c r="H11" t="s">
        <v>58</v>
      </c>
      <c r="I11">
        <v>13</v>
      </c>
      <c r="J11">
        <v>300</v>
      </c>
      <c r="K11">
        <v>33</v>
      </c>
      <c r="L11">
        <v>6</v>
      </c>
      <c r="M11">
        <v>150</v>
      </c>
      <c r="N11">
        <v>90</v>
      </c>
      <c r="O11">
        <f t="shared" si="0"/>
        <v>56.134292758788824</v>
      </c>
      <c r="P11">
        <f t="shared" si="1"/>
        <v>2.6721633537729899</v>
      </c>
      <c r="Q11">
        <f t="shared" si="2"/>
        <v>2.5525142483801693</v>
      </c>
      <c r="R11">
        <f t="shared" si="3"/>
        <v>0.65688393682953827</v>
      </c>
    </row>
    <row r="12" spans="1:18" x14ac:dyDescent="0.3">
      <c r="A12">
        <v>10</v>
      </c>
      <c r="B12" t="s">
        <v>59</v>
      </c>
      <c r="C12">
        <v>2020</v>
      </c>
      <c r="D12" t="s">
        <v>60</v>
      </c>
      <c r="E12" t="s">
        <v>28</v>
      </c>
      <c r="F12" t="s">
        <v>407</v>
      </c>
      <c r="G12" t="s">
        <v>61</v>
      </c>
      <c r="H12" t="s">
        <v>62</v>
      </c>
      <c r="I12">
        <v>26</v>
      </c>
      <c r="J12">
        <v>18.16</v>
      </c>
      <c r="K12">
        <v>1.06</v>
      </c>
      <c r="L12">
        <v>14</v>
      </c>
      <c r="M12">
        <v>11.85</v>
      </c>
      <c r="N12">
        <v>0.69</v>
      </c>
      <c r="O12">
        <f t="shared" si="0"/>
        <v>0.94978252358382709</v>
      </c>
      <c r="P12">
        <f t="shared" si="1"/>
        <v>6.6436261389506237</v>
      </c>
      <c r="Q12">
        <f t="shared" si="2"/>
        <v>6.5116335666535914</v>
      </c>
      <c r="R12">
        <f t="shared" si="3"/>
        <v>0.81339548395412153</v>
      </c>
    </row>
    <row r="13" spans="1:18" x14ac:dyDescent="0.3">
      <c r="A13">
        <v>11</v>
      </c>
      <c r="B13" t="s">
        <v>63</v>
      </c>
      <c r="C13">
        <v>2004</v>
      </c>
      <c r="D13" t="s">
        <v>64</v>
      </c>
      <c r="E13" t="s">
        <v>65</v>
      </c>
      <c r="F13" t="s">
        <v>253</v>
      </c>
      <c r="G13" t="s">
        <v>66</v>
      </c>
      <c r="I13">
        <v>25</v>
      </c>
      <c r="J13">
        <v>70</v>
      </c>
      <c r="K13">
        <v>20</v>
      </c>
      <c r="L13">
        <v>25</v>
      </c>
      <c r="M13">
        <v>40</v>
      </c>
      <c r="N13">
        <v>5</v>
      </c>
      <c r="O13">
        <f t="shared" si="0"/>
        <v>14.577379737113251</v>
      </c>
      <c r="P13">
        <f t="shared" si="1"/>
        <v>2.0579830217101063</v>
      </c>
      <c r="Q13">
        <f t="shared" si="2"/>
        <v>2.0256586810549737</v>
      </c>
      <c r="R13">
        <f t="shared" si="3"/>
        <v>0.34978985287808251</v>
      </c>
    </row>
    <row r="14" spans="1:18" x14ac:dyDescent="0.3">
      <c r="A14">
        <v>12</v>
      </c>
      <c r="B14" t="s">
        <v>70</v>
      </c>
      <c r="C14">
        <v>2010</v>
      </c>
      <c r="D14" t="s">
        <v>71</v>
      </c>
      <c r="E14" t="s">
        <v>72</v>
      </c>
      <c r="F14" t="s">
        <v>72</v>
      </c>
      <c r="G14" t="s">
        <v>73</v>
      </c>
      <c r="H14" t="s">
        <v>74</v>
      </c>
      <c r="I14">
        <v>7</v>
      </c>
      <c r="J14">
        <v>25</v>
      </c>
      <c r="K14">
        <v>6</v>
      </c>
      <c r="L14">
        <v>6</v>
      </c>
      <c r="M14">
        <v>20</v>
      </c>
      <c r="N14">
        <v>5</v>
      </c>
      <c r="O14">
        <f t="shared" si="0"/>
        <v>5.5677643628300215</v>
      </c>
      <c r="P14">
        <f t="shared" si="1"/>
        <v>0.89802651013387458</v>
      </c>
      <c r="Q14">
        <f t="shared" si="2"/>
        <v>0.83537349779895309</v>
      </c>
      <c r="R14">
        <f t="shared" si="3"/>
        <v>0.58355906235003896</v>
      </c>
    </row>
    <row r="15" spans="1:18" x14ac:dyDescent="0.3">
      <c r="A15">
        <v>13</v>
      </c>
      <c r="B15" t="s">
        <v>76</v>
      </c>
      <c r="C15">
        <v>1999</v>
      </c>
      <c r="D15" t="s">
        <v>75</v>
      </c>
      <c r="E15" t="s">
        <v>78</v>
      </c>
      <c r="F15" t="s">
        <v>253</v>
      </c>
      <c r="G15" t="s">
        <v>77</v>
      </c>
      <c r="H15" t="s">
        <v>79</v>
      </c>
      <c r="I15">
        <v>8</v>
      </c>
      <c r="J15">
        <v>70.61</v>
      </c>
      <c r="K15">
        <v>15.42</v>
      </c>
      <c r="L15">
        <v>12</v>
      </c>
      <c r="M15">
        <v>49.55</v>
      </c>
      <c r="N15">
        <v>8.76</v>
      </c>
      <c r="O15">
        <f t="shared" si="0"/>
        <v>11.805244597211868</v>
      </c>
      <c r="P15">
        <f t="shared" si="1"/>
        <v>1.7839528716731459</v>
      </c>
      <c r="Q15">
        <f t="shared" si="2"/>
        <v>1.7085745813207596</v>
      </c>
      <c r="R15">
        <f t="shared" si="3"/>
        <v>0.53655897116915763</v>
      </c>
    </row>
    <row r="16" spans="1:18" x14ac:dyDescent="0.3">
      <c r="A16">
        <v>14</v>
      </c>
      <c r="B16" t="s">
        <v>126</v>
      </c>
      <c r="C16">
        <v>2021</v>
      </c>
      <c r="D16" t="s">
        <v>127</v>
      </c>
      <c r="E16" t="s">
        <v>128</v>
      </c>
      <c r="F16" t="s">
        <v>253</v>
      </c>
      <c r="G16" t="s">
        <v>129</v>
      </c>
      <c r="H16" t="s">
        <v>130</v>
      </c>
      <c r="I16">
        <v>12</v>
      </c>
      <c r="J16">
        <v>6.2960000000000003</v>
      </c>
      <c r="K16">
        <v>1.853</v>
      </c>
      <c r="L16">
        <v>5</v>
      </c>
      <c r="M16">
        <v>2.96</v>
      </c>
      <c r="N16">
        <v>0.752</v>
      </c>
      <c r="O16">
        <f t="shared" si="0"/>
        <v>1.6336404133101019</v>
      </c>
      <c r="P16">
        <f t="shared" si="1"/>
        <v>2.0420650547206756</v>
      </c>
      <c r="Q16">
        <f t="shared" si="2"/>
        <v>1.9382312383789464</v>
      </c>
      <c r="R16">
        <f t="shared" si="3"/>
        <v>0.63716659150087573</v>
      </c>
    </row>
    <row r="17" spans="1:18" x14ac:dyDescent="0.3">
      <c r="A17">
        <v>15</v>
      </c>
      <c r="B17" t="s">
        <v>140</v>
      </c>
      <c r="C17">
        <v>2001</v>
      </c>
      <c r="D17" t="s">
        <v>141</v>
      </c>
      <c r="E17" t="s">
        <v>142</v>
      </c>
      <c r="F17" t="s">
        <v>407</v>
      </c>
      <c r="G17" t="s">
        <v>77</v>
      </c>
      <c r="H17" t="s">
        <v>143</v>
      </c>
      <c r="I17">
        <v>12</v>
      </c>
      <c r="J17">
        <v>1236</v>
      </c>
      <c r="K17">
        <v>202</v>
      </c>
      <c r="L17">
        <v>13</v>
      </c>
      <c r="M17">
        <v>782</v>
      </c>
      <c r="N17">
        <v>201</v>
      </c>
      <c r="O17">
        <f t="shared" si="0"/>
        <v>201.47888011013657</v>
      </c>
      <c r="P17">
        <f t="shared" si="1"/>
        <v>2.2533379168666468</v>
      </c>
      <c r="Q17">
        <f t="shared" si="2"/>
        <v>2.1790520514754386</v>
      </c>
      <c r="R17">
        <f t="shared" si="3"/>
        <v>0.511670837167987</v>
      </c>
    </row>
    <row r="18" spans="1:18" x14ac:dyDescent="0.3">
      <c r="A18">
        <v>16</v>
      </c>
      <c r="B18" t="s">
        <v>144</v>
      </c>
      <c r="C18">
        <v>2012</v>
      </c>
      <c r="D18" t="s">
        <v>145</v>
      </c>
      <c r="E18" t="s">
        <v>86</v>
      </c>
      <c r="F18" t="s">
        <v>253</v>
      </c>
      <c r="G18" t="s">
        <v>129</v>
      </c>
      <c r="H18" t="s">
        <v>292</v>
      </c>
      <c r="I18">
        <v>4</v>
      </c>
      <c r="J18">
        <v>108.07</v>
      </c>
      <c r="K18">
        <v>6.93</v>
      </c>
      <c r="L18">
        <v>4</v>
      </c>
      <c r="M18">
        <v>30.07</v>
      </c>
      <c r="N18">
        <v>13.37</v>
      </c>
      <c r="O18">
        <f t="shared" si="0"/>
        <v>10.648516328578362</v>
      </c>
      <c r="P18">
        <f t="shared" si="1"/>
        <v>7.3249641164247947</v>
      </c>
      <c r="Q18">
        <f t="shared" si="2"/>
        <v>6.3695340142824302</v>
      </c>
      <c r="R18">
        <f t="shared" si="3"/>
        <v>1.9630190286092313</v>
      </c>
    </row>
    <row r="19" spans="1:18" x14ac:dyDescent="0.3">
      <c r="A19">
        <v>17</v>
      </c>
      <c r="B19" t="s">
        <v>154</v>
      </c>
      <c r="C19">
        <v>2007</v>
      </c>
      <c r="D19" t="s">
        <v>155</v>
      </c>
      <c r="E19" t="s">
        <v>156</v>
      </c>
      <c r="F19" t="s">
        <v>253</v>
      </c>
      <c r="G19" t="s">
        <v>152</v>
      </c>
      <c r="H19" t="s">
        <v>157</v>
      </c>
      <c r="I19">
        <v>14</v>
      </c>
      <c r="J19">
        <v>2175</v>
      </c>
      <c r="K19">
        <f>(3127-1954)*(3/4)</f>
        <v>879.75</v>
      </c>
      <c r="L19">
        <v>33</v>
      </c>
      <c r="M19">
        <v>1979</v>
      </c>
      <c r="N19">
        <f>(2582-1137)*(3/4)</f>
        <v>1083.75</v>
      </c>
      <c r="O19">
        <f t="shared" si="0"/>
        <v>1028.9793304532409</v>
      </c>
      <c r="P19">
        <f t="shared" si="1"/>
        <v>0.19048001665268308</v>
      </c>
      <c r="Q19">
        <f t="shared" si="2"/>
        <v>0.18728761413895095</v>
      </c>
      <c r="R19">
        <f t="shared" si="3"/>
        <v>0.31955842537614054</v>
      </c>
    </row>
    <row r="20" spans="1:18" x14ac:dyDescent="0.3">
      <c r="A20">
        <v>18</v>
      </c>
      <c r="B20" t="s">
        <v>165</v>
      </c>
      <c r="C20">
        <v>2010</v>
      </c>
      <c r="D20" t="s">
        <v>166</v>
      </c>
      <c r="E20" t="s">
        <v>33</v>
      </c>
      <c r="F20" t="s">
        <v>253</v>
      </c>
      <c r="G20" t="s">
        <v>167</v>
      </c>
      <c r="I20">
        <v>6</v>
      </c>
      <c r="J20">
        <v>74.5</v>
      </c>
      <c r="K20">
        <v>13.44</v>
      </c>
      <c r="L20">
        <v>8</v>
      </c>
      <c r="M20">
        <v>56.56</v>
      </c>
      <c r="N20">
        <v>11.93</v>
      </c>
      <c r="O20">
        <f t="shared" si="0"/>
        <v>12.581210527343277</v>
      </c>
      <c r="P20">
        <f t="shared" si="1"/>
        <v>1.4259359193624681</v>
      </c>
      <c r="Q20">
        <f t="shared" si="2"/>
        <v>1.334918733020183</v>
      </c>
      <c r="R20">
        <f t="shared" si="3"/>
        <v>0.60355967608829919</v>
      </c>
    </row>
    <row r="21" spans="1:18" x14ac:dyDescent="0.3">
      <c r="A21">
        <v>19</v>
      </c>
      <c r="B21" t="s">
        <v>88</v>
      </c>
      <c r="C21">
        <v>2013</v>
      </c>
      <c r="D21" t="s">
        <v>172</v>
      </c>
      <c r="E21" t="s">
        <v>38</v>
      </c>
      <c r="F21" t="s">
        <v>253</v>
      </c>
      <c r="H21" t="s">
        <v>171</v>
      </c>
      <c r="I21">
        <v>11</v>
      </c>
      <c r="J21">
        <v>4.5</v>
      </c>
      <c r="K21">
        <f>3*(3/4)</f>
        <v>2.25</v>
      </c>
      <c r="L21">
        <v>7</v>
      </c>
      <c r="M21">
        <v>1.9</v>
      </c>
      <c r="N21">
        <v>0.4</v>
      </c>
      <c r="O21">
        <f t="shared" si="0"/>
        <v>1.7955674590502024</v>
      </c>
      <c r="P21">
        <f t="shared" si="1"/>
        <v>1.4480102025101951</v>
      </c>
      <c r="Q21">
        <f t="shared" si="2"/>
        <v>1.3790573357239952</v>
      </c>
      <c r="R21">
        <f t="shared" si="3"/>
        <v>0.54037841581818158</v>
      </c>
    </row>
    <row r="22" spans="1:18" x14ac:dyDescent="0.3">
      <c r="A22">
        <v>20</v>
      </c>
      <c r="B22" t="s">
        <v>220</v>
      </c>
      <c r="C22">
        <v>2018</v>
      </c>
      <c r="D22" t="s">
        <v>221</v>
      </c>
      <c r="E22" t="s">
        <v>222</v>
      </c>
      <c r="F22" t="s">
        <v>300</v>
      </c>
      <c r="G22" t="s">
        <v>224</v>
      </c>
      <c r="H22" t="s">
        <v>225</v>
      </c>
      <c r="I22">
        <v>42</v>
      </c>
      <c r="J22">
        <v>26.8</v>
      </c>
      <c r="K22">
        <f>SQRT(I22)*(29-24.2)/3.92</f>
        <v>7.9356008551933002</v>
      </c>
      <c r="L22">
        <v>54</v>
      </c>
      <c r="M22">
        <v>10.6</v>
      </c>
      <c r="N22">
        <f>SQRT(L22)*(12.5-9)/3.92</f>
        <v>6.5611332395977984</v>
      </c>
      <c r="O22">
        <f t="shared" si="0"/>
        <v>7.1930027137798414</v>
      </c>
      <c r="P22">
        <f t="shared" si="1"/>
        <v>2.252188779098498</v>
      </c>
      <c r="Q22">
        <f t="shared" si="2"/>
        <v>2.23417126886571</v>
      </c>
      <c r="R22">
        <f t="shared" si="3"/>
        <v>0.26219564124906203</v>
      </c>
    </row>
    <row r="23" spans="1:18" x14ac:dyDescent="0.3">
      <c r="A23">
        <v>21</v>
      </c>
      <c r="B23" t="s">
        <v>158</v>
      </c>
      <c r="C23">
        <v>2011</v>
      </c>
      <c r="D23" t="s">
        <v>227</v>
      </c>
      <c r="E23" t="s">
        <v>33</v>
      </c>
      <c r="F23" t="s">
        <v>253</v>
      </c>
      <c r="G23" t="s">
        <v>57</v>
      </c>
      <c r="H23" t="s">
        <v>229</v>
      </c>
      <c r="I23">
        <v>9</v>
      </c>
      <c r="J23">
        <v>279</v>
      </c>
      <c r="K23">
        <v>22</v>
      </c>
      <c r="L23">
        <v>9</v>
      </c>
      <c r="M23">
        <v>180</v>
      </c>
      <c r="N23">
        <v>19</v>
      </c>
      <c r="O23">
        <f t="shared" si="0"/>
        <v>20.554804791094465</v>
      </c>
      <c r="P23">
        <f t="shared" si="1"/>
        <v>4.8163921285641473</v>
      </c>
      <c r="Q23">
        <f t="shared" si="2"/>
        <v>4.587040122442045</v>
      </c>
      <c r="R23">
        <f t="shared" si="3"/>
        <v>0.93091402419722646</v>
      </c>
    </row>
    <row r="24" spans="1:18" x14ac:dyDescent="0.3">
      <c r="A24">
        <v>22</v>
      </c>
      <c r="B24" t="s">
        <v>195</v>
      </c>
      <c r="C24">
        <v>2009</v>
      </c>
      <c r="D24" t="s">
        <v>196</v>
      </c>
      <c r="E24" t="s">
        <v>149</v>
      </c>
      <c r="F24" t="s">
        <v>253</v>
      </c>
      <c r="G24" t="s">
        <v>197</v>
      </c>
      <c r="H24" t="s">
        <v>233</v>
      </c>
      <c r="I24">
        <v>10</v>
      </c>
      <c r="J24">
        <v>500</v>
      </c>
      <c r="K24">
        <f>(200/2.5)*(3/4)</f>
        <v>60</v>
      </c>
      <c r="L24">
        <v>10</v>
      </c>
      <c r="M24">
        <v>175</v>
      </c>
      <c r="N24">
        <f>(200/3)*(3/4)</f>
        <v>50</v>
      </c>
      <c r="O24">
        <f t="shared" si="0"/>
        <v>55.226805085936306</v>
      </c>
      <c r="P24">
        <f t="shared" si="1"/>
        <v>5.8848234927637044</v>
      </c>
      <c r="Q24">
        <f t="shared" si="2"/>
        <v>5.6361689789849567</v>
      </c>
      <c r="R24">
        <f t="shared" si="3"/>
        <v>1.0323655789131048</v>
      </c>
    </row>
    <row r="25" spans="1:18" x14ac:dyDescent="0.3">
      <c r="A25">
        <v>23</v>
      </c>
      <c r="B25" t="s">
        <v>239</v>
      </c>
      <c r="C25">
        <v>2021</v>
      </c>
      <c r="D25" t="s">
        <v>240</v>
      </c>
      <c r="E25" t="s">
        <v>28</v>
      </c>
      <c r="F25" t="s">
        <v>253</v>
      </c>
      <c r="G25" t="s">
        <v>129</v>
      </c>
      <c r="H25" t="s">
        <v>290</v>
      </c>
      <c r="I25">
        <v>14</v>
      </c>
      <c r="J25">
        <v>84.5</v>
      </c>
      <c r="K25">
        <v>27.9</v>
      </c>
      <c r="L25">
        <v>23</v>
      </c>
      <c r="M25">
        <v>71.099999999999994</v>
      </c>
      <c r="N25">
        <v>20.3</v>
      </c>
      <c r="O25">
        <f t="shared" si="0"/>
        <v>23.412640053734101</v>
      </c>
      <c r="P25">
        <f t="shared" si="1"/>
        <v>0.57234040967809729</v>
      </c>
      <c r="Q25">
        <f t="shared" si="2"/>
        <v>0.55998773896562037</v>
      </c>
      <c r="R25">
        <f t="shared" si="3"/>
        <v>0.34544681474734895</v>
      </c>
    </row>
    <row r="26" spans="1:18" x14ac:dyDescent="0.3">
      <c r="A26">
        <v>24</v>
      </c>
      <c r="B26" t="s">
        <v>294</v>
      </c>
      <c r="C26">
        <v>2010</v>
      </c>
      <c r="D26" t="s">
        <v>295</v>
      </c>
      <c r="E26" t="s">
        <v>38</v>
      </c>
      <c r="F26" t="s">
        <v>253</v>
      </c>
      <c r="G26" t="s">
        <v>129</v>
      </c>
      <c r="H26" t="s">
        <v>296</v>
      </c>
      <c r="I26">
        <v>11</v>
      </c>
      <c r="J26">
        <f>(3/7)*400</f>
        <v>171.42857142857142</v>
      </c>
      <c r="K26">
        <f>(400*(2/5))*(3/4)</f>
        <v>120</v>
      </c>
      <c r="L26">
        <v>10</v>
      </c>
      <c r="M26">
        <f>400/5</f>
        <v>80</v>
      </c>
      <c r="N26">
        <f>(400/10)*(3/4)</f>
        <v>30</v>
      </c>
      <c r="O26">
        <f t="shared" si="0"/>
        <v>89.472136209519093</v>
      </c>
      <c r="P26">
        <f t="shared" si="1"/>
        <v>1.021866418998546</v>
      </c>
      <c r="Q26">
        <f t="shared" si="2"/>
        <v>0.98099176223860418</v>
      </c>
      <c r="R26">
        <f t="shared" si="3"/>
        <v>0.46451184813580504</v>
      </c>
    </row>
    <row r="27" spans="1:18" x14ac:dyDescent="0.3">
      <c r="A27">
        <v>25</v>
      </c>
      <c r="B27" t="s">
        <v>342</v>
      </c>
      <c r="C27">
        <v>2014</v>
      </c>
      <c r="D27" t="s">
        <v>343</v>
      </c>
      <c r="E27" t="s">
        <v>33</v>
      </c>
      <c r="F27" t="s">
        <v>253</v>
      </c>
      <c r="G27" t="s">
        <v>152</v>
      </c>
      <c r="H27" t="s">
        <v>344</v>
      </c>
      <c r="I27">
        <v>11</v>
      </c>
      <c r="J27">
        <v>38</v>
      </c>
      <c r="K27">
        <v>5</v>
      </c>
      <c r="L27">
        <v>5</v>
      </c>
      <c r="M27">
        <v>20</v>
      </c>
      <c r="N27">
        <v>2</v>
      </c>
      <c r="O27">
        <f t="shared" si="0"/>
        <v>4.358898943540674</v>
      </c>
      <c r="P27">
        <f t="shared" si="1"/>
        <v>4.1294832096701111</v>
      </c>
      <c r="Q27">
        <f t="shared" si="2"/>
        <v>3.9042386709608321</v>
      </c>
      <c r="R27">
        <f t="shared" si="3"/>
        <v>0.90763639622438896</v>
      </c>
    </row>
    <row r="28" spans="1:18" x14ac:dyDescent="0.3">
      <c r="A28">
        <v>26</v>
      </c>
      <c r="B28" t="s">
        <v>298</v>
      </c>
      <c r="C28">
        <v>2021</v>
      </c>
      <c r="D28" t="s">
        <v>217</v>
      </c>
      <c r="E28" t="s">
        <v>149</v>
      </c>
      <c r="F28" t="s">
        <v>407</v>
      </c>
      <c r="G28" t="s">
        <v>218</v>
      </c>
      <c r="H28" t="s">
        <v>219</v>
      </c>
      <c r="I28">
        <v>2</v>
      </c>
      <c r="J28">
        <v>619</v>
      </c>
      <c r="K28">
        <f>(911-328)*(3/4)</f>
        <v>437.25</v>
      </c>
      <c r="L28">
        <v>2</v>
      </c>
      <c r="M28">
        <v>315</v>
      </c>
      <c r="N28">
        <f>(328-303)*(3/4)</f>
        <v>18.75</v>
      </c>
      <c r="O28">
        <f t="shared" si="0"/>
        <v>309.46657735529374</v>
      </c>
      <c r="P28">
        <f t="shared" si="1"/>
        <v>0.98233548384445524</v>
      </c>
      <c r="Q28">
        <f t="shared" si="2"/>
        <v>0.56133456219683153</v>
      </c>
      <c r="R28">
        <f t="shared" si="3"/>
        <v>1.0585947644648968</v>
      </c>
    </row>
    <row r="29" spans="1:18" x14ac:dyDescent="0.3">
      <c r="A29">
        <v>27</v>
      </c>
      <c r="B29" t="s">
        <v>345</v>
      </c>
      <c r="C29">
        <v>2016</v>
      </c>
      <c r="D29" t="s">
        <v>346</v>
      </c>
      <c r="E29" t="s">
        <v>86</v>
      </c>
      <c r="F29" t="s">
        <v>253</v>
      </c>
      <c r="G29" t="s">
        <v>347</v>
      </c>
      <c r="H29" t="s">
        <v>348</v>
      </c>
      <c r="I29">
        <v>6</v>
      </c>
      <c r="J29">
        <v>239.1</v>
      </c>
      <c r="K29">
        <f>150*(3/4)</f>
        <v>112.5</v>
      </c>
      <c r="L29">
        <v>6</v>
      </c>
      <c r="M29">
        <v>34.9</v>
      </c>
      <c r="N29">
        <f>20*(3/4)</f>
        <v>15</v>
      </c>
      <c r="O29">
        <f t="shared" si="0"/>
        <v>80.253504596372608</v>
      </c>
      <c r="P29">
        <f t="shared" si="1"/>
        <v>2.5444371685324465</v>
      </c>
      <c r="Q29">
        <f t="shared" si="2"/>
        <v>2.3487112324914894</v>
      </c>
      <c r="R29">
        <f t="shared" si="3"/>
        <v>0.77658870776324851</v>
      </c>
    </row>
    <row r="30" spans="1:18" x14ac:dyDescent="0.3">
      <c r="A30">
        <v>28</v>
      </c>
      <c r="B30" t="s">
        <v>352</v>
      </c>
      <c r="C30">
        <v>2020</v>
      </c>
      <c r="D30" t="s">
        <v>353</v>
      </c>
      <c r="E30" t="s">
        <v>354</v>
      </c>
      <c r="F30" t="s">
        <v>407</v>
      </c>
      <c r="G30" t="s">
        <v>83</v>
      </c>
      <c r="H30" t="s">
        <v>355</v>
      </c>
      <c r="I30">
        <f>30*2</f>
        <v>60</v>
      </c>
      <c r="J30">
        <v>22</v>
      </c>
      <c r="K30">
        <v>6</v>
      </c>
      <c r="L30">
        <f>15*2</f>
        <v>30</v>
      </c>
      <c r="M30">
        <v>12.5</v>
      </c>
      <c r="N30">
        <v>2.5</v>
      </c>
      <c r="O30">
        <f t="shared" si="0"/>
        <v>5.1182050298198023</v>
      </c>
      <c r="P30">
        <f t="shared" si="1"/>
        <v>1.8561194685736278</v>
      </c>
      <c r="Q30">
        <f t="shared" si="2"/>
        <v>1.84025519961146</v>
      </c>
      <c r="R30">
        <f t="shared" si="3"/>
        <v>0.26294464438164389</v>
      </c>
    </row>
    <row r="31" spans="1:18" x14ac:dyDescent="0.3">
      <c r="A31">
        <v>29</v>
      </c>
      <c r="B31" t="s">
        <v>365</v>
      </c>
      <c r="C31">
        <v>2022</v>
      </c>
      <c r="D31" t="s">
        <v>366</v>
      </c>
      <c r="E31" t="s">
        <v>367</v>
      </c>
      <c r="F31" t="s">
        <v>72</v>
      </c>
      <c r="G31" t="s">
        <v>77</v>
      </c>
      <c r="H31" t="s">
        <v>368</v>
      </c>
      <c r="I31">
        <v>10</v>
      </c>
      <c r="J31">
        <v>1000</v>
      </c>
      <c r="K31">
        <f>500*(3/4)</f>
        <v>375</v>
      </c>
      <c r="L31">
        <v>10</v>
      </c>
      <c r="M31">
        <v>750</v>
      </c>
      <c r="N31">
        <f>200*(3/4)</f>
        <v>150</v>
      </c>
      <c r="O31">
        <f t="shared" ref="O31:O34" si="4">SQRT(((I31-1)*POWER(K31,2) + (L31-1)*POWER(N31,2))/((I31-1)+(L31-1)))</f>
        <v>285.59149146989654</v>
      </c>
      <c r="P31">
        <f t="shared" ref="P31:P34" si="5">(J31-M31)/O31</f>
        <v>0.87537621906481711</v>
      </c>
      <c r="Q31">
        <f t="shared" ref="Q31:Q34" si="6">P31*(1- (3/(4*(I31+L31)-9)))</f>
        <v>0.8383884914986981</v>
      </c>
      <c r="R31">
        <f t="shared" ref="R31:R34" si="7">SQRT((I31+L31)/(I31*L31)+(POWER(P31,2)/(2*(I31+L31))))</f>
        <v>0.46814216657187097</v>
      </c>
    </row>
    <row r="32" spans="1:18" x14ac:dyDescent="0.3">
      <c r="A32">
        <v>30</v>
      </c>
      <c r="B32" t="s">
        <v>378</v>
      </c>
      <c r="C32">
        <v>2021</v>
      </c>
      <c r="D32" t="s">
        <v>379</v>
      </c>
      <c r="E32" t="s">
        <v>380</v>
      </c>
      <c r="F32" t="s">
        <v>72</v>
      </c>
      <c r="G32" t="s">
        <v>381</v>
      </c>
      <c r="H32" t="s">
        <v>382</v>
      </c>
      <c r="I32">
        <v>9</v>
      </c>
      <c r="J32">
        <v>97.68</v>
      </c>
      <c r="K32">
        <v>42.51</v>
      </c>
      <c r="L32">
        <v>5</v>
      </c>
      <c r="M32">
        <v>32.799999999999997</v>
      </c>
      <c r="N32">
        <v>6.71</v>
      </c>
      <c r="O32">
        <f t="shared" si="4"/>
        <v>34.924796825942074</v>
      </c>
      <c r="P32">
        <f t="shared" si="5"/>
        <v>1.8577058679352794</v>
      </c>
      <c r="Q32">
        <f t="shared" si="6"/>
        <v>1.7391288976415382</v>
      </c>
      <c r="R32">
        <f t="shared" si="7"/>
        <v>0.65906270574398418</v>
      </c>
    </row>
    <row r="33" spans="1:18" x14ac:dyDescent="0.3">
      <c r="A33">
        <v>31</v>
      </c>
      <c r="B33" t="s">
        <v>383</v>
      </c>
      <c r="C33">
        <v>2022</v>
      </c>
      <c r="D33" t="s">
        <v>384</v>
      </c>
      <c r="E33" t="s">
        <v>385</v>
      </c>
      <c r="F33" t="s">
        <v>253</v>
      </c>
      <c r="G33" t="s">
        <v>386</v>
      </c>
      <c r="H33" t="s">
        <v>388</v>
      </c>
      <c r="I33">
        <f>13*9</f>
        <v>117</v>
      </c>
      <c r="J33">
        <v>12.3</v>
      </c>
      <c r="K33">
        <v>8.15</v>
      </c>
      <c r="L33">
        <f>7*9</f>
        <v>63</v>
      </c>
      <c r="M33">
        <v>4.83</v>
      </c>
      <c r="N33">
        <v>3.31</v>
      </c>
      <c r="O33">
        <f t="shared" si="4"/>
        <v>6.863143791050077</v>
      </c>
      <c r="P33">
        <f t="shared" si="5"/>
        <v>1.0884224820906854</v>
      </c>
      <c r="Q33">
        <f t="shared" si="6"/>
        <v>1.0838299821662523</v>
      </c>
      <c r="R33">
        <f t="shared" si="7"/>
        <v>0.16646548099572109</v>
      </c>
    </row>
    <row r="34" spans="1:18" x14ac:dyDescent="0.3">
      <c r="A34">
        <v>32</v>
      </c>
      <c r="B34" t="s">
        <v>391</v>
      </c>
      <c r="C34">
        <v>2006</v>
      </c>
      <c r="D34" t="s">
        <v>392</v>
      </c>
      <c r="E34" t="s">
        <v>393</v>
      </c>
      <c r="F34" t="s">
        <v>72</v>
      </c>
      <c r="G34" t="s">
        <v>394</v>
      </c>
      <c r="H34" t="s">
        <v>395</v>
      </c>
      <c r="I34">
        <v>10</v>
      </c>
      <c r="J34">
        <v>264</v>
      </c>
      <c r="K34">
        <f>(270-231)*(3/4)</f>
        <v>29.25</v>
      </c>
      <c r="L34">
        <v>10</v>
      </c>
      <c r="M34">
        <v>105</v>
      </c>
      <c r="N34">
        <f>(107-60)*(3/4)</f>
        <v>35.25</v>
      </c>
      <c r="O34">
        <f t="shared" si="4"/>
        <v>32.389234322533774</v>
      </c>
      <c r="P34">
        <f t="shared" si="5"/>
        <v>4.909038553263386</v>
      </c>
      <c r="Q34">
        <f t="shared" si="6"/>
        <v>4.7016143890409898</v>
      </c>
      <c r="R34">
        <f t="shared" si="7"/>
        <v>0.89580493855283971</v>
      </c>
    </row>
    <row r="35" spans="1:18" x14ac:dyDescent="0.3">
      <c r="A35">
        <v>33</v>
      </c>
      <c r="B35" t="s">
        <v>396</v>
      </c>
      <c r="C35">
        <v>2019</v>
      </c>
      <c r="D35" t="s">
        <v>397</v>
      </c>
      <c r="E35" t="s">
        <v>398</v>
      </c>
      <c r="F35" t="s">
        <v>72</v>
      </c>
      <c r="G35" t="s">
        <v>399</v>
      </c>
      <c r="H35" t="s">
        <v>400</v>
      </c>
      <c r="I35">
        <v>20</v>
      </c>
      <c r="J35">
        <v>309.64999999999998</v>
      </c>
      <c r="K35">
        <v>116.4</v>
      </c>
      <c r="L35">
        <v>20</v>
      </c>
      <c r="M35">
        <v>155.65</v>
      </c>
      <c r="N35">
        <v>57.6</v>
      </c>
      <c r="O35">
        <f t="shared" ref="O35:O38" si="8">SQRT(((I35-1)*POWER(K35,2) + (L35-1)*POWER(N35,2))/((I35-1)+(L35-1)))</f>
        <v>91.833327283726362</v>
      </c>
      <c r="P35">
        <f t="shared" ref="P35:P38" si="9">(J35-M35)/O35</f>
        <v>1.6769511086558448</v>
      </c>
      <c r="Q35">
        <f t="shared" ref="Q35:Q38" si="10">P35*(1- (3/(4*(I35+L35)-9)))</f>
        <v>1.6436341992123513</v>
      </c>
      <c r="R35">
        <f t="shared" ref="R35:R38" si="11">SQRT((I35+L35)/(I35*L35)+(POWER(P35,2)/(2*(I35+L35))))</f>
        <v>0.3676303343853386</v>
      </c>
    </row>
    <row r="36" spans="1:18" x14ac:dyDescent="0.3">
      <c r="A36">
        <v>34</v>
      </c>
      <c r="B36" t="s">
        <v>401</v>
      </c>
      <c r="C36">
        <v>2020</v>
      </c>
      <c r="D36" t="s">
        <v>402</v>
      </c>
      <c r="E36" t="s">
        <v>380</v>
      </c>
      <c r="F36" t="s">
        <v>407</v>
      </c>
      <c r="G36" t="s">
        <v>119</v>
      </c>
      <c r="H36" t="s">
        <v>404</v>
      </c>
      <c r="I36">
        <v>11</v>
      </c>
      <c r="J36">
        <v>39.700000000000003</v>
      </c>
      <c r="K36">
        <v>9.9</v>
      </c>
      <c r="L36">
        <v>6</v>
      </c>
      <c r="M36">
        <v>24.88</v>
      </c>
      <c r="N36">
        <v>4.75</v>
      </c>
      <c r="O36">
        <f t="shared" si="8"/>
        <v>8.5358557469847938</v>
      </c>
      <c r="P36">
        <f t="shared" si="9"/>
        <v>1.7362055357173791</v>
      </c>
      <c r="Q36">
        <f t="shared" si="10"/>
        <v>1.6479238983080209</v>
      </c>
      <c r="R36">
        <f t="shared" si="11"/>
        <v>0.58841725441149306</v>
      </c>
    </row>
    <row r="37" spans="1:18" x14ac:dyDescent="0.3">
      <c r="A37">
        <v>35</v>
      </c>
      <c r="B37" t="s">
        <v>416</v>
      </c>
      <c r="C37">
        <v>2012</v>
      </c>
      <c r="D37" t="s">
        <v>417</v>
      </c>
      <c r="E37" t="s">
        <v>192</v>
      </c>
      <c r="F37" t="s">
        <v>253</v>
      </c>
      <c r="G37" t="s">
        <v>340</v>
      </c>
      <c r="H37" t="s">
        <v>418</v>
      </c>
      <c r="I37">
        <v>9</v>
      </c>
      <c r="J37">
        <v>351</v>
      </c>
      <c r="K37">
        <v>171</v>
      </c>
      <c r="L37">
        <v>6</v>
      </c>
      <c r="M37">
        <v>350</v>
      </c>
      <c r="N37">
        <v>133</v>
      </c>
      <c r="O37">
        <f t="shared" si="8"/>
        <v>157.47356310480524</v>
      </c>
      <c r="P37">
        <f t="shared" si="9"/>
        <v>6.3502722633795887E-3</v>
      </c>
      <c r="Q37">
        <f t="shared" si="10"/>
        <v>5.9767268361219658E-3</v>
      </c>
      <c r="R37">
        <f t="shared" si="11"/>
        <v>0.52704755191194252</v>
      </c>
    </row>
    <row r="38" spans="1:18" x14ac:dyDescent="0.3">
      <c r="A38">
        <v>36</v>
      </c>
      <c r="B38" t="s">
        <v>419</v>
      </c>
      <c r="C38">
        <v>2012</v>
      </c>
      <c r="D38" t="s">
        <v>420</v>
      </c>
      <c r="E38" t="s">
        <v>421</v>
      </c>
      <c r="F38" t="s">
        <v>300</v>
      </c>
      <c r="G38" t="s">
        <v>422</v>
      </c>
      <c r="H38" t="s">
        <v>423</v>
      </c>
      <c r="I38">
        <v>8</v>
      </c>
      <c r="J38">
        <v>677.2</v>
      </c>
      <c r="K38">
        <v>382.7</v>
      </c>
      <c r="L38">
        <v>4</v>
      </c>
      <c r="M38">
        <v>272.3</v>
      </c>
      <c r="N38">
        <v>113.7</v>
      </c>
      <c r="O38">
        <f t="shared" si="8"/>
        <v>326.1898373646855</v>
      </c>
      <c r="P38">
        <f t="shared" si="9"/>
        <v>1.2413017010928986</v>
      </c>
      <c r="Q38">
        <f t="shared" si="10"/>
        <v>1.1458169548549835</v>
      </c>
      <c r="R38">
        <f t="shared" si="11"/>
        <v>0.66272260138060168</v>
      </c>
    </row>
    <row r="39" spans="1:18" x14ac:dyDescent="0.3">
      <c r="A39">
        <v>37</v>
      </c>
      <c r="B39" t="s">
        <v>428</v>
      </c>
      <c r="C39">
        <v>2020</v>
      </c>
      <c r="D39" t="s">
        <v>430</v>
      </c>
      <c r="E39" t="s">
        <v>429</v>
      </c>
      <c r="F39" t="s">
        <v>72</v>
      </c>
      <c r="G39" t="s">
        <v>399</v>
      </c>
      <c r="H39" t="s">
        <v>431</v>
      </c>
      <c r="I39">
        <v>71</v>
      </c>
      <c r="J39">
        <f>(6/6.3)*120</f>
        <v>114.28571428571429</v>
      </c>
      <c r="K39">
        <f>(0.6/6.3)*120</f>
        <v>11.428571428571427</v>
      </c>
      <c r="L39">
        <v>29</v>
      </c>
      <c r="M39">
        <f>(4.4/5.3)*100</f>
        <v>83.018867924528323</v>
      </c>
      <c r="N39">
        <f>(0.6/5.3)*100</f>
        <v>11.320754716981133</v>
      </c>
      <c r="O39">
        <f t="shared" ref="O39" si="12">SQRT(((I39-1)*POWER(K39,2) + (L39-1)*POWER(N39,2))/((I39-1)+(L39-1)))</f>
        <v>11.39787072354116</v>
      </c>
      <c r="P39">
        <f t="shared" ref="P39" si="13">(J39-M39)/O39</f>
        <v>2.74321819571154</v>
      </c>
      <c r="Q39">
        <f t="shared" ref="Q39" si="14">P39*(1- (3/(4*(I39+L39)-9)))</f>
        <v>2.7221704857700191</v>
      </c>
      <c r="R39">
        <f t="shared" ref="R39" si="15">SQRT((I39+L39)/(I39*L39)+(POWER(P39,2)/(2*(I39+L39))))</f>
        <v>0.29358728856910266</v>
      </c>
    </row>
    <row r="40" spans="1:18" x14ac:dyDescent="0.3">
      <c r="A40">
        <v>38</v>
      </c>
      <c r="B40" t="s">
        <v>432</v>
      </c>
      <c r="C40">
        <v>2007</v>
      </c>
      <c r="D40" t="s">
        <v>433</v>
      </c>
      <c r="E40" t="s">
        <v>38</v>
      </c>
      <c r="F40" t="s">
        <v>253</v>
      </c>
      <c r="G40" t="s">
        <v>434</v>
      </c>
      <c r="H40" t="s">
        <v>435</v>
      </c>
      <c r="I40">
        <v>14</v>
      </c>
      <c r="J40">
        <v>182.5</v>
      </c>
      <c r="K40">
        <v>61</v>
      </c>
      <c r="L40">
        <v>15</v>
      </c>
      <c r="M40">
        <v>118.3</v>
      </c>
      <c r="N40">
        <v>22.9</v>
      </c>
      <c r="O40">
        <f t="shared" ref="O40" si="16">SQRT(((I40-1)*POWER(K40,2) + (L40-1)*POWER(N40,2))/((I40-1)+(L40-1)))</f>
        <v>45.425861454560099</v>
      </c>
      <c r="P40">
        <f t="shared" ref="P40" si="17">(J40-M40)/O40</f>
        <v>1.4132918549980575</v>
      </c>
      <c r="Q40">
        <f t="shared" ref="Q40" si="18">P40*(1- (3/(4*(I40+L40)-9)))</f>
        <v>1.3736668497177382</v>
      </c>
      <c r="R40">
        <f t="shared" ref="R40" si="19">SQRT((I40+L40)/(I40*L40)+(POWER(P40,2)/(2*(I40+L40))))</f>
        <v>0.41537099488927304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C6236-8F35-404B-A05E-33379B58B182}">
  <dimension ref="A1:R17"/>
  <sheetViews>
    <sheetView workbookViewId="0">
      <selection activeCell="D5" sqref="D5"/>
    </sheetView>
  </sheetViews>
  <sheetFormatPr defaultRowHeight="14.4" x14ac:dyDescent="0.3"/>
  <cols>
    <col min="2" max="2" width="20.664062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186</v>
      </c>
      <c r="C2">
        <v>2021</v>
      </c>
      <c r="D2" t="s">
        <v>187</v>
      </c>
      <c r="E2" t="s">
        <v>19</v>
      </c>
      <c r="F2" t="s">
        <v>72</v>
      </c>
      <c r="G2" t="s">
        <v>188</v>
      </c>
      <c r="H2" t="s">
        <v>189</v>
      </c>
      <c r="I2">
        <v>12</v>
      </c>
      <c r="J2">
        <v>190.38</v>
      </c>
      <c r="K2">
        <v>133.91999999999999</v>
      </c>
      <c r="L2">
        <v>1</v>
      </c>
      <c r="M2">
        <v>116.38</v>
      </c>
      <c r="N2">
        <v>94.4</v>
      </c>
      <c r="O2">
        <f t="shared" ref="O2" si="0">SQRT(((I2-1)*POWER(K2,2) + (L2-1)*POWER(N2,2))/((I2-1)+(L2-1)))</f>
        <v>133.91999999999999</v>
      </c>
      <c r="P2">
        <f t="shared" ref="P2" si="1">(J2-M2)/O2</f>
        <v>0.55256869772998807</v>
      </c>
      <c r="Q2">
        <f t="shared" ref="Q2" si="2">P2*(1- (3/(4*(I2+L2)-9)))</f>
        <v>0.51401739323719819</v>
      </c>
      <c r="R2">
        <f t="shared" ref="R2" si="3">SQRT((I2+L2)/(I2*L2)+(POWER(P2,2)/(2*(I2+L2))))</f>
        <v>1.0464592099878391</v>
      </c>
    </row>
    <row r="3" spans="1:18" x14ac:dyDescent="0.3">
      <c r="A3">
        <v>1</v>
      </c>
      <c r="B3" t="s">
        <v>239</v>
      </c>
      <c r="C3">
        <v>2021</v>
      </c>
      <c r="D3" t="s">
        <v>240</v>
      </c>
      <c r="E3" t="s">
        <v>28</v>
      </c>
      <c r="F3" t="s">
        <v>253</v>
      </c>
      <c r="G3" t="s">
        <v>241</v>
      </c>
      <c r="H3" t="s">
        <v>242</v>
      </c>
      <c r="I3">
        <v>14</v>
      </c>
      <c r="J3">
        <v>15.11</v>
      </c>
      <c r="K3">
        <v>1.46</v>
      </c>
      <c r="L3">
        <v>23</v>
      </c>
      <c r="M3">
        <v>16.14</v>
      </c>
      <c r="N3">
        <v>1.37</v>
      </c>
      <c r="O3">
        <f t="shared" ref="O3:O4" si="4">SQRT(((I3-1)*POWER(K3,2) + (L3-1)*POWER(N3,2))/((I3-1)+(L3-1)))</f>
        <v>1.4041021533858771</v>
      </c>
      <c r="P3">
        <f t="shared" ref="P3:P4" si="5">(J3-M3)/O3</f>
        <v>-0.73356486030324841</v>
      </c>
      <c r="Q3">
        <f t="shared" ref="Q3:Q4" si="6">P3*(1- (3/(4*(I3+L3)-9)))</f>
        <v>-0.71773252518878983</v>
      </c>
      <c r="R3">
        <f t="shared" ref="R3:R4" si="7">SQRT((I3+L3)/(I3*L3)+(POWER(P3,2)/(2*(I3+L3))))</f>
        <v>0.34954068305795166</v>
      </c>
    </row>
    <row r="4" spans="1:18" x14ac:dyDescent="0.3">
      <c r="A4">
        <v>3</v>
      </c>
      <c r="B4" t="s">
        <v>176</v>
      </c>
      <c r="C4">
        <v>2006</v>
      </c>
      <c r="D4" t="s">
        <v>177</v>
      </c>
      <c r="E4" t="s">
        <v>38</v>
      </c>
      <c r="F4" t="s">
        <v>253</v>
      </c>
      <c r="G4" t="s">
        <v>152</v>
      </c>
      <c r="I4">
        <v>3</v>
      </c>
      <c r="J4">
        <v>566</v>
      </c>
      <c r="K4">
        <v>83</v>
      </c>
      <c r="L4">
        <v>3</v>
      </c>
      <c r="M4">
        <v>85</v>
      </c>
      <c r="N4">
        <v>32</v>
      </c>
      <c r="O4">
        <f t="shared" si="4"/>
        <v>62.900715417235119</v>
      </c>
      <c r="P4">
        <f t="shared" si="5"/>
        <v>7.6469718477669897</v>
      </c>
      <c r="Q4">
        <f t="shared" si="6"/>
        <v>6.1175774782135921</v>
      </c>
      <c r="R4">
        <f t="shared" si="7"/>
        <v>2.3536528071726597</v>
      </c>
    </row>
    <row r="5" spans="1:18" x14ac:dyDescent="0.3">
      <c r="A5">
        <v>4</v>
      </c>
      <c r="B5" t="s">
        <v>178</v>
      </c>
      <c r="C5">
        <v>2021</v>
      </c>
      <c r="D5" t="s">
        <v>179</v>
      </c>
      <c r="E5" t="s">
        <v>33</v>
      </c>
      <c r="F5" t="s">
        <v>253</v>
      </c>
      <c r="G5" t="s">
        <v>180</v>
      </c>
      <c r="H5" t="s">
        <v>243</v>
      </c>
      <c r="I5">
        <v>15</v>
      </c>
      <c r="J5">
        <v>1.7</v>
      </c>
      <c r="K5">
        <f>(1.7-1.6)*(3/4)</f>
        <v>7.49999999999999E-2</v>
      </c>
      <c r="L5">
        <v>18</v>
      </c>
      <c r="M5">
        <v>2</v>
      </c>
      <c r="N5">
        <f>(2.4-1.8)*(3/4)</f>
        <v>0.4499999999999999</v>
      </c>
      <c r="O5">
        <f t="shared" ref="O5:O6" si="8">SQRT(((I5-1)*POWER(K5,2) + (L5-1)*POWER(N5,2))/((I5-1)+(L5-1)))</f>
        <v>0.33702924157618619</v>
      </c>
      <c r="P5">
        <f t="shared" ref="P5:P6" si="9">(J5-M5)/O5</f>
        <v>-0.89013047828428382</v>
      </c>
      <c r="Q5">
        <f t="shared" ref="Q5:Q6" si="10">P5*(1- (3/(4*(I5+L5)-9)))</f>
        <v>-0.8684199788139354</v>
      </c>
      <c r="R5">
        <f t="shared" ref="R5:R6" si="11">SQRT((I5+L5)/(I5*L5)+(POWER(P5,2)/(2*(I5+L5))))</f>
        <v>0.36637038170610059</v>
      </c>
    </row>
    <row r="6" spans="1:18" x14ac:dyDescent="0.3">
      <c r="A6">
        <v>5</v>
      </c>
      <c r="B6" t="s">
        <v>169</v>
      </c>
      <c r="C6">
        <v>2017</v>
      </c>
      <c r="D6" t="s">
        <v>170</v>
      </c>
      <c r="E6" t="s">
        <v>33</v>
      </c>
      <c r="F6" t="s">
        <v>253</v>
      </c>
      <c r="G6" t="s">
        <v>119</v>
      </c>
      <c r="H6" t="s">
        <v>171</v>
      </c>
      <c r="I6">
        <v>24</v>
      </c>
      <c r="J6">
        <v>23</v>
      </c>
      <c r="K6">
        <f>6*(3/4)</f>
        <v>4.5</v>
      </c>
      <c r="L6">
        <v>15</v>
      </c>
      <c r="M6">
        <v>27</v>
      </c>
      <c r="N6">
        <f>8*(3/4)</f>
        <v>6</v>
      </c>
      <c r="O6">
        <f t="shared" si="8"/>
        <v>5.1195175026030979</v>
      </c>
      <c r="P6">
        <f t="shared" si="9"/>
        <v>-0.78132363019877127</v>
      </c>
      <c r="Q6">
        <f t="shared" si="10"/>
        <v>-0.76537824999063309</v>
      </c>
      <c r="R6">
        <f t="shared" si="11"/>
        <v>0.34082228272049281</v>
      </c>
    </row>
    <row r="7" spans="1:18" x14ac:dyDescent="0.3">
      <c r="A7">
        <v>6</v>
      </c>
      <c r="B7" t="s">
        <v>31</v>
      </c>
      <c r="C7">
        <v>2009</v>
      </c>
      <c r="D7" t="s">
        <v>32</v>
      </c>
      <c r="E7" t="s">
        <v>33</v>
      </c>
      <c r="F7" t="s">
        <v>300</v>
      </c>
      <c r="G7" t="s">
        <v>244</v>
      </c>
      <c r="H7" t="s">
        <v>245</v>
      </c>
      <c r="I7">
        <f>5*3</f>
        <v>15</v>
      </c>
      <c r="J7">
        <v>35</v>
      </c>
      <c r="K7">
        <v>2</v>
      </c>
      <c r="L7">
        <f>5*3</f>
        <v>15</v>
      </c>
      <c r="M7">
        <v>34</v>
      </c>
      <c r="N7">
        <v>0.5</v>
      </c>
      <c r="O7">
        <f t="shared" ref="O7:O8" si="12">SQRT(((I7-1)*POWER(K7,2) + (L7-1)*POWER(N7,2))/((I7-1)+(L7-1)))</f>
        <v>1.4577379737113252</v>
      </c>
      <c r="P7">
        <f t="shared" ref="P7:P8" si="13">(J7-M7)/O7</f>
        <v>0.68599434057003528</v>
      </c>
      <c r="Q7">
        <f t="shared" ref="Q7:Q8" si="14">P7*(1- (3/(4*(I7+L7)-9)))</f>
        <v>0.66745395298706134</v>
      </c>
      <c r="R7">
        <f t="shared" ref="R7:R8" si="15">SQRT((I7+L7)/(I7*L7)+(POWER(P7,2)/(2*(I7+L7))))</f>
        <v>0.37573457465108967</v>
      </c>
    </row>
    <row r="8" spans="1:18" x14ac:dyDescent="0.3">
      <c r="A8">
        <v>7</v>
      </c>
      <c r="B8" t="s">
        <v>88</v>
      </c>
      <c r="C8">
        <v>2013</v>
      </c>
      <c r="D8" t="s">
        <v>172</v>
      </c>
      <c r="E8" t="s">
        <v>38</v>
      </c>
      <c r="F8" t="s">
        <v>253</v>
      </c>
      <c r="H8" t="s">
        <v>171</v>
      </c>
      <c r="I8">
        <v>11</v>
      </c>
      <c r="J8">
        <v>30</v>
      </c>
      <c r="K8">
        <f>5*(3/4)</f>
        <v>3.75</v>
      </c>
      <c r="L8">
        <v>7</v>
      </c>
      <c r="M8">
        <v>25</v>
      </c>
      <c r="N8">
        <f>8*(3/4)</f>
        <v>6</v>
      </c>
      <c r="O8">
        <f t="shared" si="12"/>
        <v>4.7211293670053145</v>
      </c>
      <c r="P8">
        <f t="shared" si="13"/>
        <v>1.0590686277193835</v>
      </c>
      <c r="Q8">
        <f t="shared" si="14"/>
        <v>1.0086367883041747</v>
      </c>
      <c r="R8">
        <f t="shared" si="15"/>
        <v>0.51470624777104745</v>
      </c>
    </row>
    <row r="9" spans="1:18" x14ac:dyDescent="0.3">
      <c r="A9">
        <v>8</v>
      </c>
      <c r="B9" t="s">
        <v>246</v>
      </c>
      <c r="C9">
        <v>2016</v>
      </c>
      <c r="D9" t="s">
        <v>247</v>
      </c>
      <c r="E9" t="s">
        <v>248</v>
      </c>
      <c r="H9" t="s">
        <v>249</v>
      </c>
      <c r="I9">
        <v>21</v>
      </c>
      <c r="J9">
        <v>219.22</v>
      </c>
      <c r="K9">
        <v>60.81</v>
      </c>
      <c r="L9">
        <v>39</v>
      </c>
      <c r="M9">
        <v>386.7</v>
      </c>
      <c r="N9">
        <v>172.87</v>
      </c>
      <c r="O9">
        <f t="shared" ref="O9:O17" si="16">SQRT(((I9-1)*POWER(K9,2) + (L9-1)*POWER(N9,2))/((I9-1)+(L9-1)))</f>
        <v>144.41024680665365</v>
      </c>
      <c r="P9">
        <f t="shared" ref="P9:P17" si="17">(J9-M9)/O9</f>
        <v>-1.1597514975805956</v>
      </c>
      <c r="Q9">
        <f t="shared" ref="Q9:Q17" si="18">P9*(1- (3/(4*(I9+L9)-9)))</f>
        <v>-1.1446897898198087</v>
      </c>
      <c r="R9">
        <f t="shared" ref="R9:R17" si="19">SQRT((I9+L9)/(I9*L9)+(POWER(P9,2)/(2*(I9+L9))))</f>
        <v>0.29063482710767857</v>
      </c>
    </row>
    <row r="10" spans="1:18" x14ac:dyDescent="0.3">
      <c r="A10">
        <v>9</v>
      </c>
      <c r="B10" t="s">
        <v>182</v>
      </c>
      <c r="C10">
        <v>2018</v>
      </c>
      <c r="D10" t="s">
        <v>183</v>
      </c>
      <c r="E10" t="s">
        <v>184</v>
      </c>
      <c r="F10" t="s">
        <v>407</v>
      </c>
      <c r="G10" t="s">
        <v>288</v>
      </c>
      <c r="H10" t="s">
        <v>289</v>
      </c>
      <c r="I10">
        <v>9</v>
      </c>
      <c r="J10">
        <v>70.11</v>
      </c>
      <c r="K10">
        <f>J10*(1.9/4.1)</f>
        <v>32.49</v>
      </c>
      <c r="L10">
        <v>10</v>
      </c>
      <c r="M10">
        <v>78.010000000000005</v>
      </c>
      <c r="N10">
        <f>M10*(1.5/7.1)</f>
        <v>16.480985915492962</v>
      </c>
      <c r="O10">
        <f t="shared" si="16"/>
        <v>25.309155365923935</v>
      </c>
      <c r="P10">
        <f t="shared" si="17"/>
        <v>-0.31214000964396105</v>
      </c>
      <c r="Q10">
        <f t="shared" si="18"/>
        <v>-0.29816359130169412</v>
      </c>
      <c r="R10">
        <f t="shared" si="19"/>
        <v>0.46225003509273027</v>
      </c>
    </row>
    <row r="11" spans="1:18" x14ac:dyDescent="0.3">
      <c r="A11">
        <v>10</v>
      </c>
      <c r="B11" t="s">
        <v>144</v>
      </c>
      <c r="C11">
        <v>2012</v>
      </c>
      <c r="D11" t="s">
        <v>145</v>
      </c>
      <c r="E11" t="s">
        <v>86</v>
      </c>
      <c r="F11" t="s">
        <v>253</v>
      </c>
      <c r="G11" t="s">
        <v>129</v>
      </c>
      <c r="H11" t="s">
        <v>293</v>
      </c>
      <c r="I11">
        <v>4</v>
      </c>
      <c r="J11">
        <v>1.94</v>
      </c>
      <c r="K11">
        <v>0.26</v>
      </c>
      <c r="L11">
        <v>4</v>
      </c>
      <c r="M11">
        <v>1.92</v>
      </c>
      <c r="N11">
        <v>0.33</v>
      </c>
      <c r="O11">
        <f t="shared" si="16"/>
        <v>0.297069015550259</v>
      </c>
      <c r="P11">
        <f t="shared" si="17"/>
        <v>6.7324422787594151E-2</v>
      </c>
      <c r="Q11">
        <f t="shared" si="18"/>
        <v>5.8542976337038394E-2</v>
      </c>
      <c r="R11">
        <f t="shared" si="19"/>
        <v>0.70730706635730722</v>
      </c>
    </row>
    <row r="12" spans="1:18" x14ac:dyDescent="0.3">
      <c r="A12">
        <v>11</v>
      </c>
      <c r="B12" t="s">
        <v>220</v>
      </c>
      <c r="C12">
        <v>2018</v>
      </c>
      <c r="D12" t="s">
        <v>221</v>
      </c>
      <c r="E12" t="s">
        <v>222</v>
      </c>
      <c r="F12" t="s">
        <v>223</v>
      </c>
      <c r="G12" t="s">
        <v>224</v>
      </c>
      <c r="H12" t="s">
        <v>226</v>
      </c>
      <c r="I12">
        <v>42</v>
      </c>
      <c r="J12">
        <v>1.3</v>
      </c>
      <c r="K12">
        <f>SQRT(I12)*(1.3-1.2)/3.92</f>
        <v>0.1653250178165272</v>
      </c>
      <c r="L12">
        <v>54</v>
      </c>
      <c r="M12">
        <v>1.6</v>
      </c>
      <c r="N12">
        <f>SQRT(L12)*(1.6-1.5)/3.92</f>
        <v>0.18746094970279442</v>
      </c>
      <c r="O12">
        <f t="shared" si="16"/>
        <v>0.17814445573692042</v>
      </c>
      <c r="P12">
        <f t="shared" si="17"/>
        <v>-1.6840265881921863</v>
      </c>
      <c r="Q12">
        <f t="shared" si="18"/>
        <v>-1.6705543754866488</v>
      </c>
      <c r="R12">
        <f t="shared" si="19"/>
        <v>0.2389531168791531</v>
      </c>
    </row>
    <row r="13" spans="1:18" x14ac:dyDescent="0.3">
      <c r="A13">
        <v>12</v>
      </c>
      <c r="B13" t="s">
        <v>345</v>
      </c>
      <c r="C13">
        <v>2016</v>
      </c>
      <c r="D13" t="s">
        <v>346</v>
      </c>
      <c r="E13" t="s">
        <v>86</v>
      </c>
      <c r="F13" t="s">
        <v>253</v>
      </c>
      <c r="G13" t="s">
        <v>347</v>
      </c>
      <c r="H13" t="s">
        <v>348</v>
      </c>
      <c r="I13">
        <v>6</v>
      </c>
      <c r="J13">
        <v>10.5</v>
      </c>
      <c r="K13">
        <f>8*(3/4)</f>
        <v>6</v>
      </c>
      <c r="L13">
        <v>6</v>
      </c>
      <c r="M13">
        <v>22.3</v>
      </c>
      <c r="N13">
        <f>9*(3/4)</f>
        <v>6.75</v>
      </c>
      <c r="O13">
        <f t="shared" si="16"/>
        <v>6.3860198872224005</v>
      </c>
      <c r="P13">
        <f t="shared" si="17"/>
        <v>-1.8477862907396003</v>
      </c>
      <c r="Q13">
        <f t="shared" si="18"/>
        <v>-1.7056488837596311</v>
      </c>
      <c r="R13">
        <f t="shared" si="19"/>
        <v>0.68963499331908695</v>
      </c>
    </row>
    <row r="14" spans="1:18" x14ac:dyDescent="0.3">
      <c r="A14">
        <v>13</v>
      </c>
      <c r="B14" t="s">
        <v>369</v>
      </c>
      <c r="C14">
        <v>2014</v>
      </c>
      <c r="D14" t="s">
        <v>370</v>
      </c>
      <c r="E14" t="s">
        <v>354</v>
      </c>
      <c r="F14" t="s">
        <v>407</v>
      </c>
      <c r="G14" t="s">
        <v>371</v>
      </c>
      <c r="H14" t="s">
        <v>372</v>
      </c>
      <c r="I14">
        <v>6</v>
      </c>
      <c r="J14">
        <v>166.7</v>
      </c>
      <c r="K14">
        <v>110</v>
      </c>
      <c r="L14">
        <v>6</v>
      </c>
      <c r="M14">
        <v>248.16</v>
      </c>
      <c r="N14">
        <v>130</v>
      </c>
      <c r="O14">
        <f t="shared" si="16"/>
        <v>120.41594578792295</v>
      </c>
      <c r="P14">
        <f t="shared" si="17"/>
        <v>-0.67648847888856589</v>
      </c>
      <c r="Q14">
        <f t="shared" si="18"/>
        <v>-0.62445090358944544</v>
      </c>
      <c r="R14">
        <f t="shared" si="19"/>
        <v>0.593634169827013</v>
      </c>
    </row>
    <row r="15" spans="1:18" x14ac:dyDescent="0.3">
      <c r="A15">
        <v>14</v>
      </c>
      <c r="B15" t="s">
        <v>373</v>
      </c>
      <c r="C15">
        <v>2020</v>
      </c>
      <c r="D15" t="s">
        <v>374</v>
      </c>
      <c r="E15" t="s">
        <v>19</v>
      </c>
      <c r="F15" t="s">
        <v>253</v>
      </c>
      <c r="G15" t="s">
        <v>375</v>
      </c>
      <c r="H15" t="s">
        <v>376</v>
      </c>
      <c r="I15">
        <v>6</v>
      </c>
      <c r="J15">
        <v>75</v>
      </c>
      <c r="K15">
        <f>30*(3/4)</f>
        <v>22.5</v>
      </c>
      <c r="L15">
        <v>3</v>
      </c>
      <c r="M15">
        <v>12.5</v>
      </c>
      <c r="N15">
        <v>1</v>
      </c>
      <c r="O15">
        <f t="shared" si="16"/>
        <v>19.023481730294723</v>
      </c>
      <c r="P15">
        <f t="shared" si="17"/>
        <v>3.2854133058339849</v>
      </c>
      <c r="Q15">
        <f t="shared" si="18"/>
        <v>2.9203673829635419</v>
      </c>
      <c r="R15">
        <f t="shared" si="19"/>
        <v>1.048648351984353</v>
      </c>
    </row>
    <row r="16" spans="1:18" x14ac:dyDescent="0.3">
      <c r="A16">
        <v>15</v>
      </c>
      <c r="B16" t="s">
        <v>378</v>
      </c>
      <c r="C16">
        <v>2021</v>
      </c>
      <c r="D16" t="s">
        <v>379</v>
      </c>
      <c r="E16" t="s">
        <v>380</v>
      </c>
      <c r="F16" t="s">
        <v>72</v>
      </c>
      <c r="G16" t="s">
        <v>381</v>
      </c>
      <c r="H16" t="s">
        <v>382</v>
      </c>
      <c r="I16">
        <v>9</v>
      </c>
      <c r="J16">
        <v>19.420000000000002</v>
      </c>
      <c r="K16">
        <v>3.98</v>
      </c>
      <c r="L16">
        <v>5</v>
      </c>
      <c r="M16">
        <v>14.97</v>
      </c>
      <c r="N16">
        <v>4.05</v>
      </c>
      <c r="O16">
        <f t="shared" si="16"/>
        <v>4.0034693288030407</v>
      </c>
      <c r="P16">
        <f t="shared" si="17"/>
        <v>1.1115359290963931</v>
      </c>
      <c r="Q16">
        <f t="shared" si="18"/>
        <v>1.0405868272391765</v>
      </c>
      <c r="R16">
        <f t="shared" si="19"/>
        <v>0.59601723467360801</v>
      </c>
    </row>
    <row r="17" spans="1:18" x14ac:dyDescent="0.3">
      <c r="A17">
        <v>16</v>
      </c>
      <c r="B17" t="s">
        <v>383</v>
      </c>
      <c r="C17">
        <v>2022</v>
      </c>
      <c r="D17" t="s">
        <v>384</v>
      </c>
      <c r="E17" t="s">
        <v>385</v>
      </c>
      <c r="F17" t="s">
        <v>253</v>
      </c>
      <c r="G17" t="s">
        <v>386</v>
      </c>
      <c r="H17" t="s">
        <v>389</v>
      </c>
      <c r="I17">
        <f>13*9</f>
        <v>117</v>
      </c>
      <c r="J17">
        <v>5.77</v>
      </c>
      <c r="K17">
        <v>6.74</v>
      </c>
      <c r="L17">
        <f>7*9</f>
        <v>63</v>
      </c>
      <c r="M17">
        <v>13.04</v>
      </c>
      <c r="N17">
        <v>12.31</v>
      </c>
      <c r="O17">
        <f t="shared" si="16"/>
        <v>9.0767141879337707</v>
      </c>
      <c r="P17">
        <f t="shared" si="17"/>
        <v>-0.80095063582198656</v>
      </c>
      <c r="Q17">
        <f t="shared" si="18"/>
        <v>-0.79757109727421449</v>
      </c>
      <c r="R17">
        <f t="shared" si="19"/>
        <v>0.16187041037880026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E573-6817-4853-A70A-1BB8041487EC}">
  <dimension ref="A1:R9"/>
  <sheetViews>
    <sheetView workbookViewId="0">
      <selection activeCell="M16" sqref="M16"/>
    </sheetView>
  </sheetViews>
  <sheetFormatPr defaultRowHeight="14.4" x14ac:dyDescent="0.3"/>
  <cols>
    <col min="2" max="2" width="16"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8</v>
      </c>
      <c r="C2">
        <v>2021</v>
      </c>
      <c r="D2" t="s">
        <v>85</v>
      </c>
      <c r="E2" t="s">
        <v>86</v>
      </c>
      <c r="F2" t="s">
        <v>72</v>
      </c>
      <c r="G2" t="s">
        <v>119</v>
      </c>
      <c r="H2" t="s">
        <v>207</v>
      </c>
      <c r="I2">
        <v>25</v>
      </c>
      <c r="J2">
        <f>1-(0.85124-0.09546)</f>
        <v>0.24421999999999999</v>
      </c>
      <c r="K2">
        <v>4.2380000000000001E-2</v>
      </c>
      <c r="L2">
        <v>25</v>
      </c>
      <c r="M2">
        <f>1-0.85124</f>
        <v>0.14876</v>
      </c>
      <c r="N2">
        <v>2.997E-2</v>
      </c>
      <c r="O2">
        <f t="shared" ref="O2" si="0">SQRT(((I2-1)*POWER(K2,2) + (L2-1)*POWER(N2,2))/((I2-1)+(L2-1)))</f>
        <v>3.6703305709431679E-2</v>
      </c>
      <c r="P2">
        <f t="shared" ref="P2" si="1">(J2-M2)/O2</f>
        <v>2.6008556492356916</v>
      </c>
      <c r="Q2">
        <f t="shared" ref="Q2" si="2">P2*(1- (3/(4*(I2+L2)-9)))</f>
        <v>2.5600045133838223</v>
      </c>
      <c r="R2">
        <f t="shared" ref="R2" si="3">SQRT((I2+L2)/(I2*L2)+(POWER(P2,2)/(2*(I2+L2))))</f>
        <v>0.38424536572561563</v>
      </c>
    </row>
    <row r="3" spans="1:18" x14ac:dyDescent="0.3">
      <c r="A3">
        <v>1</v>
      </c>
      <c r="B3" t="s">
        <v>209</v>
      </c>
      <c r="C3">
        <v>2015</v>
      </c>
      <c r="D3" t="s">
        <v>208</v>
      </c>
      <c r="E3" t="s">
        <v>86</v>
      </c>
      <c r="F3" t="s">
        <v>253</v>
      </c>
      <c r="G3" t="s">
        <v>119</v>
      </c>
      <c r="H3" t="s">
        <v>211</v>
      </c>
      <c r="I3">
        <v>15</v>
      </c>
      <c r="J3">
        <v>17.739999999999998</v>
      </c>
      <c r="K3">
        <v>9.11</v>
      </c>
      <c r="L3">
        <v>11</v>
      </c>
      <c r="M3">
        <v>5.46</v>
      </c>
      <c r="N3">
        <v>1.48</v>
      </c>
      <c r="O3">
        <f t="shared" ref="O3:O9" si="4">SQRT(((I3-1)*POWER(K3,2) + (L3-1)*POWER(N3,2))/((I3-1)+(L3-1)))</f>
        <v>7.0231563417027818</v>
      </c>
      <c r="P3">
        <f t="shared" ref="P3:P9" si="5">(J3-M3)/O3</f>
        <v>1.7485015856877082</v>
      </c>
      <c r="Q3">
        <f t="shared" ref="Q3:Q9" si="6">P3*(1- (3/(4*(I3+L3)-9)))</f>
        <v>1.6932857461396753</v>
      </c>
      <c r="R3">
        <f t="shared" ref="R3:R9" si="7">SQRT((I3+L3)/(I3*L3)+(POWER(P3,2)/(2*(I3+L3))))</f>
        <v>0.46515500288968653</v>
      </c>
    </row>
    <row r="4" spans="1:18" x14ac:dyDescent="0.3">
      <c r="A4">
        <v>2</v>
      </c>
      <c r="B4" t="s">
        <v>212</v>
      </c>
      <c r="C4">
        <v>2015</v>
      </c>
      <c r="D4" t="s">
        <v>213</v>
      </c>
      <c r="E4" t="s">
        <v>214</v>
      </c>
      <c r="F4" t="s">
        <v>407</v>
      </c>
      <c r="G4" t="s">
        <v>215</v>
      </c>
      <c r="H4" t="s">
        <v>216</v>
      </c>
      <c r="I4">
        <v>5</v>
      </c>
      <c r="J4">
        <v>64</v>
      </c>
      <c r="K4">
        <f>64*(17.83/85.52)</f>
        <v>13.343311506080449</v>
      </c>
      <c r="L4">
        <v>6</v>
      </c>
      <c r="M4">
        <v>29</v>
      </c>
      <c r="N4">
        <f>29*(17.84/52.43)</f>
        <v>9.8676330345222194</v>
      </c>
      <c r="O4">
        <f t="shared" si="4"/>
        <v>11.542321913112083</v>
      </c>
      <c r="P4">
        <f t="shared" si="5"/>
        <v>3.0323188231511704</v>
      </c>
      <c r="Q4">
        <f t="shared" si="6"/>
        <v>2.7724057811667842</v>
      </c>
      <c r="R4">
        <f t="shared" si="7"/>
        <v>0.88578737731681323</v>
      </c>
    </row>
    <row r="5" spans="1:18" x14ac:dyDescent="0.3">
      <c r="A5">
        <v>3</v>
      </c>
      <c r="B5" t="s">
        <v>298</v>
      </c>
      <c r="C5">
        <v>2021</v>
      </c>
      <c r="D5" t="s">
        <v>217</v>
      </c>
      <c r="E5" t="s">
        <v>149</v>
      </c>
      <c r="F5" t="s">
        <v>407</v>
      </c>
      <c r="G5" t="s">
        <v>218</v>
      </c>
      <c r="H5" t="s">
        <v>219</v>
      </c>
      <c r="I5">
        <v>2</v>
      </c>
      <c r="J5">
        <v>5.0999999999999996</v>
      </c>
      <c r="K5">
        <f>5.1*((871-308)/589)</f>
        <v>4.8748726655348049</v>
      </c>
      <c r="L5">
        <v>2</v>
      </c>
      <c r="M5">
        <v>2.9</v>
      </c>
      <c r="N5">
        <f>2.9*((320-294)/307)</f>
        <v>0.24560260586319216</v>
      </c>
      <c r="O5">
        <f t="shared" si="4"/>
        <v>3.4514275412635569</v>
      </c>
      <c r="P5">
        <f t="shared" si="5"/>
        <v>0.63741740879618369</v>
      </c>
      <c r="Q5">
        <f t="shared" si="6"/>
        <v>0.36423851931210494</v>
      </c>
      <c r="R5">
        <f t="shared" si="7"/>
        <v>1.0250793233352993</v>
      </c>
    </row>
    <row r="6" spans="1:18" x14ac:dyDescent="0.3">
      <c r="A6">
        <v>4</v>
      </c>
      <c r="B6" t="s">
        <v>190</v>
      </c>
      <c r="C6">
        <v>2013</v>
      </c>
      <c r="D6" t="s">
        <v>191</v>
      </c>
      <c r="E6" t="s">
        <v>192</v>
      </c>
      <c r="F6" t="s">
        <v>253</v>
      </c>
      <c r="G6" t="s">
        <v>193</v>
      </c>
      <c r="H6" t="s">
        <v>194</v>
      </c>
      <c r="I6">
        <v>16</v>
      </c>
      <c r="J6">
        <v>55</v>
      </c>
      <c r="K6">
        <f>20*(3/4)</f>
        <v>15</v>
      </c>
      <c r="L6">
        <v>4</v>
      </c>
      <c r="M6">
        <v>41</v>
      </c>
      <c r="N6">
        <f>10*(3/4)</f>
        <v>7.5</v>
      </c>
      <c r="O6">
        <f t="shared" si="4"/>
        <v>14.031215200402281</v>
      </c>
      <c r="P6">
        <f t="shared" si="5"/>
        <v>0.99777530313971763</v>
      </c>
      <c r="Q6">
        <f t="shared" si="6"/>
        <v>0.95561578328874375</v>
      </c>
      <c r="R6">
        <f t="shared" si="7"/>
        <v>0.5808518648406743</v>
      </c>
    </row>
    <row r="7" spans="1:18" x14ac:dyDescent="0.3">
      <c r="A7">
        <v>5</v>
      </c>
      <c r="B7" t="s">
        <v>220</v>
      </c>
      <c r="C7">
        <v>2018</v>
      </c>
      <c r="D7" t="s">
        <v>221</v>
      </c>
      <c r="E7" t="s">
        <v>222</v>
      </c>
      <c r="F7" t="s">
        <v>223</v>
      </c>
      <c r="G7" t="s">
        <v>224</v>
      </c>
      <c r="H7" t="s">
        <v>225</v>
      </c>
      <c r="I7">
        <v>42</v>
      </c>
      <c r="J7">
        <v>392</v>
      </c>
      <c r="K7">
        <f>SQRT(I7)*(569-185)/3.92</f>
        <v>634.8480684154639</v>
      </c>
      <c r="L7">
        <v>54</v>
      </c>
      <c r="M7">
        <v>91</v>
      </c>
      <c r="N7">
        <f>SQRT(L7)*(127-69)/3.92</f>
        <v>108.72735082762065</v>
      </c>
      <c r="O7">
        <f t="shared" si="4"/>
        <v>427.1486564213152</v>
      </c>
      <c r="P7">
        <f t="shared" si="5"/>
        <v>0.70467270697232554</v>
      </c>
      <c r="Q7">
        <f t="shared" si="6"/>
        <v>0.69903532531654688</v>
      </c>
      <c r="R7">
        <f t="shared" si="7"/>
        <v>0.21192996768458866</v>
      </c>
    </row>
    <row r="8" spans="1:18" x14ac:dyDescent="0.3">
      <c r="A8">
        <v>6</v>
      </c>
      <c r="B8" t="s">
        <v>250</v>
      </c>
      <c r="C8">
        <v>2018</v>
      </c>
      <c r="D8" t="s">
        <v>251</v>
      </c>
      <c r="E8" t="s">
        <v>252</v>
      </c>
      <c r="F8" t="s">
        <v>253</v>
      </c>
      <c r="G8" t="s">
        <v>254</v>
      </c>
      <c r="H8" t="s">
        <v>255</v>
      </c>
      <c r="I8">
        <v>10</v>
      </c>
      <c r="J8">
        <v>101.98</v>
      </c>
      <c r="K8">
        <v>15.03</v>
      </c>
      <c r="L8">
        <v>5</v>
      </c>
      <c r="M8">
        <v>92.99</v>
      </c>
      <c r="N8">
        <v>10.25</v>
      </c>
      <c r="O8">
        <f t="shared" si="4"/>
        <v>13.73753448935266</v>
      </c>
      <c r="P8">
        <f t="shared" si="5"/>
        <v>0.65441145985604265</v>
      </c>
      <c r="Q8">
        <f t="shared" si="6"/>
        <v>0.61591666809980483</v>
      </c>
      <c r="R8">
        <f t="shared" si="7"/>
        <v>0.56060248420162262</v>
      </c>
    </row>
    <row r="9" spans="1:18" x14ac:dyDescent="0.3">
      <c r="A9">
        <v>7</v>
      </c>
      <c r="B9" t="s">
        <v>401</v>
      </c>
      <c r="C9">
        <v>2020</v>
      </c>
      <c r="D9" t="s">
        <v>402</v>
      </c>
      <c r="E9" t="s">
        <v>380</v>
      </c>
      <c r="F9" t="s">
        <v>407</v>
      </c>
      <c r="G9" t="s">
        <v>119</v>
      </c>
      <c r="H9" t="s">
        <v>405</v>
      </c>
      <c r="I9">
        <v>11</v>
      </c>
      <c r="J9">
        <v>16.8</v>
      </c>
      <c r="K9">
        <v>9.7200000000000006</v>
      </c>
      <c r="L9">
        <v>6</v>
      </c>
      <c r="M9">
        <v>32.56</v>
      </c>
      <c r="N9">
        <v>13.96</v>
      </c>
      <c r="O9">
        <f t="shared" si="4"/>
        <v>11.311327655643847</v>
      </c>
      <c r="P9">
        <f t="shared" si="5"/>
        <v>-1.3932935619751468</v>
      </c>
      <c r="Q9">
        <f t="shared" si="6"/>
        <v>-1.3224481266204784</v>
      </c>
      <c r="R9">
        <f t="shared" si="7"/>
        <v>0.56095618753677945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2027-C5D7-4FCE-B720-F07DC782C0FB}">
  <dimension ref="A1:R18"/>
  <sheetViews>
    <sheetView workbookViewId="0">
      <selection activeCell="L33" sqref="L33"/>
    </sheetView>
  </sheetViews>
  <sheetFormatPr defaultRowHeight="14.4" x14ac:dyDescent="0.3"/>
  <cols>
    <col min="2" max="2" width="18.664062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140</v>
      </c>
      <c r="C2">
        <v>2001</v>
      </c>
      <c r="D2" t="s">
        <v>141</v>
      </c>
      <c r="E2" t="s">
        <v>142</v>
      </c>
      <c r="F2" t="s">
        <v>407</v>
      </c>
      <c r="G2" t="s">
        <v>77</v>
      </c>
      <c r="H2" t="s">
        <v>143</v>
      </c>
      <c r="I2">
        <v>12</v>
      </c>
      <c r="J2">
        <v>2080</v>
      </c>
      <c r="K2">
        <v>252</v>
      </c>
      <c r="L2">
        <v>13</v>
      </c>
      <c r="M2">
        <v>1337</v>
      </c>
      <c r="N2">
        <v>424</v>
      </c>
      <c r="O2">
        <f t="shared" ref="O2" si="0">SQRT(((I2-1)*POWER(K2,2) + (L2-1)*POWER(N2,2))/((I2-1)+(L2-1)))</f>
        <v>352.37430691512265</v>
      </c>
      <c r="P2">
        <f t="shared" ref="P2" si="1">(J2-M2)/O2</f>
        <v>2.1085532782018879</v>
      </c>
      <c r="Q2">
        <f t="shared" ref="Q2" si="2">P2*(1- (3/(4*(I2+L2)-9)))</f>
        <v>2.039040532766661</v>
      </c>
      <c r="R2">
        <f t="shared" ref="R2" si="3">SQRT((I2+L2)/(I2*L2)+(POWER(P2,2)/(2*(I2+L2))))</f>
        <v>0.49917566927558565</v>
      </c>
    </row>
    <row r="3" spans="1:18" x14ac:dyDescent="0.3">
      <c r="A3">
        <v>1</v>
      </c>
      <c r="B3" t="s">
        <v>144</v>
      </c>
      <c r="C3">
        <v>2012</v>
      </c>
      <c r="D3" t="s">
        <v>145</v>
      </c>
      <c r="E3" t="s">
        <v>86</v>
      </c>
      <c r="F3" t="s">
        <v>253</v>
      </c>
      <c r="G3" t="s">
        <v>129</v>
      </c>
      <c r="H3" t="s">
        <v>146</v>
      </c>
      <c r="I3">
        <v>4</v>
      </c>
      <c r="J3">
        <v>176.5</v>
      </c>
      <c r="K3">
        <v>4</v>
      </c>
      <c r="L3">
        <v>4</v>
      </c>
      <c r="M3">
        <v>42.5</v>
      </c>
      <c r="N3">
        <v>15.84</v>
      </c>
      <c r="O3">
        <f t="shared" ref="O3" si="4">SQRT(((I3-1)*POWER(K3,2) + (L3-1)*POWER(N3,2))/((I3-1)+(L3-1)))</f>
        <v>11.552177283958207</v>
      </c>
      <c r="P3">
        <f t="shared" ref="P3" si="5">(J3-M3)/O3</f>
        <v>11.59954497807764</v>
      </c>
      <c r="Q3">
        <f t="shared" ref="Q3" si="6">P3*(1- (3/(4*(I3+L3)-9)))</f>
        <v>10.086560850502295</v>
      </c>
      <c r="R3">
        <f t="shared" ref="R3" si="7">SQRT((I3+L3)/(I3*L3)+(POWER(P3,2)/(2*(I3+L3))))</f>
        <v>2.9848517938338057</v>
      </c>
    </row>
    <row r="4" spans="1:18" x14ac:dyDescent="0.3">
      <c r="A4">
        <v>2</v>
      </c>
      <c r="B4" t="s">
        <v>8</v>
      </c>
      <c r="C4">
        <v>2022</v>
      </c>
      <c r="D4" t="s">
        <v>67</v>
      </c>
      <c r="E4" t="s">
        <v>14</v>
      </c>
      <c r="F4" t="s">
        <v>68</v>
      </c>
      <c r="G4" t="s">
        <v>20</v>
      </c>
      <c r="H4" t="s">
        <v>69</v>
      </c>
      <c r="I4">
        <v>30</v>
      </c>
      <c r="J4">
        <v>33.83</v>
      </c>
      <c r="K4">
        <v>17.940000000000001</v>
      </c>
      <c r="L4">
        <v>30</v>
      </c>
      <c r="M4">
        <v>15.8</v>
      </c>
      <c r="N4">
        <v>5.59</v>
      </c>
      <c r="O4">
        <f t="shared" ref="O4:O10" si="8">SQRT(((I4-1)*POWER(K4,2) + (L4-1)*POWER(N4,2))/((I4-1)+(L4-1)))</f>
        <v>13.287055731048923</v>
      </c>
      <c r="P4">
        <f t="shared" ref="P4:P10" si="9">(J4-M4)/O4</f>
        <v>1.3569597633182089</v>
      </c>
      <c r="Q4">
        <f t="shared" ref="Q4:Q10" si="10">P4*(1- (3/(4*(I4+L4)-9)))</f>
        <v>1.3393369092491412</v>
      </c>
      <c r="R4">
        <f t="shared" ref="R4:R10" si="11">SQRT((I4+L4)/(I4*L4)+(POWER(P4,2)/(2*(I4+L4))))</f>
        <v>0.28637591552690278</v>
      </c>
    </row>
    <row r="5" spans="1:18" x14ac:dyDescent="0.3">
      <c r="A5">
        <v>3</v>
      </c>
      <c r="B5" t="s">
        <v>147</v>
      </c>
      <c r="C5">
        <v>2003</v>
      </c>
      <c r="D5" t="s">
        <v>148</v>
      </c>
      <c r="E5" t="s">
        <v>149</v>
      </c>
      <c r="F5" t="s">
        <v>407</v>
      </c>
      <c r="G5" t="s">
        <v>150</v>
      </c>
      <c r="H5" t="s">
        <v>151</v>
      </c>
      <c r="I5">
        <v>16</v>
      </c>
      <c r="J5">
        <v>80</v>
      </c>
      <c r="K5">
        <f>(101-72)*(3/4)</f>
        <v>21.75</v>
      </c>
      <c r="L5">
        <v>14</v>
      </c>
      <c r="M5">
        <v>57</v>
      </c>
      <c r="N5">
        <f>(68-52)*(3/4)</f>
        <v>12</v>
      </c>
      <c r="O5">
        <f t="shared" si="8"/>
        <v>17.896465632712431</v>
      </c>
      <c r="P5">
        <f t="shared" si="9"/>
        <v>1.2851699588078982</v>
      </c>
      <c r="Q5">
        <f t="shared" si="10"/>
        <v>1.250435635596874</v>
      </c>
      <c r="R5">
        <f t="shared" si="11"/>
        <v>0.40181621231471359</v>
      </c>
    </row>
    <row r="6" spans="1:18" x14ac:dyDescent="0.3">
      <c r="A6">
        <v>4</v>
      </c>
      <c r="B6" t="s">
        <v>36</v>
      </c>
      <c r="C6">
        <v>2002</v>
      </c>
      <c r="D6" t="s">
        <v>37</v>
      </c>
      <c r="E6" t="s">
        <v>38</v>
      </c>
      <c r="F6" t="s">
        <v>253</v>
      </c>
      <c r="G6" t="s">
        <v>152</v>
      </c>
      <c r="H6" t="s">
        <v>153</v>
      </c>
      <c r="I6">
        <v>15</v>
      </c>
      <c r="J6">
        <v>292.5</v>
      </c>
      <c r="K6">
        <v>31.4</v>
      </c>
      <c r="L6">
        <v>9</v>
      </c>
      <c r="M6">
        <v>125.7</v>
      </c>
      <c r="N6">
        <v>17.2</v>
      </c>
      <c r="O6">
        <f t="shared" si="8"/>
        <v>27.111017552413497</v>
      </c>
      <c r="P6">
        <f t="shared" si="9"/>
        <v>6.1524802482063619</v>
      </c>
      <c r="Q6">
        <f t="shared" si="10"/>
        <v>5.9403257568889014</v>
      </c>
      <c r="R6">
        <f t="shared" si="11"/>
        <v>0.98304741469556833</v>
      </c>
    </row>
    <row r="7" spans="1:18" x14ac:dyDescent="0.3">
      <c r="A7">
        <v>5</v>
      </c>
      <c r="B7" t="s">
        <v>154</v>
      </c>
      <c r="C7">
        <v>2007</v>
      </c>
      <c r="D7" t="s">
        <v>155</v>
      </c>
      <c r="E7" t="s">
        <v>156</v>
      </c>
      <c r="F7" t="s">
        <v>253</v>
      </c>
      <c r="G7" t="s">
        <v>152</v>
      </c>
      <c r="H7" t="s">
        <v>157</v>
      </c>
      <c r="I7">
        <v>14</v>
      </c>
      <c r="J7">
        <v>1708</v>
      </c>
      <c r="K7">
        <f>(2303-1015)*(3/4)</f>
        <v>966</v>
      </c>
      <c r="L7">
        <v>33</v>
      </c>
      <c r="M7">
        <v>1771</v>
      </c>
      <c r="N7">
        <f>(2303-1015)*(3/4)</f>
        <v>966</v>
      </c>
      <c r="O7">
        <f t="shared" si="8"/>
        <v>966</v>
      </c>
      <c r="P7">
        <f t="shared" si="9"/>
        <v>-6.5217391304347824E-2</v>
      </c>
      <c r="Q7">
        <f t="shared" si="10"/>
        <v>-6.4124362399805679E-2</v>
      </c>
      <c r="R7">
        <f t="shared" si="11"/>
        <v>0.3190248418076812</v>
      </c>
    </row>
    <row r="8" spans="1:18" x14ac:dyDescent="0.3">
      <c r="A8">
        <v>6</v>
      </c>
      <c r="B8" t="s">
        <v>158</v>
      </c>
      <c r="C8">
        <v>2007</v>
      </c>
      <c r="D8" t="s">
        <v>159</v>
      </c>
      <c r="E8" t="s">
        <v>38</v>
      </c>
      <c r="F8" t="s">
        <v>253</v>
      </c>
      <c r="G8" t="s">
        <v>160</v>
      </c>
      <c r="H8" t="s">
        <v>161</v>
      </c>
      <c r="I8">
        <v>15</v>
      </c>
      <c r="J8">
        <v>37</v>
      </c>
      <c r="K8">
        <v>3</v>
      </c>
      <c r="L8">
        <v>16</v>
      </c>
      <c r="M8">
        <v>31</v>
      </c>
      <c r="N8">
        <v>2</v>
      </c>
      <c r="O8">
        <f t="shared" si="8"/>
        <v>2.5325467623418674</v>
      </c>
      <c r="P8">
        <f t="shared" si="9"/>
        <v>2.3691566486423925</v>
      </c>
      <c r="Q8">
        <f t="shared" si="10"/>
        <v>2.3073525621560691</v>
      </c>
      <c r="R8">
        <f t="shared" si="11"/>
        <v>0.46871885374613781</v>
      </c>
    </row>
    <row r="9" spans="1:18" x14ac:dyDescent="0.3">
      <c r="A9">
        <v>7</v>
      </c>
      <c r="B9" t="s">
        <v>299</v>
      </c>
      <c r="C9">
        <v>2021</v>
      </c>
      <c r="D9" t="s">
        <v>408</v>
      </c>
      <c r="E9" t="s">
        <v>86</v>
      </c>
      <c r="H9" t="s">
        <v>162</v>
      </c>
      <c r="I9">
        <f>2*12</f>
        <v>24</v>
      </c>
      <c r="J9">
        <v>100</v>
      </c>
      <c r="K9">
        <v>20</v>
      </c>
      <c r="L9">
        <f>13*2</f>
        <v>26</v>
      </c>
      <c r="M9">
        <v>62</v>
      </c>
      <c r="N9">
        <v>5</v>
      </c>
      <c r="O9">
        <f t="shared" si="8"/>
        <v>14.306903927824496</v>
      </c>
      <c r="P9">
        <f t="shared" si="9"/>
        <v>2.6560603322495555</v>
      </c>
      <c r="Q9">
        <f t="shared" si="10"/>
        <v>2.614342107135688</v>
      </c>
      <c r="R9">
        <f t="shared" si="11"/>
        <v>0.38816848147898525</v>
      </c>
    </row>
    <row r="10" spans="1:18" x14ac:dyDescent="0.3">
      <c r="A10">
        <v>8</v>
      </c>
      <c r="B10" t="s">
        <v>26</v>
      </c>
      <c r="C10">
        <v>2016</v>
      </c>
      <c r="D10" t="s">
        <v>163</v>
      </c>
      <c r="E10" t="s">
        <v>28</v>
      </c>
      <c r="F10" t="s">
        <v>300</v>
      </c>
      <c r="G10" t="s">
        <v>150</v>
      </c>
      <c r="H10" t="s">
        <v>164</v>
      </c>
      <c r="I10">
        <f>(14/18)*135</f>
        <v>105</v>
      </c>
      <c r="J10">
        <v>725</v>
      </c>
      <c r="K10">
        <v>50</v>
      </c>
      <c r="L10">
        <v>30</v>
      </c>
      <c r="M10">
        <v>425</v>
      </c>
      <c r="N10">
        <v>25</v>
      </c>
      <c r="O10">
        <f t="shared" si="8"/>
        <v>45.729262114469272</v>
      </c>
      <c r="P10">
        <f t="shared" si="9"/>
        <v>6.5603507716577933</v>
      </c>
      <c r="Q10">
        <f t="shared" si="10"/>
        <v>6.5232866430043597</v>
      </c>
      <c r="R10">
        <f t="shared" si="11"/>
        <v>0.44973091056854569</v>
      </c>
    </row>
    <row r="11" spans="1:18" x14ac:dyDescent="0.3">
      <c r="A11">
        <v>9</v>
      </c>
      <c r="B11" t="s">
        <v>165</v>
      </c>
      <c r="C11">
        <v>2010</v>
      </c>
      <c r="D11" t="s">
        <v>166</v>
      </c>
      <c r="E11" t="s">
        <v>33</v>
      </c>
      <c r="F11" t="s">
        <v>253</v>
      </c>
      <c r="G11" t="s">
        <v>167</v>
      </c>
      <c r="H11" t="s">
        <v>168</v>
      </c>
      <c r="I11">
        <v>6</v>
      </c>
      <c r="J11">
        <v>26.83</v>
      </c>
      <c r="K11">
        <v>7.91</v>
      </c>
      <c r="L11">
        <v>8</v>
      </c>
      <c r="M11">
        <v>22.59</v>
      </c>
      <c r="N11">
        <v>5.61</v>
      </c>
      <c r="O11">
        <f t="shared" ref="O11:O12" si="12">SQRT(((I11-1)*POWER(K11,2) + (L11-1)*POWER(N11,2))/((I11-1)+(L11-1)))</f>
        <v>6.6654907296212382</v>
      </c>
      <c r="P11">
        <f t="shared" ref="P11:P12" si="13">(J11-M11)/O11</f>
        <v>0.63611220418589243</v>
      </c>
      <c r="Q11">
        <f t="shared" ref="Q11:Q12" si="14">P11*(1- (3/(4*(I11+L11)-9)))</f>
        <v>0.59550929753572912</v>
      </c>
      <c r="R11">
        <f t="shared" ref="R11:R12" si="15">SQRT((I11+L11)/(I11*L11)+(POWER(P11,2)/(2*(I11+L11))))</f>
        <v>0.55327935991365229</v>
      </c>
    </row>
    <row r="12" spans="1:18" x14ac:dyDescent="0.3">
      <c r="A12">
        <v>10</v>
      </c>
      <c r="B12" t="s">
        <v>88</v>
      </c>
      <c r="C12">
        <v>2013</v>
      </c>
      <c r="D12" t="s">
        <v>172</v>
      </c>
      <c r="E12" t="s">
        <v>38</v>
      </c>
      <c r="F12" t="s">
        <v>253</v>
      </c>
      <c r="H12" t="s">
        <v>171</v>
      </c>
      <c r="I12">
        <v>11</v>
      </c>
      <c r="J12">
        <v>700</v>
      </c>
      <c r="K12">
        <f>500*(3/4)</f>
        <v>375</v>
      </c>
      <c r="L12">
        <v>7</v>
      </c>
      <c r="M12">
        <v>400</v>
      </c>
      <c r="N12">
        <v>50</v>
      </c>
      <c r="O12">
        <f t="shared" si="12"/>
        <v>298.04047543915908</v>
      </c>
      <c r="P12">
        <f t="shared" si="13"/>
        <v>1.0065746927760519</v>
      </c>
      <c r="Q12">
        <f t="shared" si="14"/>
        <v>0.95864256454862085</v>
      </c>
      <c r="R12">
        <f t="shared" si="15"/>
        <v>0.51177189546932644</v>
      </c>
    </row>
    <row r="13" spans="1:18" x14ac:dyDescent="0.3">
      <c r="A13">
        <v>11</v>
      </c>
      <c r="B13" t="s">
        <v>342</v>
      </c>
      <c r="C13">
        <v>2014</v>
      </c>
      <c r="D13" t="s">
        <v>343</v>
      </c>
      <c r="E13" t="s">
        <v>33</v>
      </c>
      <c r="F13" t="s">
        <v>253</v>
      </c>
      <c r="G13" t="s">
        <v>152</v>
      </c>
      <c r="H13" t="s">
        <v>344</v>
      </c>
      <c r="I13">
        <v>11</v>
      </c>
      <c r="J13">
        <v>3550</v>
      </c>
      <c r="K13">
        <v>400</v>
      </c>
      <c r="L13">
        <v>5</v>
      </c>
      <c r="M13">
        <v>2000</v>
      </c>
      <c r="N13">
        <v>120</v>
      </c>
      <c r="O13">
        <f t="shared" ref="O13:O15" si="16">SQRT(((I13-1)*POWER(K13,2) + (L13-1)*POWER(N13,2))/((I13-1)+(L13-1)))</f>
        <v>344.0930106817051</v>
      </c>
      <c r="P13">
        <f t="shared" ref="P13:P15" si="17">(J13-M13)/O13</f>
        <v>4.5045960013229971</v>
      </c>
      <c r="Q13">
        <f t="shared" ref="Q13:Q15" si="18">P13*(1- (3/(4*(I13+L13)-9)))</f>
        <v>4.2588907648871972</v>
      </c>
      <c r="R13">
        <f t="shared" ref="R13:R15" si="19">SQRT((I13+L13)/(I13*L13)+(POWER(P13,2)/(2*(I13+L13))))</f>
        <v>0.96177693691524113</v>
      </c>
    </row>
    <row r="14" spans="1:18" x14ac:dyDescent="0.3">
      <c r="A14">
        <v>12</v>
      </c>
      <c r="B14" t="s">
        <v>365</v>
      </c>
      <c r="C14">
        <v>2022</v>
      </c>
      <c r="D14" t="s">
        <v>366</v>
      </c>
      <c r="E14" t="s">
        <v>367</v>
      </c>
      <c r="F14" t="s">
        <v>72</v>
      </c>
      <c r="G14" t="s">
        <v>77</v>
      </c>
      <c r="H14" t="s">
        <v>368</v>
      </c>
      <c r="I14">
        <v>10</v>
      </c>
      <c r="J14">
        <v>390</v>
      </c>
      <c r="K14">
        <f>100*(3/4)</f>
        <v>75</v>
      </c>
      <c r="L14">
        <v>10</v>
      </c>
      <c r="M14">
        <v>210</v>
      </c>
      <c r="N14">
        <f>120*(3/4)</f>
        <v>90</v>
      </c>
      <c r="O14">
        <f t="shared" si="16"/>
        <v>82.840207628904452</v>
      </c>
      <c r="P14">
        <f t="shared" si="17"/>
        <v>2.1728579050204448</v>
      </c>
      <c r="Q14">
        <f t="shared" si="18"/>
        <v>2.081047007625215</v>
      </c>
      <c r="R14">
        <f t="shared" si="19"/>
        <v>0.56394395722025958</v>
      </c>
    </row>
    <row r="15" spans="1:18" x14ac:dyDescent="0.3">
      <c r="A15">
        <v>13</v>
      </c>
      <c r="B15" t="s">
        <v>378</v>
      </c>
      <c r="C15">
        <v>2021</v>
      </c>
      <c r="D15" t="s">
        <v>379</v>
      </c>
      <c r="E15" t="s">
        <v>380</v>
      </c>
      <c r="F15" t="s">
        <v>72</v>
      </c>
      <c r="G15" t="s">
        <v>381</v>
      </c>
      <c r="H15" t="s">
        <v>382</v>
      </c>
      <c r="I15">
        <v>9</v>
      </c>
      <c r="J15">
        <v>1763</v>
      </c>
      <c r="K15">
        <v>861</v>
      </c>
      <c r="L15">
        <v>5</v>
      </c>
      <c r="M15">
        <v>593.6</v>
      </c>
      <c r="N15">
        <v>69.900000000000006</v>
      </c>
      <c r="O15">
        <f t="shared" si="16"/>
        <v>704.16096881323949</v>
      </c>
      <c r="P15">
        <f t="shared" si="17"/>
        <v>1.6606998282947336</v>
      </c>
      <c r="Q15">
        <f t="shared" si="18"/>
        <v>1.5546977115950698</v>
      </c>
      <c r="R15">
        <f t="shared" si="19"/>
        <v>0.64000655774567961</v>
      </c>
    </row>
    <row r="16" spans="1:18" x14ac:dyDescent="0.3">
      <c r="A16">
        <v>14</v>
      </c>
      <c r="B16" t="s">
        <v>391</v>
      </c>
      <c r="C16">
        <v>2006</v>
      </c>
      <c r="D16" t="s">
        <v>392</v>
      </c>
      <c r="E16" t="s">
        <v>393</v>
      </c>
      <c r="F16" t="s">
        <v>72</v>
      </c>
      <c r="G16" t="s">
        <v>394</v>
      </c>
      <c r="H16" t="s">
        <v>395</v>
      </c>
      <c r="I16">
        <v>10</v>
      </c>
      <c r="J16">
        <v>155</v>
      </c>
      <c r="K16">
        <f>(211-108)*(3/4)</f>
        <v>77.25</v>
      </c>
      <c r="L16">
        <v>10</v>
      </c>
      <c r="M16">
        <v>40</v>
      </c>
      <c r="N16">
        <f>(50-24)*(3/4)</f>
        <v>19.5</v>
      </c>
      <c r="O16">
        <f t="shared" ref="O16:O18" si="20">SQRT(((I16-1)*POWER(K16,2) + (L16-1)*POWER(N16,2))/((I16-1)+(L16-1)))</f>
        <v>56.337432050103239</v>
      </c>
      <c r="P16">
        <f t="shared" ref="P16:P18" si="21">(J16-M16)/O16</f>
        <v>2.0412715989206904</v>
      </c>
      <c r="Q16">
        <f t="shared" ref="Q16:Q18" si="22">P16*(1- (3/(4*(I16+L16)-9)))</f>
        <v>1.9550206862902388</v>
      </c>
      <c r="R16">
        <f t="shared" ref="R16:R18" si="23">SQRT((I16+L16)/(I16*L16)+(POWER(P16,2)/(2*(I16+L16))))</f>
        <v>0.55151585971212636</v>
      </c>
    </row>
    <row r="17" spans="1:18" x14ac:dyDescent="0.3">
      <c r="A17">
        <v>15</v>
      </c>
      <c r="B17" t="s">
        <v>396</v>
      </c>
      <c r="C17">
        <v>2019</v>
      </c>
      <c r="D17" t="s">
        <v>397</v>
      </c>
      <c r="E17" t="s">
        <v>398</v>
      </c>
      <c r="F17" t="s">
        <v>72</v>
      </c>
      <c r="G17" t="s">
        <v>399</v>
      </c>
      <c r="H17" t="s">
        <v>400</v>
      </c>
      <c r="I17">
        <v>20</v>
      </c>
      <c r="J17">
        <v>129.9</v>
      </c>
      <c r="K17">
        <v>67.2</v>
      </c>
      <c r="L17">
        <v>20</v>
      </c>
      <c r="M17">
        <v>53.9</v>
      </c>
      <c r="N17">
        <v>17.3</v>
      </c>
      <c r="O17">
        <f t="shared" si="20"/>
        <v>49.066944066244844</v>
      </c>
      <c r="P17">
        <f t="shared" si="21"/>
        <v>1.5489042867106841</v>
      </c>
      <c r="Q17">
        <f t="shared" si="22"/>
        <v>1.5181313538621275</v>
      </c>
      <c r="R17">
        <f t="shared" si="23"/>
        <v>0.36053960409001418</v>
      </c>
    </row>
    <row r="18" spans="1:18" x14ac:dyDescent="0.3">
      <c r="A18">
        <v>16</v>
      </c>
      <c r="B18" t="s">
        <v>50</v>
      </c>
      <c r="C18">
        <v>2008</v>
      </c>
      <c r="D18" t="s">
        <v>51</v>
      </c>
      <c r="E18" t="s">
        <v>52</v>
      </c>
      <c r="F18" t="s">
        <v>253</v>
      </c>
      <c r="G18" t="s">
        <v>119</v>
      </c>
      <c r="H18" t="s">
        <v>415</v>
      </c>
      <c r="I18">
        <v>10</v>
      </c>
      <c r="J18">
        <v>11.1</v>
      </c>
      <c r="K18">
        <v>5.0999999999999996</v>
      </c>
      <c r="L18">
        <v>10</v>
      </c>
      <c r="M18">
        <v>4.5999999999999996</v>
      </c>
      <c r="N18">
        <v>2.7</v>
      </c>
      <c r="O18">
        <f t="shared" si="20"/>
        <v>4.080441152620633</v>
      </c>
      <c r="P18">
        <f t="shared" si="21"/>
        <v>1.5929650145365835</v>
      </c>
      <c r="Q18">
        <f t="shared" si="22"/>
        <v>1.5256566336406716</v>
      </c>
      <c r="R18">
        <f t="shared" si="23"/>
        <v>0.51326254338149246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82DD-83D6-42FC-BEAD-D85E565DA625}">
  <dimension ref="A1:R15"/>
  <sheetViews>
    <sheetView workbookViewId="0">
      <selection activeCell="N23" sqref="N23"/>
    </sheetView>
  </sheetViews>
  <sheetFormatPr defaultRowHeight="14.4" x14ac:dyDescent="0.3"/>
  <cols>
    <col min="2" max="2" width="18.4414062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173</v>
      </c>
      <c r="C2">
        <v>2017</v>
      </c>
      <c r="D2" t="s">
        <v>210</v>
      </c>
      <c r="E2" t="s">
        <v>28</v>
      </c>
      <c r="F2" t="s">
        <v>72</v>
      </c>
      <c r="G2" t="s">
        <v>174</v>
      </c>
      <c r="H2" t="s">
        <v>175</v>
      </c>
      <c r="I2">
        <v>36</v>
      </c>
      <c r="J2">
        <v>1140</v>
      </c>
      <c r="K2">
        <v>68</v>
      </c>
      <c r="L2">
        <v>36</v>
      </c>
      <c r="M2">
        <v>1043</v>
      </c>
      <c r="N2">
        <v>41</v>
      </c>
      <c r="O2">
        <f t="shared" ref="O2" si="0">SQRT(((I2-1)*POWER(K2,2) + (L2-1)*POWER(N2,2))/((I2-1)+(L2-1)))</f>
        <v>56.14712815451918</v>
      </c>
      <c r="P2">
        <f t="shared" ref="P2" si="1">(J2-M2)/O2</f>
        <v>1.7276039432159747</v>
      </c>
      <c r="Q2">
        <f t="shared" ref="Q2" si="2">P2*(1- (3/(4*(I2+L2)-9)))</f>
        <v>1.7090275567297815</v>
      </c>
      <c r="R2">
        <f t="shared" ref="R2" si="3">SQRT((I2+L2)/(I2*L2)+(POWER(P2,2)/(2*(I2+L2))))</f>
        <v>0.27619205506685246</v>
      </c>
    </row>
    <row r="3" spans="1:18" x14ac:dyDescent="0.3">
      <c r="A3">
        <v>1</v>
      </c>
      <c r="B3" t="s">
        <v>176</v>
      </c>
      <c r="C3">
        <v>2006</v>
      </c>
      <c r="D3" t="s">
        <v>177</v>
      </c>
      <c r="E3" t="s">
        <v>38</v>
      </c>
      <c r="F3" t="s">
        <v>253</v>
      </c>
      <c r="G3" t="s">
        <v>152</v>
      </c>
      <c r="I3">
        <v>3</v>
      </c>
      <c r="J3">
        <v>19600</v>
      </c>
      <c r="K3">
        <v>7410</v>
      </c>
      <c r="L3">
        <v>3</v>
      </c>
      <c r="M3">
        <v>2430</v>
      </c>
      <c r="N3">
        <v>367</v>
      </c>
      <c r="O3">
        <f t="shared" ref="O3" si="4">SQRT(((I3-1)*POWER(K3,2) + (L3-1)*POWER(N3,2))/((I3-1)+(L3-1)))</f>
        <v>5246.0837297931112</v>
      </c>
      <c r="P3">
        <f t="shared" ref="P3" si="5">(J3-M3)/O3</f>
        <v>3.2729176437824661</v>
      </c>
      <c r="Q3">
        <f t="shared" ref="Q3" si="6">P3*(1- (3/(4*(I3+L3)-9)))</f>
        <v>2.6183341150259731</v>
      </c>
      <c r="R3">
        <f t="shared" ref="R3" si="7">SQRT((I3+L3)/(I3*L3)+(POWER(P3,2)/(2*(I3+L3))))</f>
        <v>1.2487323539955286</v>
      </c>
    </row>
    <row r="4" spans="1:18" x14ac:dyDescent="0.3">
      <c r="A4">
        <v>2</v>
      </c>
      <c r="B4" t="s">
        <v>178</v>
      </c>
      <c r="C4">
        <v>2021</v>
      </c>
      <c r="D4" t="s">
        <v>179</v>
      </c>
      <c r="E4" t="s">
        <v>33</v>
      </c>
      <c r="F4" t="s">
        <v>253</v>
      </c>
      <c r="G4" t="s">
        <v>180</v>
      </c>
      <c r="H4" t="s">
        <v>181</v>
      </c>
      <c r="I4">
        <v>15</v>
      </c>
      <c r="J4">
        <v>32.4</v>
      </c>
      <c r="K4">
        <f>(35.9-29.2)*(3/4)</f>
        <v>5.0249999999999995</v>
      </c>
      <c r="L4">
        <v>18</v>
      </c>
      <c r="M4">
        <v>40.1</v>
      </c>
      <c r="N4">
        <f>(48.5-35.4)*(3/4)</f>
        <v>9.8250000000000011</v>
      </c>
      <c r="O4">
        <f t="shared" ref="O4" si="8">SQRT(((I4-1)*POWER(K4,2) + (L4-1)*POWER(N4,2))/((I4-1)+(L4-1)))</f>
        <v>8.0212004873375733</v>
      </c>
      <c r="P4">
        <f t="shared" ref="P4" si="9">(J4-M4)/O4</f>
        <v>-0.95995605796855177</v>
      </c>
      <c r="Q4">
        <f t="shared" ref="Q4" si="10">P4*(1- (3/(4*(I4+L4)-9)))</f>
        <v>-0.93654249557907487</v>
      </c>
      <c r="R4">
        <f t="shared" ref="R4" si="11">SQRT((I4+L4)/(I4*L4)+(POWER(P4,2)/(2*(I4+L4))))</f>
        <v>0.36903195024478913</v>
      </c>
    </row>
    <row r="5" spans="1:18" x14ac:dyDescent="0.3">
      <c r="A5">
        <v>3</v>
      </c>
      <c r="B5" t="s">
        <v>182</v>
      </c>
      <c r="C5">
        <v>2018</v>
      </c>
      <c r="D5" t="s">
        <v>183</v>
      </c>
      <c r="E5" t="s">
        <v>184</v>
      </c>
      <c r="F5" t="s">
        <v>407</v>
      </c>
      <c r="G5" t="s">
        <v>119</v>
      </c>
      <c r="H5" t="s">
        <v>185</v>
      </c>
      <c r="I5">
        <v>22</v>
      </c>
      <c r="J5">
        <v>178.34</v>
      </c>
      <c r="K5">
        <f>178.34*(1.9/4.1)</f>
        <v>82.645365853658546</v>
      </c>
      <c r="L5">
        <v>20</v>
      </c>
      <c r="M5">
        <v>191.62</v>
      </c>
      <c r="N5">
        <f>191.62*(1.5/7.1)</f>
        <v>40.4830985915493</v>
      </c>
      <c r="O5">
        <f t="shared" ref="O5" si="12">SQRT(((I5-1)*POWER(K5,2) + (L5-1)*POWER(N5,2))/((I5-1)+(L5-1)))</f>
        <v>66.063252001145727</v>
      </c>
      <c r="P5">
        <f t="shared" ref="P5" si="13">(J5-M5)/O5</f>
        <v>-0.2010194714569862</v>
      </c>
      <c r="Q5">
        <f t="shared" ref="Q5" si="14">P5*(1- (3/(4*(I5+L5)-9)))</f>
        <v>-0.19722665124081665</v>
      </c>
      <c r="R5">
        <f t="shared" ref="R5" si="15">SQRT((I5+L5)/(I5*L5)+(POWER(P5,2)/(2*(I5+L5))))</f>
        <v>0.30973472993773743</v>
      </c>
    </row>
    <row r="6" spans="1:18" x14ac:dyDescent="0.3">
      <c r="A6">
        <v>4</v>
      </c>
      <c r="B6" t="s">
        <v>186</v>
      </c>
      <c r="C6">
        <v>2021</v>
      </c>
      <c r="D6" t="s">
        <v>187</v>
      </c>
      <c r="E6" t="s">
        <v>19</v>
      </c>
      <c r="F6" t="s">
        <v>72</v>
      </c>
      <c r="G6" t="s">
        <v>188</v>
      </c>
      <c r="H6" t="s">
        <v>189</v>
      </c>
      <c r="I6">
        <v>12</v>
      </c>
      <c r="J6">
        <v>3264.98</v>
      </c>
      <c r="K6">
        <v>21871</v>
      </c>
      <c r="L6">
        <v>1</v>
      </c>
      <c r="M6">
        <v>193.2</v>
      </c>
      <c r="N6">
        <v>10161</v>
      </c>
      <c r="O6">
        <f t="shared" ref="O6:O8" si="16">SQRT(((I6-1)*POWER(K6,2) + (L6-1)*POWER(N6,2))/((I6-1)+(L6-1)))</f>
        <v>21871</v>
      </c>
      <c r="P6">
        <f t="shared" ref="P6:P8" si="17">(J6-M6)/O6</f>
        <v>0.14044991084083946</v>
      </c>
      <c r="Q6">
        <f t="shared" ref="Q6:Q8" si="18">P6*(1- (3/(4*(I6+L6)-9)))</f>
        <v>0.13065107985194369</v>
      </c>
      <c r="R6">
        <f t="shared" ref="R6:R8" si="19">SQRT((I6+L6)/(I6*L6)+(POWER(P6,2)/(2*(I6+L6))))</f>
        <v>1.0411974032171929</v>
      </c>
    </row>
    <row r="7" spans="1:18" x14ac:dyDescent="0.3">
      <c r="A7">
        <v>5</v>
      </c>
      <c r="B7" t="s">
        <v>190</v>
      </c>
      <c r="C7">
        <v>2013</v>
      </c>
      <c r="D7" t="s">
        <v>191</v>
      </c>
      <c r="E7" t="s">
        <v>192</v>
      </c>
      <c r="F7" t="s">
        <v>253</v>
      </c>
      <c r="G7" t="s">
        <v>193</v>
      </c>
      <c r="H7" t="s">
        <v>194</v>
      </c>
      <c r="I7">
        <v>16</v>
      </c>
      <c r="J7">
        <v>350</v>
      </c>
      <c r="K7">
        <v>20</v>
      </c>
      <c r="L7">
        <v>4</v>
      </c>
      <c r="M7">
        <v>375</v>
      </c>
      <c r="N7">
        <v>40</v>
      </c>
      <c r="O7">
        <f t="shared" si="16"/>
        <v>24.494897427831781</v>
      </c>
      <c r="P7">
        <f t="shared" si="17"/>
        <v>-1.0206207261596576</v>
      </c>
      <c r="Q7">
        <f t="shared" si="18"/>
        <v>-0.97749590674446085</v>
      </c>
      <c r="R7">
        <f t="shared" si="19"/>
        <v>0.58184333515703923</v>
      </c>
    </row>
    <row r="8" spans="1:18" x14ac:dyDescent="0.3">
      <c r="A8">
        <v>6</v>
      </c>
      <c r="B8" t="s">
        <v>199</v>
      </c>
      <c r="C8">
        <v>2005</v>
      </c>
      <c r="D8" t="s">
        <v>200</v>
      </c>
      <c r="E8" t="s">
        <v>38</v>
      </c>
      <c r="F8" t="s">
        <v>253</v>
      </c>
      <c r="G8" t="s">
        <v>201</v>
      </c>
      <c r="I8">
        <v>13</v>
      </c>
      <c r="J8">
        <v>3.06</v>
      </c>
      <c r="K8">
        <v>0.22</v>
      </c>
      <c r="L8">
        <v>15</v>
      </c>
      <c r="M8">
        <v>2.76</v>
      </c>
      <c r="N8">
        <v>0.14000000000000001</v>
      </c>
      <c r="O8">
        <f t="shared" si="16"/>
        <v>0.18136236570001973</v>
      </c>
      <c r="P8">
        <f t="shared" si="17"/>
        <v>1.654146927572679</v>
      </c>
      <c r="Q8">
        <f t="shared" si="18"/>
        <v>1.6059678908472612</v>
      </c>
      <c r="R8">
        <f t="shared" si="19"/>
        <v>0.43869179913171907</v>
      </c>
    </row>
    <row r="9" spans="1:18" x14ac:dyDescent="0.3">
      <c r="A9">
        <v>7</v>
      </c>
      <c r="B9" t="s">
        <v>202</v>
      </c>
      <c r="C9">
        <v>2018</v>
      </c>
      <c r="D9" t="s">
        <v>203</v>
      </c>
      <c r="E9" t="s">
        <v>204</v>
      </c>
      <c r="F9" t="s">
        <v>300</v>
      </c>
      <c r="G9" t="s">
        <v>205</v>
      </c>
      <c r="H9" t="s">
        <v>206</v>
      </c>
      <c r="I9">
        <v>10</v>
      </c>
      <c r="J9">
        <v>0.3</v>
      </c>
      <c r="K9">
        <f>0.4*(3/4)</f>
        <v>0.30000000000000004</v>
      </c>
      <c r="L9">
        <v>10</v>
      </c>
      <c r="M9">
        <v>0.25</v>
      </c>
      <c r="N9">
        <f>0.4*(3/4)</f>
        <v>0.30000000000000004</v>
      </c>
      <c r="O9">
        <f t="shared" ref="O9:O11" si="20">SQRT(((I9-1)*POWER(K9,2) + (L9-1)*POWER(N9,2))/((I9-1)+(L9-1)))</f>
        <v>0.30000000000000004</v>
      </c>
      <c r="P9">
        <f t="shared" ref="P9:P11" si="21">(J9-M9)/O9</f>
        <v>0.1666666666666666</v>
      </c>
      <c r="Q9">
        <f t="shared" ref="Q9:Q11" si="22">P9*(1- (3/(4*(I9+L9)-9)))</f>
        <v>0.15962441314553985</v>
      </c>
      <c r="R9">
        <f t="shared" ref="R9:R11" si="23">SQRT((I9+L9)/(I9*L9)+(POWER(P9,2)/(2*(I9+L9))))</f>
        <v>0.44798933519052042</v>
      </c>
    </row>
    <row r="10" spans="1:18" x14ac:dyDescent="0.3">
      <c r="A10">
        <v>8</v>
      </c>
      <c r="B10" t="s">
        <v>96</v>
      </c>
      <c r="C10">
        <v>2016</v>
      </c>
      <c r="D10" t="s">
        <v>95</v>
      </c>
      <c r="E10" t="s">
        <v>97</v>
      </c>
      <c r="F10" t="s">
        <v>253</v>
      </c>
      <c r="G10" t="s">
        <v>99</v>
      </c>
      <c r="H10" t="s">
        <v>256</v>
      </c>
      <c r="I10">
        <v>32</v>
      </c>
      <c r="J10">
        <v>75</v>
      </c>
      <c r="K10">
        <f>J10/5</f>
        <v>15</v>
      </c>
      <c r="L10">
        <v>8</v>
      </c>
      <c r="M10">
        <v>25</v>
      </c>
      <c r="N10">
        <f>M10/12</f>
        <v>2.0833333333333335</v>
      </c>
      <c r="O10">
        <f t="shared" si="20"/>
        <v>13.577634419616274</v>
      </c>
      <c r="P10">
        <f t="shared" si="21"/>
        <v>3.6825266062372801</v>
      </c>
      <c r="Q10">
        <f t="shared" si="22"/>
        <v>3.6093638259809104</v>
      </c>
      <c r="R10">
        <f t="shared" si="23"/>
        <v>0.57075610164988011</v>
      </c>
    </row>
    <row r="11" spans="1:18" x14ac:dyDescent="0.3">
      <c r="A11">
        <v>9</v>
      </c>
      <c r="B11" t="s">
        <v>88</v>
      </c>
      <c r="C11">
        <v>2017</v>
      </c>
      <c r="D11" t="s">
        <v>89</v>
      </c>
      <c r="E11" t="s">
        <v>90</v>
      </c>
      <c r="F11" t="s">
        <v>253</v>
      </c>
      <c r="G11" t="s">
        <v>260</v>
      </c>
      <c r="H11" t="s">
        <v>261</v>
      </c>
      <c r="I11">
        <v>28</v>
      </c>
      <c r="J11">
        <v>15</v>
      </c>
      <c r="K11">
        <f>10*(3/4)</f>
        <v>7.5</v>
      </c>
      <c r="L11">
        <v>2</v>
      </c>
      <c r="M11">
        <v>5</v>
      </c>
      <c r="N11">
        <f>2*(3/4)</f>
        <v>1.5</v>
      </c>
      <c r="O11">
        <f t="shared" si="20"/>
        <v>7.370307223679931</v>
      </c>
      <c r="P11">
        <f t="shared" si="21"/>
        <v>1.3567955441356874</v>
      </c>
      <c r="Q11">
        <f t="shared" si="22"/>
        <v>1.3201253942941824</v>
      </c>
      <c r="R11">
        <f t="shared" si="23"/>
        <v>0.75259275498598399</v>
      </c>
    </row>
    <row r="12" spans="1:18" x14ac:dyDescent="0.3">
      <c r="A12">
        <v>10</v>
      </c>
      <c r="B12" t="s">
        <v>285</v>
      </c>
      <c r="C12">
        <v>2017</v>
      </c>
      <c r="D12" t="s">
        <v>286</v>
      </c>
      <c r="E12" t="s">
        <v>287</v>
      </c>
      <c r="F12" t="s">
        <v>300</v>
      </c>
      <c r="I12">
        <v>717</v>
      </c>
      <c r="J12">
        <v>599.13</v>
      </c>
      <c r="K12">
        <v>881.81</v>
      </c>
      <c r="L12">
        <v>413</v>
      </c>
      <c r="M12">
        <v>271.37</v>
      </c>
      <c r="N12">
        <v>578.65</v>
      </c>
      <c r="O12">
        <f t="shared" ref="O12" si="24">SQRT(((I12-1)*POWER(K12,2) + (L12-1)*POWER(N12,2))/((I12-1)+(L12-1)))</f>
        <v>784.77647027401667</v>
      </c>
      <c r="P12">
        <f t="shared" ref="P12" si="25">(J12-M12)/O12</f>
        <v>0.4176475880903483</v>
      </c>
      <c r="Q12">
        <f t="shared" ref="Q12" si="26">P12*(1- (3/(4*(I12+L12)-9)))</f>
        <v>0.41736983531618049</v>
      </c>
      <c r="R12">
        <f t="shared" ref="R12" si="27">SQRT((I12+L12)/(I12*L12)+(POWER(P12,2)/(2*(I12+L12))))</f>
        <v>6.2395423259094494E-2</v>
      </c>
    </row>
    <row r="13" spans="1:18" x14ac:dyDescent="0.3">
      <c r="A13">
        <v>11</v>
      </c>
      <c r="B13" t="s">
        <v>294</v>
      </c>
      <c r="C13">
        <v>2010</v>
      </c>
      <c r="D13" t="s">
        <v>295</v>
      </c>
      <c r="E13" t="s">
        <v>38</v>
      </c>
      <c r="F13" t="s">
        <v>253</v>
      </c>
      <c r="G13" t="s">
        <v>129</v>
      </c>
      <c r="H13" t="s">
        <v>296</v>
      </c>
      <c r="I13">
        <v>11</v>
      </c>
      <c r="J13">
        <v>800</v>
      </c>
      <c r="K13">
        <f>(1250/8)*(3/4)</f>
        <v>117.1875</v>
      </c>
      <c r="L13">
        <v>10</v>
      </c>
      <c r="M13">
        <v>700</v>
      </c>
      <c r="N13">
        <f>(1250/10)*(3/4)</f>
        <v>93.75</v>
      </c>
      <c r="O13">
        <f t="shared" ref="O13" si="28">SQRT(((I13-1)*POWER(K13,2) + (L13-1)*POWER(N13,2))/((I13-1)+(L13-1)))</f>
        <v>106.72903813975296</v>
      </c>
      <c r="P13">
        <f t="shared" ref="P13" si="29">(J13-M13)/O13</f>
        <v>0.93695213358016183</v>
      </c>
      <c r="Q13">
        <f t="shared" ref="Q13" si="30">P13*(1- (3/(4*(I13+L13)-9)))</f>
        <v>0.89947404823695531</v>
      </c>
      <c r="R13">
        <f t="shared" ref="R13" si="31">SQRT((I13+L13)/(I13*L13)+(POWER(P13,2)/(2*(I13+L13))))</f>
        <v>0.46022926788623608</v>
      </c>
    </row>
    <row r="14" spans="1:18" x14ac:dyDescent="0.3">
      <c r="A14">
        <v>12</v>
      </c>
      <c r="B14" t="s">
        <v>345</v>
      </c>
      <c r="C14">
        <v>2016</v>
      </c>
      <c r="D14" t="s">
        <v>346</v>
      </c>
      <c r="E14" t="s">
        <v>86</v>
      </c>
      <c r="F14" t="s">
        <v>253</v>
      </c>
      <c r="G14" t="s">
        <v>347</v>
      </c>
      <c r="H14" t="s">
        <v>348</v>
      </c>
      <c r="I14">
        <v>6</v>
      </c>
      <c r="J14">
        <v>592.29999999999995</v>
      </c>
      <c r="K14">
        <f>1000*(3/4)</f>
        <v>750</v>
      </c>
      <c r="L14">
        <v>6</v>
      </c>
      <c r="M14">
        <v>0.33</v>
      </c>
      <c r="N14">
        <v>10</v>
      </c>
      <c r="O14">
        <f t="shared" ref="O14:O15" si="32">SQRT(((I14-1)*POWER(K14,2) + (L14-1)*POWER(N14,2))/((I14-1)+(L14-1)))</f>
        <v>530.37722424704475</v>
      </c>
      <c r="P14">
        <f t="shared" ref="P14:P15" si="33">(J14-M14)/O14</f>
        <v>1.1161301295326094</v>
      </c>
      <c r="Q14">
        <f t="shared" ref="Q14:Q15" si="34">P14*(1- (3/(4*(I14+L14)-9)))</f>
        <v>1.0302739657224087</v>
      </c>
      <c r="R14">
        <f t="shared" ref="R14:R15" si="35">SQRT((I14+L14)/(I14*L14)+(POWER(P14,2)/(2*(I14+L14))))</f>
        <v>0.6206765954065262</v>
      </c>
    </row>
    <row r="15" spans="1:18" x14ac:dyDescent="0.3">
      <c r="A15">
        <v>13</v>
      </c>
      <c r="B15" t="s">
        <v>383</v>
      </c>
      <c r="C15">
        <v>2022</v>
      </c>
      <c r="D15" t="s">
        <v>384</v>
      </c>
      <c r="E15" t="s">
        <v>385</v>
      </c>
      <c r="F15" t="s">
        <v>253</v>
      </c>
      <c r="G15" t="s">
        <v>386</v>
      </c>
      <c r="H15" t="s">
        <v>390</v>
      </c>
      <c r="I15">
        <f>13*9</f>
        <v>117</v>
      </c>
      <c r="J15">
        <v>-83</v>
      </c>
      <c r="K15">
        <v>176</v>
      </c>
      <c r="L15">
        <f>7*9</f>
        <v>63</v>
      </c>
      <c r="M15">
        <v>-167</v>
      </c>
      <c r="N15">
        <v>183</v>
      </c>
      <c r="O15">
        <f t="shared" si="32"/>
        <v>178.46936601764901</v>
      </c>
      <c r="P15">
        <f t="shared" si="33"/>
        <v>0.47066901101499492</v>
      </c>
      <c r="Q15">
        <f t="shared" si="34"/>
        <v>0.46868306582083885</v>
      </c>
      <c r="R15">
        <f t="shared" si="35"/>
        <v>0.15822573632786854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5FBFA-590A-44E1-B3FD-3060EE11E94F}">
  <dimension ref="A1:R9"/>
  <sheetViews>
    <sheetView workbookViewId="0">
      <selection activeCell="B9" sqref="B9:R9"/>
    </sheetView>
  </sheetViews>
  <sheetFormatPr defaultRowHeight="14.4" x14ac:dyDescent="0.3"/>
  <cols>
    <col min="2" max="2" width="17.2187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182</v>
      </c>
      <c r="C2">
        <v>2018</v>
      </c>
      <c r="D2" t="s">
        <v>183</v>
      </c>
      <c r="E2" t="s">
        <v>184</v>
      </c>
      <c r="F2" t="s">
        <v>407</v>
      </c>
      <c r="G2" t="s">
        <v>288</v>
      </c>
      <c r="H2" t="s">
        <v>289</v>
      </c>
      <c r="I2">
        <v>9</v>
      </c>
      <c r="J2">
        <v>585.14</v>
      </c>
      <c r="K2">
        <f>J2*(1.9/4.1)</f>
        <v>271.16243902439027</v>
      </c>
      <c r="L2">
        <v>10</v>
      </c>
      <c r="M2">
        <v>667.73</v>
      </c>
      <c r="N2">
        <f>M2*(1.5/7.1)</f>
        <v>141.06971830985918</v>
      </c>
      <c r="O2">
        <f t="shared" ref="O2:O5" si="0">SQRT(((I2-1)*POWER(K2,2) + (L2-1)*POWER(N2,2))/((I2-1)+(L2-1)))</f>
        <v>212.45602112623581</v>
      </c>
      <c r="P2">
        <f t="shared" ref="P2:P5" si="1">(J2-M2)/O2</f>
        <v>-0.38873927677920322</v>
      </c>
      <c r="Q2">
        <f t="shared" ref="Q2:Q5" si="2">P2*(1- (3/(4*(I2+L2)-9)))</f>
        <v>-0.37133304050550753</v>
      </c>
      <c r="R2">
        <f t="shared" ref="R2:R5" si="3">SQRT((I2+L2)/(I2*L2)+(POWER(P2,2)/(2*(I2+L2))))</f>
        <v>0.46377570711932226</v>
      </c>
    </row>
    <row r="3" spans="1:18" x14ac:dyDescent="0.3">
      <c r="A3">
        <v>1</v>
      </c>
      <c r="B3" t="s">
        <v>246</v>
      </c>
      <c r="C3">
        <v>2016</v>
      </c>
      <c r="D3" t="s">
        <v>247</v>
      </c>
      <c r="E3" t="s">
        <v>248</v>
      </c>
      <c r="H3" t="s">
        <v>249</v>
      </c>
      <c r="I3">
        <v>21</v>
      </c>
      <c r="J3">
        <v>2233.81</v>
      </c>
      <c r="K3">
        <v>678.08</v>
      </c>
      <c r="L3">
        <v>39</v>
      </c>
      <c r="M3">
        <v>3700.68</v>
      </c>
      <c r="N3">
        <v>1665.78</v>
      </c>
      <c r="O3">
        <f t="shared" si="0"/>
        <v>1405.8935313541519</v>
      </c>
      <c r="P3">
        <f t="shared" si="1"/>
        <v>-1.0433720386970666</v>
      </c>
      <c r="Q3">
        <f t="shared" si="2"/>
        <v>-1.0298217524802216</v>
      </c>
      <c r="R3">
        <f t="shared" si="3"/>
        <v>0.28693544573567509</v>
      </c>
    </row>
    <row r="4" spans="1:18" x14ac:dyDescent="0.3">
      <c r="A4">
        <v>2</v>
      </c>
      <c r="B4" t="s">
        <v>178</v>
      </c>
      <c r="C4">
        <v>2021</v>
      </c>
      <c r="D4" t="s">
        <v>179</v>
      </c>
      <c r="E4" t="s">
        <v>33</v>
      </c>
      <c r="F4" t="s">
        <v>253</v>
      </c>
      <c r="G4" t="s">
        <v>180</v>
      </c>
      <c r="H4" t="s">
        <v>243</v>
      </c>
      <c r="I4">
        <v>15</v>
      </c>
      <c r="J4">
        <v>4.2</v>
      </c>
      <c r="K4">
        <f>(4.6-3.9)*(3/4)</f>
        <v>0.5249999999999998</v>
      </c>
      <c r="L4">
        <v>18</v>
      </c>
      <c r="M4">
        <v>5.0999999999999996</v>
      </c>
      <c r="N4">
        <f>(6.2-4.3)*(3/4)</f>
        <v>1.4250000000000003</v>
      </c>
      <c r="O4">
        <f t="shared" si="0"/>
        <v>1.1126744154687436</v>
      </c>
      <c r="P4">
        <f t="shared" si="1"/>
        <v>-0.80886195232668368</v>
      </c>
      <c r="Q4">
        <f t="shared" si="2"/>
        <v>-0.78913361202603283</v>
      </c>
      <c r="R4">
        <f t="shared" si="3"/>
        <v>0.36350408118646782</v>
      </c>
    </row>
    <row r="5" spans="1:18" x14ac:dyDescent="0.3">
      <c r="A5">
        <v>3</v>
      </c>
      <c r="B5" t="s">
        <v>239</v>
      </c>
      <c r="C5">
        <v>2021</v>
      </c>
      <c r="D5" t="s">
        <v>240</v>
      </c>
      <c r="E5" t="s">
        <v>28</v>
      </c>
      <c r="F5" t="s">
        <v>253</v>
      </c>
      <c r="G5" t="s">
        <v>241</v>
      </c>
      <c r="H5" t="s">
        <v>291</v>
      </c>
      <c r="I5">
        <v>14</v>
      </c>
      <c r="J5">
        <v>21.75</v>
      </c>
      <c r="K5">
        <v>4.97</v>
      </c>
      <c r="L5">
        <v>23</v>
      </c>
      <c r="M5">
        <v>20.89</v>
      </c>
      <c r="N5">
        <v>4.03</v>
      </c>
      <c r="O5">
        <f t="shared" si="0"/>
        <v>4.4026339518844528</v>
      </c>
      <c r="P5">
        <f t="shared" si="1"/>
        <v>0.19533761139326491</v>
      </c>
      <c r="Q5">
        <f t="shared" si="2"/>
        <v>0.19112169172290669</v>
      </c>
      <c r="R5">
        <f t="shared" si="3"/>
        <v>0.33973881805449718</v>
      </c>
    </row>
    <row r="6" spans="1:18" x14ac:dyDescent="0.3">
      <c r="A6">
        <v>4</v>
      </c>
      <c r="B6" t="s">
        <v>186</v>
      </c>
      <c r="C6">
        <v>2021</v>
      </c>
      <c r="D6" t="s">
        <v>187</v>
      </c>
      <c r="E6" t="s">
        <v>19</v>
      </c>
      <c r="F6" t="s">
        <v>72</v>
      </c>
      <c r="G6" t="s">
        <v>188</v>
      </c>
      <c r="H6" t="s">
        <v>297</v>
      </c>
      <c r="I6">
        <v>12</v>
      </c>
      <c r="J6">
        <v>7.39</v>
      </c>
      <c r="K6">
        <f>150*(3/4)</f>
        <v>112.5</v>
      </c>
      <c r="L6">
        <v>1</v>
      </c>
      <c r="M6">
        <v>10.210000000000001</v>
      </c>
      <c r="N6">
        <f>50*(3/4)</f>
        <v>37.5</v>
      </c>
      <c r="O6">
        <f t="shared" ref="O6:O9" si="4">SQRT(((I6-1)*POWER(K6,2) + (L6-1)*POWER(N6,2))/((I6-1)+(L6-1)))</f>
        <v>112.5</v>
      </c>
      <c r="P6">
        <f t="shared" ref="P6:P9" si="5">(J6-M6)/O6</f>
        <v>-2.5066666666666678E-2</v>
      </c>
      <c r="Q6">
        <f t="shared" ref="Q6:Q9" si="6">P6*(1- (3/(4*(I6+L6)-9)))</f>
        <v>-2.3317829457364353E-2</v>
      </c>
      <c r="R6">
        <f t="shared" ref="R6:R9" si="7">SQRT((I6+L6)/(I6*L6)+(POWER(P6,2)/(2*(I6+L6))))</f>
        <v>1.0408446090415899</v>
      </c>
    </row>
    <row r="7" spans="1:18" x14ac:dyDescent="0.3">
      <c r="A7">
        <v>5</v>
      </c>
      <c r="B7" t="s">
        <v>369</v>
      </c>
      <c r="C7">
        <v>2014</v>
      </c>
      <c r="D7" t="s">
        <v>370</v>
      </c>
      <c r="E7" t="s">
        <v>354</v>
      </c>
      <c r="F7" t="s">
        <v>407</v>
      </c>
      <c r="G7" t="s">
        <v>371</v>
      </c>
      <c r="H7" t="s">
        <v>372</v>
      </c>
      <c r="I7">
        <v>6</v>
      </c>
      <c r="J7">
        <v>2010.05</v>
      </c>
      <c r="K7">
        <v>1300</v>
      </c>
      <c r="L7">
        <v>6</v>
      </c>
      <c r="M7">
        <v>3245.85</v>
      </c>
      <c r="N7">
        <v>1700</v>
      </c>
      <c r="O7">
        <f t="shared" si="4"/>
        <v>1513.2745950421556</v>
      </c>
      <c r="P7">
        <f t="shared" si="5"/>
        <v>-0.81663962644239985</v>
      </c>
      <c r="Q7">
        <f t="shared" si="6"/>
        <v>-0.75382119363913835</v>
      </c>
      <c r="R7">
        <f t="shared" si="7"/>
        <v>0.60093331158970209</v>
      </c>
    </row>
    <row r="8" spans="1:18" x14ac:dyDescent="0.3">
      <c r="A8">
        <v>6</v>
      </c>
      <c r="B8" t="s">
        <v>373</v>
      </c>
      <c r="C8">
        <v>2020</v>
      </c>
      <c r="D8" t="s">
        <v>374</v>
      </c>
      <c r="E8" t="s">
        <v>19</v>
      </c>
      <c r="F8" t="s">
        <v>253</v>
      </c>
      <c r="G8" t="s">
        <v>375</v>
      </c>
      <c r="H8" t="s">
        <v>377</v>
      </c>
      <c r="I8">
        <v>6</v>
      </c>
      <c r="J8">
        <v>2750</v>
      </c>
      <c r="K8">
        <f>1500*(3/4)</f>
        <v>1125</v>
      </c>
      <c r="L8">
        <v>3</v>
      </c>
      <c r="M8">
        <v>500</v>
      </c>
      <c r="N8">
        <v>100</v>
      </c>
      <c r="O8">
        <f t="shared" si="4"/>
        <v>952.29984773704552</v>
      </c>
      <c r="P8">
        <f t="shared" si="5"/>
        <v>2.3627012073420839</v>
      </c>
      <c r="Q8">
        <f t="shared" si="6"/>
        <v>2.1001788509707411</v>
      </c>
      <c r="R8">
        <f t="shared" si="7"/>
        <v>0.90007274382487001</v>
      </c>
    </row>
    <row r="9" spans="1:18" x14ac:dyDescent="0.3">
      <c r="A9">
        <v>7</v>
      </c>
      <c r="B9" t="s">
        <v>378</v>
      </c>
      <c r="C9">
        <v>2021</v>
      </c>
      <c r="D9" t="s">
        <v>379</v>
      </c>
      <c r="E9" t="s">
        <v>380</v>
      </c>
      <c r="F9" t="s">
        <v>72</v>
      </c>
      <c r="G9" t="s">
        <v>381</v>
      </c>
      <c r="H9" t="s">
        <v>382</v>
      </c>
      <c r="I9">
        <v>9</v>
      </c>
      <c r="J9">
        <v>9.1199999999999992</v>
      </c>
      <c r="K9">
        <v>1.95</v>
      </c>
      <c r="L9">
        <v>5</v>
      </c>
      <c r="M9">
        <v>6.91</v>
      </c>
      <c r="N9">
        <v>1.79</v>
      </c>
      <c r="O9">
        <f t="shared" si="4"/>
        <v>1.8981657813092441</v>
      </c>
      <c r="P9">
        <f t="shared" si="5"/>
        <v>1.1642818671379009</v>
      </c>
      <c r="Q9">
        <f t="shared" si="6"/>
        <v>1.0899660032780349</v>
      </c>
      <c r="R9">
        <f t="shared" si="7"/>
        <v>0.59960294532707303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A652-0C22-4014-BA4E-6ABE2842051B}">
  <dimension ref="A1:R3"/>
  <sheetViews>
    <sheetView workbookViewId="0">
      <selection sqref="A1:R1"/>
    </sheetView>
  </sheetViews>
  <sheetFormatPr defaultRowHeight="14.4" x14ac:dyDescent="0.3"/>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8</v>
      </c>
      <c r="C2">
        <v>2022</v>
      </c>
      <c r="D2" t="s">
        <v>67</v>
      </c>
      <c r="E2" t="s">
        <v>14</v>
      </c>
      <c r="F2" t="s">
        <v>68</v>
      </c>
      <c r="G2" t="s">
        <v>20</v>
      </c>
      <c r="H2" t="s">
        <v>69</v>
      </c>
      <c r="I2">
        <v>30</v>
      </c>
      <c r="J2">
        <v>33.83</v>
      </c>
      <c r="K2">
        <v>17.940000000000001</v>
      </c>
      <c r="L2">
        <v>30</v>
      </c>
      <c r="M2">
        <v>15.8</v>
      </c>
      <c r="N2">
        <v>5.59</v>
      </c>
      <c r="O2">
        <f>SQRT(((I2-1)*POWER(K2,2) + (L2-1)*POWER(N2,2))/((I2-1)+(L2-1)))</f>
        <v>13.287055731048923</v>
      </c>
      <c r="P2">
        <f>(J2-M2)/O2</f>
        <v>1.3569597633182089</v>
      </c>
      <c r="Q2">
        <f>P2*(1- (3/(4*(I2+L2)-9)))</f>
        <v>1.3393369092491412</v>
      </c>
      <c r="R2">
        <f>SQRT((I2+L2)/(I2*L2)+(POWER(P2,2)/(2*(I2+L2))))</f>
        <v>0.28637591552690278</v>
      </c>
    </row>
    <row r="3" spans="1:18" x14ac:dyDescent="0.3">
      <c r="A3">
        <v>1</v>
      </c>
      <c r="B3" t="s">
        <v>81</v>
      </c>
      <c r="C3">
        <v>1996</v>
      </c>
      <c r="D3" t="s">
        <v>80</v>
      </c>
      <c r="E3" t="s">
        <v>82</v>
      </c>
      <c r="F3" t="s">
        <v>253</v>
      </c>
      <c r="G3" t="s">
        <v>83</v>
      </c>
      <c r="H3" t="s">
        <v>84</v>
      </c>
      <c r="I3">
        <v>5</v>
      </c>
      <c r="J3">
        <v>14</v>
      </c>
      <c r="K3">
        <v>4</v>
      </c>
      <c r="L3">
        <v>1</v>
      </c>
      <c r="M3">
        <v>9</v>
      </c>
      <c r="N3">
        <v>4</v>
      </c>
      <c r="O3">
        <f>SQRT(((I3-1)*POWER(K3,2) + (L3-1)*POWER(N3,2))/((I3-1)+(L3-1)))</f>
        <v>4</v>
      </c>
      <c r="P3">
        <f>(J3-M3)/O3</f>
        <v>1.25</v>
      </c>
      <c r="Q3">
        <f>P3*(1- (3/(4*(I3+L3)-9)))</f>
        <v>1</v>
      </c>
      <c r="R3">
        <f>SQRT((I3+L3)/(I3*L3)+(POWER(P3,2)/(2*(I3+L3))))</f>
        <v>1.153346579885393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D4D7-D2C2-4F90-9A16-48DE70F95F03}">
  <dimension ref="A1:R8"/>
  <sheetViews>
    <sheetView workbookViewId="0">
      <selection activeCell="B8" sqref="B8:R8"/>
    </sheetView>
  </sheetViews>
  <sheetFormatPr defaultRowHeight="14.4" x14ac:dyDescent="0.3"/>
  <cols>
    <col min="2" max="2" width="19.7773437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8</v>
      </c>
      <c r="C2">
        <v>2022</v>
      </c>
      <c r="D2" t="s">
        <v>85</v>
      </c>
      <c r="E2" t="s">
        <v>86</v>
      </c>
      <c r="F2" t="s">
        <v>68</v>
      </c>
      <c r="G2" t="s">
        <v>20</v>
      </c>
      <c r="H2" t="s">
        <v>87</v>
      </c>
      <c r="I2">
        <v>25</v>
      </c>
      <c r="J2">
        <f>0.78316-0.25485</f>
        <v>0.52830999999999995</v>
      </c>
      <c r="K2">
        <v>9.4689999999999996E-2</v>
      </c>
      <c r="L2">
        <v>25</v>
      </c>
      <c r="M2">
        <v>0.78315999999999997</v>
      </c>
      <c r="N2">
        <v>6.6960000000000006E-2</v>
      </c>
      <c r="O2">
        <f t="shared" ref="O2:O8" si="0">SQRT(((I2-1)*POWER(K2,2) + (L2-1)*POWER(N2,2))/((I2-1)+(L2-1)))</f>
        <v>8.2005602552508564E-2</v>
      </c>
      <c r="P2">
        <f t="shared" ref="P2:P8" si="1">(J2-M2)/O2</f>
        <v>-3.1077144983700156</v>
      </c>
      <c r="Q2">
        <f t="shared" ref="Q2:Q8" si="2">P2*(1- (3/(4*(I2+L2)-9)))</f>
        <v>-3.0589022287621095</v>
      </c>
      <c r="R2">
        <f t="shared" ref="R2:R8" si="3">SQRT((I2+L2)/(I2*L2)+(POWER(P2,2)/(2*(I2+L2))))</f>
        <v>0.42021291512017095</v>
      </c>
    </row>
    <row r="3" spans="1:18" x14ac:dyDescent="0.3">
      <c r="A3">
        <v>1</v>
      </c>
      <c r="B3" t="s">
        <v>88</v>
      </c>
      <c r="C3">
        <v>2017</v>
      </c>
      <c r="D3" t="s">
        <v>89</v>
      </c>
      <c r="E3" t="s">
        <v>90</v>
      </c>
      <c r="F3" t="s">
        <v>253</v>
      </c>
      <c r="G3" t="s">
        <v>91</v>
      </c>
      <c r="H3" t="s">
        <v>92</v>
      </c>
      <c r="I3">
        <v>28</v>
      </c>
      <c r="J3">
        <v>7.0000000000000007E-2</v>
      </c>
      <c r="K3">
        <v>0.05</v>
      </c>
      <c r="L3">
        <v>2</v>
      </c>
      <c r="M3">
        <v>0.24</v>
      </c>
      <c r="N3">
        <v>0.13</v>
      </c>
      <c r="O3">
        <f t="shared" si="0"/>
        <v>5.4902511001644679E-2</v>
      </c>
      <c r="P3">
        <f t="shared" si="1"/>
        <v>-3.0963975399031822</v>
      </c>
      <c r="Q3">
        <f t="shared" si="2"/>
        <v>-3.012711119905799</v>
      </c>
      <c r="R3">
        <f t="shared" si="3"/>
        <v>0.83397177078499507</v>
      </c>
    </row>
    <row r="4" spans="1:18" x14ac:dyDescent="0.3">
      <c r="A4">
        <v>2</v>
      </c>
      <c r="B4" t="s">
        <v>93</v>
      </c>
      <c r="C4">
        <v>2022</v>
      </c>
      <c r="D4" t="s">
        <v>94</v>
      </c>
      <c r="E4" t="s">
        <v>86</v>
      </c>
      <c r="H4" t="s">
        <v>98</v>
      </c>
      <c r="I4">
        <v>10</v>
      </c>
      <c r="J4">
        <v>2.93</v>
      </c>
      <c r="K4">
        <v>1</v>
      </c>
      <c r="L4">
        <v>14</v>
      </c>
      <c r="M4">
        <v>4.5</v>
      </c>
      <c r="N4">
        <v>0.5</v>
      </c>
      <c r="O4">
        <f t="shared" si="0"/>
        <v>0.74620250724463644</v>
      </c>
      <c r="P4">
        <f t="shared" si="1"/>
        <v>-2.1039864979779384</v>
      </c>
      <c r="Q4">
        <f t="shared" si="2"/>
        <v>-2.0314352394269752</v>
      </c>
      <c r="R4">
        <f t="shared" si="3"/>
        <v>0.51347124660338606</v>
      </c>
    </row>
    <row r="5" spans="1:18" x14ac:dyDescent="0.3">
      <c r="A5">
        <v>3</v>
      </c>
      <c r="B5" t="s">
        <v>96</v>
      </c>
      <c r="C5">
        <v>2016</v>
      </c>
      <c r="D5" t="s">
        <v>95</v>
      </c>
      <c r="E5" t="s">
        <v>97</v>
      </c>
      <c r="F5" t="s">
        <v>253</v>
      </c>
      <c r="G5" t="s">
        <v>99</v>
      </c>
      <c r="H5" t="s">
        <v>100</v>
      </c>
      <c r="I5">
        <v>32</v>
      </c>
      <c r="J5">
        <v>31</v>
      </c>
      <c r="K5">
        <f>J5/5</f>
        <v>6.2</v>
      </c>
      <c r="L5">
        <v>8</v>
      </c>
      <c r="M5">
        <v>88</v>
      </c>
      <c r="N5">
        <f>M5/12</f>
        <v>7.333333333333333</v>
      </c>
      <c r="O5">
        <f t="shared" si="0"/>
        <v>6.4238135182272424</v>
      </c>
      <c r="P5">
        <f t="shared" si="1"/>
        <v>-8.8732339191144654</v>
      </c>
      <c r="Q5">
        <f t="shared" si="2"/>
        <v>-8.6969445035029196</v>
      </c>
      <c r="R5">
        <f t="shared" si="3"/>
        <v>1.067908470933508</v>
      </c>
    </row>
    <row r="6" spans="1:18" x14ac:dyDescent="0.3">
      <c r="A6">
        <v>4</v>
      </c>
      <c r="B6" t="s">
        <v>101</v>
      </c>
      <c r="C6">
        <v>2021</v>
      </c>
      <c r="D6" t="s">
        <v>102</v>
      </c>
      <c r="E6" t="s">
        <v>14</v>
      </c>
      <c r="G6" t="s">
        <v>103</v>
      </c>
      <c r="H6" t="s">
        <v>104</v>
      </c>
      <c r="I6">
        <v>8</v>
      </c>
      <c r="J6">
        <v>0.43</v>
      </c>
      <c r="K6">
        <v>0.2</v>
      </c>
      <c r="L6">
        <v>12</v>
      </c>
      <c r="M6">
        <v>0.72</v>
      </c>
      <c r="N6">
        <v>0.4</v>
      </c>
      <c r="O6">
        <f t="shared" si="0"/>
        <v>0.33665016461206926</v>
      </c>
      <c r="P6">
        <f t="shared" si="1"/>
        <v>-0.86142836238970666</v>
      </c>
      <c r="Q6">
        <f t="shared" si="2"/>
        <v>-0.82502998088028245</v>
      </c>
      <c r="R6">
        <f t="shared" si="3"/>
        <v>0.47632426341891154</v>
      </c>
    </row>
    <row r="7" spans="1:18" x14ac:dyDescent="0.3">
      <c r="A7">
        <v>5</v>
      </c>
      <c r="B7" t="s">
        <v>235</v>
      </c>
      <c r="C7">
        <v>2022</v>
      </c>
      <c r="D7" t="s">
        <v>234</v>
      </c>
      <c r="E7" t="s">
        <v>236</v>
      </c>
      <c r="F7" t="s">
        <v>253</v>
      </c>
      <c r="G7" t="s">
        <v>237</v>
      </c>
      <c r="H7" t="s">
        <v>238</v>
      </c>
      <c r="I7">
        <v>6</v>
      </c>
      <c r="J7">
        <v>2</v>
      </c>
      <c r="K7">
        <f>(2-1.25)*(3/4)</f>
        <v>0.5625</v>
      </c>
      <c r="L7">
        <v>44</v>
      </c>
      <c r="M7">
        <v>4</v>
      </c>
      <c r="N7">
        <f>(4-3)*(3/4)</f>
        <v>0.75</v>
      </c>
      <c r="O7">
        <f t="shared" si="0"/>
        <v>0.73271088048083466</v>
      </c>
      <c r="P7">
        <f t="shared" si="1"/>
        <v>-2.7295896011364245</v>
      </c>
      <c r="Q7">
        <f t="shared" si="2"/>
        <v>-2.6867164660400409</v>
      </c>
      <c r="R7">
        <f t="shared" si="3"/>
        <v>0.51371250062681983</v>
      </c>
    </row>
    <row r="8" spans="1:18" x14ac:dyDescent="0.3">
      <c r="A8">
        <v>6</v>
      </c>
      <c r="B8" t="s">
        <v>378</v>
      </c>
      <c r="C8">
        <v>2021</v>
      </c>
      <c r="D8" t="s">
        <v>379</v>
      </c>
      <c r="E8" t="s">
        <v>380</v>
      </c>
      <c r="F8" t="s">
        <v>72</v>
      </c>
      <c r="G8" t="s">
        <v>381</v>
      </c>
      <c r="H8" t="s">
        <v>382</v>
      </c>
      <c r="I8">
        <v>9</v>
      </c>
      <c r="J8">
        <v>0.08</v>
      </c>
      <c r="K8">
        <v>0.03</v>
      </c>
      <c r="L8">
        <v>5</v>
      </c>
      <c r="M8">
        <v>0.13</v>
      </c>
      <c r="N8">
        <v>0.05</v>
      </c>
      <c r="O8">
        <f t="shared" si="0"/>
        <v>3.7859388972001827E-2</v>
      </c>
      <c r="P8">
        <f t="shared" si="1"/>
        <v>-1.3206763594884356</v>
      </c>
      <c r="Q8">
        <f t="shared" si="2"/>
        <v>-1.2363778684572588</v>
      </c>
      <c r="R8">
        <f t="shared" si="3"/>
        <v>0.61106748392881927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tool_path_length</vt:lpstr>
      <vt:lpstr>task_time</vt:lpstr>
      <vt:lpstr>tool_velocity</vt:lpstr>
      <vt:lpstr>tool_idle</vt:lpstr>
      <vt:lpstr>tool_movements</vt:lpstr>
      <vt:lpstr>tool_jerk</vt:lpstr>
      <vt:lpstr>tool_acceleration</vt:lpstr>
      <vt:lpstr>tool_grasps</vt:lpstr>
      <vt:lpstr>tool_bimanual</vt:lpstr>
      <vt:lpstr>pupil_dilation</vt:lpstr>
      <vt:lpstr>pupil_blinks</vt:lpstr>
      <vt:lpstr>pupil_ICA</vt:lpstr>
      <vt:lpstr>tool_force</vt:lpstr>
      <vt:lpstr>scale_UWOMSAb</vt:lpstr>
      <vt:lpstr>scale_OSATS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 Koskinen</dc:creator>
  <cp:lastModifiedBy>Jani Koskinen</cp:lastModifiedBy>
  <dcterms:created xsi:type="dcterms:W3CDTF">2015-06-05T18:17:20Z</dcterms:created>
  <dcterms:modified xsi:type="dcterms:W3CDTF">2022-07-21T06:12:59Z</dcterms:modified>
</cp:coreProperties>
</file>