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86EE2065-DC49-4F10-8818-39A404481761}" xr6:coauthVersionLast="47" xr6:coauthVersionMax="47" xr10:uidLastSave="{00000000-0000-0000-0000-000000000000}"/>
  <bookViews>
    <workbookView xWindow="28680" yWindow="-120" windowWidth="29040" windowHeight="15840" xr2:uid="{00000000-000D-0000-FFFF-FFFF00000000}"/>
  </bookViews>
  <sheets>
    <sheet name="task_time" sheetId="1" r:id="rId1"/>
    <sheet name="tool_path_length" sheetId="2" r:id="rId2"/>
    <sheet name="tool_velocity" sheetId="3" r:id="rId3"/>
    <sheet name="tool_idle" sheetId="11" r:id="rId4"/>
    <sheet name="tool_movements" sheetId="8" r:id="rId5"/>
    <sheet name="tool_jerk" sheetId="10" r:id="rId6"/>
    <sheet name="tool_acceleration" sheetId="15" r:id="rId7"/>
    <sheet name="tool_grasps" sheetId="4" r:id="rId8"/>
    <sheet name="tool_bimanual" sheetId="5" r:id="rId9"/>
    <sheet name="pupil_dilation" sheetId="6" r:id="rId10"/>
    <sheet name="pupil_blinks" sheetId="7" r:id="rId11"/>
    <sheet name="pupil_ICA" sheetId="16" r:id="rId12"/>
    <sheet name="tool_force" sheetId="14" r:id="rId13"/>
    <sheet name="scale_UWOMSAb" sheetId="12" r:id="rId14"/>
    <sheet name="scale_OSATS"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2" i="1" l="1"/>
  <c r="P32" i="1" s="1"/>
  <c r="O15" i="8"/>
  <c r="P15" i="8" s="1"/>
  <c r="O8" i="5"/>
  <c r="P8" i="5" s="1"/>
  <c r="O9" i="15"/>
  <c r="P9" i="15" s="1"/>
  <c r="O16" i="3"/>
  <c r="P16" i="3" s="1"/>
  <c r="O22" i="2"/>
  <c r="P22" i="2"/>
  <c r="Q22" i="2"/>
  <c r="R22" i="2"/>
  <c r="K8" i="15"/>
  <c r="O8" i="15"/>
  <c r="P8" i="15" s="1"/>
  <c r="K15" i="3"/>
  <c r="O15" i="3"/>
  <c r="P15" i="3" s="1"/>
  <c r="O21" i="2"/>
  <c r="P21" i="2" s="1"/>
  <c r="K21" i="2"/>
  <c r="O7" i="15"/>
  <c r="P7" i="15" s="1"/>
  <c r="R7" i="15" s="1"/>
  <c r="O14" i="3"/>
  <c r="P14" i="3" s="1"/>
  <c r="O20" i="2"/>
  <c r="P20" i="2" s="1"/>
  <c r="N14" i="8"/>
  <c r="K14" i="8"/>
  <c r="O14" i="8"/>
  <c r="P14" i="8" s="1"/>
  <c r="N19" i="2"/>
  <c r="K19" i="2"/>
  <c r="O19" i="2"/>
  <c r="P19" i="2" s="1"/>
  <c r="O31" i="1"/>
  <c r="P31" i="1" s="1"/>
  <c r="N31" i="1"/>
  <c r="K31" i="1"/>
  <c r="O12" i="14"/>
  <c r="P12" i="14" s="1"/>
  <c r="L11" i="14"/>
  <c r="I11" i="14"/>
  <c r="O11" i="14" s="1"/>
  <c r="P11" i="14" s="1"/>
  <c r="L30" i="1"/>
  <c r="I30" i="1"/>
  <c r="O10" i="14"/>
  <c r="P10" i="14" s="1"/>
  <c r="L10" i="14"/>
  <c r="I10" i="14"/>
  <c r="O9" i="14"/>
  <c r="P9" i="14" s="1"/>
  <c r="N29" i="1"/>
  <c r="K29" i="1"/>
  <c r="O29" i="1" s="1"/>
  <c r="P29" i="1" s="1"/>
  <c r="N13" i="3"/>
  <c r="K13" i="3"/>
  <c r="O13" i="3" s="1"/>
  <c r="P13" i="3" s="1"/>
  <c r="O14" i="10"/>
  <c r="P14" i="10"/>
  <c r="Q14" i="10" s="1"/>
  <c r="K14" i="10"/>
  <c r="N28" i="1"/>
  <c r="K28" i="1"/>
  <c r="O28" i="1"/>
  <c r="P28" i="1" s="1"/>
  <c r="N12" i="3"/>
  <c r="K12" i="3"/>
  <c r="O12" i="3" s="1"/>
  <c r="P12" i="3" s="1"/>
  <c r="O27" i="1"/>
  <c r="P27" i="1" s="1"/>
  <c r="O18" i="2"/>
  <c r="P18" i="2" s="1"/>
  <c r="O13" i="8"/>
  <c r="P13" i="8" s="1"/>
  <c r="O10" i="13"/>
  <c r="P10" i="13" s="1"/>
  <c r="O8" i="14"/>
  <c r="P8" i="14" s="1"/>
  <c r="K8" i="14"/>
  <c r="N8" i="14"/>
  <c r="O9" i="13"/>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R32" i="1" l="1"/>
  <c r="Q32" i="1"/>
  <c r="R15" i="8"/>
  <c r="Q15" i="8"/>
  <c r="R8" i="5"/>
  <c r="Q8" i="5"/>
  <c r="R9" i="15"/>
  <c r="Q9" i="15"/>
  <c r="R16" i="3"/>
  <c r="Q16" i="3"/>
  <c r="R8" i="15"/>
  <c r="Q8" i="15"/>
  <c r="R15" i="3"/>
  <c r="Q15" i="3"/>
  <c r="R21" i="2"/>
  <c r="Q21" i="2"/>
  <c r="Q7" i="15"/>
  <c r="R14" i="3"/>
  <c r="Q14" i="3"/>
  <c r="Q20" i="2"/>
  <c r="R20" i="2"/>
  <c r="R14" i="8"/>
  <c r="Q14" i="8"/>
  <c r="R19" i="2"/>
  <c r="Q19" i="2"/>
  <c r="Q31" i="1"/>
  <c r="R31" i="1"/>
  <c r="Q12" i="14"/>
  <c r="R12" i="14"/>
  <c r="Q11" i="14"/>
  <c r="R11" i="14"/>
  <c r="O30" i="1"/>
  <c r="P30" i="1" s="1"/>
  <c r="Q30" i="1" s="1"/>
  <c r="Q10" i="14"/>
  <c r="R10" i="14"/>
  <c r="Q9" i="14"/>
  <c r="R9" i="14"/>
  <c r="R29" i="1"/>
  <c r="Q29" i="1"/>
  <c r="R13" i="3"/>
  <c r="Q13" i="3"/>
  <c r="R14" i="10"/>
  <c r="R28" i="1"/>
  <c r="Q28" i="1"/>
  <c r="R12" i="3"/>
  <c r="Q12" i="3"/>
  <c r="R27" i="1"/>
  <c r="Q27" i="1"/>
  <c r="R18" i="2"/>
  <c r="Q18" i="2"/>
  <c r="Q13" i="8"/>
  <c r="R13" i="8"/>
  <c r="R10" i="13"/>
  <c r="Q10" i="13"/>
  <c r="Q8" i="14"/>
  <c r="R8" i="14"/>
  <c r="R9" i="13"/>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30" i="1" l="1"/>
  <c r="R6" i="15"/>
  <c r="R6" i="3"/>
  <c r="Q2" i="11"/>
  <c r="R2" i="7"/>
  <c r="Q2" i="5"/>
</calcChain>
</file>

<file path=xl/sharedStrings.xml><?xml version="1.0" encoding="utf-8"?>
<sst xmlns="http://schemas.openxmlformats.org/spreadsheetml/2006/main" count="1121" uniqueCount="390">
  <si>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</si>
  <si>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</si>
  <si>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</si>
  <si>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</si>
  <si>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</si>
  <si>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</si>
  <si>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</si>
  <si>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</si>
  <si>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</si>
  <si>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</si>
  <si>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</si>
  <si>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</si>
  <si>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</si>
  <si>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</si>
  <si>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</si>
  <si>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</si>
  <si>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</si>
  <si>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</si>
  <si>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</si>
  <si>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</si>
  <si>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</si>
  <si>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</si>
  <si>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</si>
  <si>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</si>
  <si>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</si>
  <si>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</si>
  <si>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</si>
  <si>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</si>
  <si>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</si>
  <si>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</si>
  <si>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</si>
  <si>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</si>
  <si>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</si>
  <si>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</si>
  <si>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</si>
  <si>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</si>
  <si>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</si>
  <si>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</si>
  <si>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</si>
  <si>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</si>
  <si>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</si>
  <si>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</si>
  <si>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</si>
  <si>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</si>
  <si>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</si>
  <si>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</si>
  <si>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</si>
  <si>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</si>
  <si>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</si>
  <si>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</si>
  <si>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</si>
  <si>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</si>
  <si>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</si>
  <si>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</si>
  <si>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</si>
  <si>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</si>
  <si>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</si>
  <si>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</si>
  <si>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</si>
  <si>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</si>
  <si>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</si>
  <si>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</si>
  <si>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</si>
  <si>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</si>
  <si>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</si>
  <si>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</si>
  <si>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</si>
  <si>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</si>
  <si>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</si>
  <si>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</si>
  <si>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</si>
  <si>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</si>
  <si>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</si>
  <si>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</si>
  <si>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</si>
  <si>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</si>
  <si>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</si>
  <si>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</si>
  <si>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</si>
  <si>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</si>
  <si>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</si>
  <si>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</si>
  <si>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</si>
  <si>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</si>
  <si>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</si>
  <si>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</si>
  <si>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</si>
  <si>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</si>
  <si>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</si>
  <si>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</si>
  <si>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</si>
  <si>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</si>
  <si>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</si>
  <si>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</si>
  <si>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</si>
  <si>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</si>
  <si>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</si>
  <si>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</si>
  <si>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</si>
  <si>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</si>
  <si>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</si>
  <si>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</si>
  <si>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</si>
  <si>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</si>
  <si>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</si>
  <si>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</si>
  <si>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</si>
  <si>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</si>
  <si>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</si>
  <si>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</si>
  <si>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</si>
  <si>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</si>
  <si>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</si>
  <si>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</si>
  <si>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</si>
  <si>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</si>
  <si>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</si>
  <si>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</si>
  <si>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</si>
  <si>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</si>
  <si>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</si>
  <si>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</si>
  <si>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</si>
  <si>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</si>
  <si>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</si>
  <si>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</si>
  <si>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</si>
  <si>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</si>
  <si>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</si>
  <si>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</si>
  <si>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</si>
  <si>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</si>
  <si>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</si>
  <si>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</si>
  <si>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</si>
  <si>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</si>
  <si>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</si>
  <si>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</si>
  <si>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</si>
  <si>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</si>
  <si>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</si>
  <si>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</si>
  <si>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</si>
  <si>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</si>
  <si>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</si>
  <si>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</si>
  <si>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</si>
  <si>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</si>
  <si>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</si>
  <si>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</si>
  <si>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</si>
  <si>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</si>
  <si>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</si>
  <si>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</si>
  <si>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</si>
  <si>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</si>
  <si>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</si>
  <si>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</si>
  <si>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</si>
  <si>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</si>
  <si>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</si>
  <si>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</si>
  <si>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</si>
  <si>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</si>
  <si>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</si>
  <si>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</si>
  <si>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</si>
  <si>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</si>
  <si>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</si>
  <si>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</si>
  <si>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</si>
  <si>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</si>
  <si>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</si>
  <si>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</si>
  <si>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</si>
  <si>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</si>
  <si>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</si>
  <si>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</si>
  <si>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</si>
  <si>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</si>
  <si>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</si>
  <si>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</si>
  <si>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</si>
  <si>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</si>
  <si>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</si>
  <si>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</si>
  <si>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</si>
  <si>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</si>
  <si>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</si>
  <si>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</si>
  <si>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</si>
  <si>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</si>
  <si>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</si>
  <si>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</si>
  <si>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</si>
  <si>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</si>
  <si>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</si>
  <si>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</si>
  <si>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</si>
  <si>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</si>
  <si>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</si>
  <si>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</si>
  <si>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</si>
  <si>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</si>
  <si>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</si>
  <si>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</si>
  <si>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</si>
  <si>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</si>
  <si>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</si>
  <si>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</si>
  <si>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</si>
  <si>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</si>
  <si>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</si>
  <si>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</si>
  <si>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</si>
  <si>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</si>
  <si>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</si>
  <si>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</si>
  <si>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</si>
  <si>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</si>
  <si>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</si>
  <si>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</si>
  <si>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</si>
  <si>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</si>
  <si>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</si>
  <si>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</si>
  <si>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</si>
  <si>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</si>
  <si>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</si>
  <si>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</si>
  <si>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</si>
  <si>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</si>
  <si>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</si>
  <si>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</si>
  <si>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</si>
  <si>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</si>
  <si>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</si>
  <si>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</si>
  <si>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</si>
  <si>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</si>
  <si>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</si>
  <si>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</si>
  <si>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</si>
  <si>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</si>
  <si>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</si>
  <si>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</si>
  <si>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</si>
  <si>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</si>
  <si>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</si>
  <si>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</si>
  <si>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</si>
  <si>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</si>
  <si>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</si>
  <si>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</si>
  <si>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</si>
  <si>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</si>
  <si>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</si>
  <si>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</si>
  <si>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</si>
  <si>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</si>
  <si>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</si>
  <si>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</si>
  <si>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</si>
  <si>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</si>
  <si>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</si>
  <si>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</si>
  <si>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</si>
  <si>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</si>
  <si>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</si>
  <si>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</si>
  <si>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</si>
  <si>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</si>
  <si>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</si>
  <si>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</si>
  <si>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</si>
  <si>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</si>
  <si>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</si>
  <si>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</si>
  <si>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</si>
  <si>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</si>
  <si>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</si>
  <si>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</si>
  <si>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</si>
  <si>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</si>
  <si>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</si>
  <si>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</si>
  <si>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</si>
  <si>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</si>
  <si>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</si>
  <si>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</si>
  <si>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</si>
  <si>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</si>
  <si>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</si>
  <si>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</si>
  <si>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</si>
  <si>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</si>
  <si>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</si>
  <si>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</si>
  <si>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</si>
  <si>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</si>
  <si>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</si>
  <si>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</si>
  <si>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</si>
  <si>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</si>
  <si>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</si>
  <si>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</si>
  <si>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</si>
  <si>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</si>
  <si>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</si>
  <si>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</si>
  <si>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</si>
  <si>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</si>
  <si>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</si>
  <si>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</si>
  <si>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</si>
  <si>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</si>
  <si>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</si>
  <si>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</si>
  <si>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</si>
  <si>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</si>
  <si>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</si>
  <si>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</si>
  <si>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</si>
  <si>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</si>
  <si>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</si>
  <si>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</si>
  <si>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</si>
  <si>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</si>
  <si>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</si>
  <si>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</si>
  <si>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</si>
  <si>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</si>
  <si>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</si>
  <si>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</si>
  <si>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</si>
  <si>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</si>
  <si>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</si>
  <si>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</si>
  <si>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</si>
  <si>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</si>
  <si>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</si>
  <si>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</si>
  <si>
    <t>Araki et al.</t>
  </si>
  <si>
    <t>Comparison of the performance of experienced and novice surgeons: measurement of gripping force during laparoscopic surgery performed on pigs using forceps with pressure sensors</t>
  </si>
  <si>
    <t>The plot shows that novices grasped with force that is slightly over 8, but the text reports 7.15. Typo in text? SDs evaluated from boxplots. 4 novices and 4 experts, task completed twice.</t>
  </si>
  <si>
    <t>Hopmans et al.</t>
  </si>
  <si>
    <t>Assessment of surgery residents' operative skills in the operating theater using a modified Objective Structured Assessment of Technical Skills (OSATS): A prospective multicenter study</t>
  </si>
  <si>
    <t>Laparoscopic Cholecystectomy</t>
  </si>
  <si>
    <t>Study included various tasks and techniques, results are for laparoscopic cholecystectomy. Novices are PGY1-2 and experts PGY5-6</t>
  </si>
  <si>
    <t>Rittenhouse et al.</t>
  </si>
  <si>
    <t>Design and validation of an assessment tool for open surgical procedures</t>
  </si>
  <si>
    <t>Used Wii (IR sensor) and Patrio EM tracking. Results are for the Patriot tracking system. Values estimated from barplot (Fig. 6)</t>
  </si>
  <si>
    <t>Mazomenos et al.</t>
  </si>
  <si>
    <t>Catheter manipulation analysis for objective performance and technical skills assessment in transcatheter aortic valve implantation</t>
  </si>
  <si>
    <t>Transcathether aortic valve implantation</t>
  </si>
  <si>
    <t>Task was performed with conventional tools and with robotic tools. Results are for conventional tools. There were 2 stages, results here are for stage 1. SDs evaluated from boxplots (Fig. 5). Expert jerk weirdly small?</t>
  </si>
  <si>
    <t>Face and Construct Validity of a Novel Virtual Reality–Based Bimanual Laparoscopic Force-Skills Trainer With Haptics Feedback</t>
  </si>
  <si>
    <t>Dissection and suturing, simulated</t>
  </si>
  <si>
    <t>Results are for the suturing task, non-dominant hand, mean needle force. Same dataset as in Prasad (2016)?</t>
  </si>
  <si>
    <t>Amiel et al.</t>
  </si>
  <si>
    <t>Experienced surgeons versus novice surgery residents: Validating a novel knot tying simulator for vessel ligation</t>
  </si>
  <si>
    <t>Surgery</t>
  </si>
  <si>
    <t>4 different knot types, each completed twice. 15 experts and 30 novices. Results are for the deep two hand knot (Fig. 2). Effects estimated from the plot, for Total Force.</t>
  </si>
  <si>
    <t>Yoshida et al.</t>
  </si>
  <si>
    <t>Analysis of laparoscopic dissection skill by instrument tip force measurement</t>
  </si>
  <si>
    <t>Dissection</t>
  </si>
  <si>
    <t>Peak horizontal force results used. 10 novices and 10 experts, each performed the task 10 times</t>
  </si>
  <si>
    <t>de Mathelin et al.</t>
  </si>
  <si>
    <t>Sensors</t>
  </si>
  <si>
    <t>Sensors for expert grip force profiling: Towards benchmarking manual control of a robotic device for surgical tool movements</t>
  </si>
  <si>
    <t>4-step-pick-and-drop</t>
  </si>
  <si>
    <t>Results are for non-dominant hand, sensor 6 (S6), which was placed on the ring finger. Expert user was right-handed and novice left-handed. One expert, one novice participant. Expert results are for 12 sessions, novice results are for 10 sessions.</t>
  </si>
  <si>
    <t>Balasundaram et al.</t>
  </si>
  <si>
    <t>Acquisition of microvascular suturing techniques is feasible using objective measures of performance outside of the operating room</t>
  </si>
  <si>
    <t>British Journal of Oral and Maxillofacial Surgery</t>
  </si>
  <si>
    <t>Results for novices are for post-intervention (training), fig 5. Effects estimated from the figure.</t>
  </si>
  <si>
    <t>Glarner et al.</t>
  </si>
  <si>
    <t>Quantifying technical skills during open operations using video-based motion analysis</t>
  </si>
  <si>
    <t>Reduction mammoplasty</t>
  </si>
  <si>
    <t>Effects and SDs estimated from fig 3. Effects are for non-dominant hand (ND). The task was split into four sub-tasks, resultsh ere are for suturing, C. Six patients operated on, novice and expert performed the same operation in parallel</t>
  </si>
  <si>
    <t>Zhenzhu et al.</t>
  </si>
  <si>
    <t>Feasibility Study of the Low-Cost Motion Tracking System for Assessing Endoscope Holding Skills</t>
  </si>
  <si>
    <t>Endoscopic camera alignment</t>
  </si>
  <si>
    <t>Values estimated from boxplots (Fig. 6), for the 0' setup.</t>
  </si>
  <si>
    <t>Values estimated from boxplots (Fig. 6), for the 0' setup. Max acceleration</t>
  </si>
  <si>
    <t>Franco-González et al.</t>
  </si>
  <si>
    <t>Development of a 3D Motion Tracking System for the Analysis of Skills in Microsurgery</t>
  </si>
  <si>
    <t>Journal of Medical Systems</t>
  </si>
  <si>
    <t>Transferring and suturing</t>
  </si>
  <si>
    <t>Values are for the suturing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</si>
</sst>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2"/>
  <sheetViews>
    <sheetView tabSelected="1" workbookViewId="0">
      <selection activeCell="J36" sqref="J36"/>
    </sheetView>
  </sheetViews>
  <sheetFormatPr defaultRowHeight="14.4" x14ac:dyDescent="0.3"/>
  <cols>
    <col min="2" max="2" width="16.44140625" customWidth="1"/>
    <col min="5" max="5" width="18.88671875" customWidth="1"/>
    <col min="6" max="6" width="27" customWidth="1"/>
    <col min="10" max="12" width="8.88671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72</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72</v>
      </c>
      <c r="G3" t="s">
        <v>11</v>
      </c>
      <c r="I3">
        <v>18</v>
      </c>
      <c r="J3">
        <v>330.02</v>
      </c>
      <c r="K3">
        <v>96.52</v>
      </c>
      <c r="L3">
        <v>19</v>
      </c>
      <c r="M3">
        <v>258.52</v>
      </c>
      <c r="N3">
        <v>102.14</v>
      </c>
      <c r="O3">
        <f t="shared" ref="O3:O30" si="0">SQRT(((I3-1)*POWER(K3,2) + (L3-1)*POWER(N3,2))/((I3-1)+(L3-1)))</f>
        <v>99.449960080434423</v>
      </c>
      <c r="P3">
        <f t="shared" ref="P3:P30" si="1">(J3-M3)/O3</f>
        <v>0.71895453695679024</v>
      </c>
      <c r="Q3">
        <f t="shared" ref="Q3:Q30" si="2">P3*(1- (3/(4*(I3+L3)-9)))</f>
        <v>0.70343753256203934</v>
      </c>
      <c r="R3">
        <f t="shared" ref="R3:R30" si="3">SQRT((I3+L3)/(I3*L3)+(POWER(P3,2)/(2*(I3+L3))))</f>
        <v>0.33937031474894647</v>
      </c>
    </row>
    <row r="4" spans="1:18" x14ac:dyDescent="0.3">
      <c r="A4">
        <v>2</v>
      </c>
      <c r="B4" t="s">
        <v>17</v>
      </c>
      <c r="C4">
        <v>2015</v>
      </c>
      <c r="D4" t="s">
        <v>18</v>
      </c>
      <c r="E4" t="s">
        <v>19</v>
      </c>
      <c r="F4" t="s">
        <v>72</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307</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307</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77</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77</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77</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77</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77</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147</v>
      </c>
      <c r="G12" t="s">
        <v>61</v>
      </c>
      <c r="H12" t="s">
        <v>62</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63</v>
      </c>
      <c r="C13">
        <v>2004</v>
      </c>
      <c r="D13" t="s">
        <v>64</v>
      </c>
      <c r="E13" t="s">
        <v>65</v>
      </c>
      <c r="F13" t="s">
        <v>77</v>
      </c>
      <c r="G13" t="s">
        <v>66</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70</v>
      </c>
      <c r="C14">
        <v>2010</v>
      </c>
      <c r="D14" t="s">
        <v>71</v>
      </c>
      <c r="E14" t="s">
        <v>72</v>
      </c>
      <c r="F14" t="s">
        <v>72</v>
      </c>
      <c r="G14" t="s">
        <v>73</v>
      </c>
      <c r="H14" t="s">
        <v>74</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76</v>
      </c>
      <c r="C15">
        <v>1999</v>
      </c>
      <c r="D15" t="s">
        <v>75</v>
      </c>
      <c r="E15" t="s">
        <v>79</v>
      </c>
      <c r="F15" t="s">
        <v>77</v>
      </c>
      <c r="G15" t="s">
        <v>78</v>
      </c>
      <c r="H15" t="s">
        <v>80</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128</v>
      </c>
      <c r="C16">
        <v>2021</v>
      </c>
      <c r="D16" t="s">
        <v>129</v>
      </c>
      <c r="E16" t="s">
        <v>130</v>
      </c>
      <c r="F16" t="s">
        <v>77</v>
      </c>
      <c r="G16" t="s">
        <v>131</v>
      </c>
      <c r="H16" t="s">
        <v>132</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144</v>
      </c>
      <c r="C17">
        <v>2001</v>
      </c>
      <c r="D17" t="s">
        <v>145</v>
      </c>
      <c r="E17" t="s">
        <v>146</v>
      </c>
      <c r="F17" t="s">
        <v>147</v>
      </c>
      <c r="G17" t="s">
        <v>78</v>
      </c>
      <c r="H17" t="s">
        <v>148</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149</v>
      </c>
      <c r="C18">
        <v>2012</v>
      </c>
      <c r="D18" t="s">
        <v>150</v>
      </c>
      <c r="E18" t="s">
        <v>87</v>
      </c>
      <c r="F18" t="s">
        <v>77</v>
      </c>
      <c r="G18" t="s">
        <v>131</v>
      </c>
      <c r="H18" t="s">
        <v>299</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159</v>
      </c>
      <c r="C19">
        <v>2007</v>
      </c>
      <c r="D19" t="s">
        <v>160</v>
      </c>
      <c r="E19" t="s">
        <v>161</v>
      </c>
      <c r="F19" t="s">
        <v>77</v>
      </c>
      <c r="G19" t="s">
        <v>157</v>
      </c>
      <c r="H19" t="s">
        <v>162</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171</v>
      </c>
      <c r="C20">
        <v>2010</v>
      </c>
      <c r="D20" t="s">
        <v>172</v>
      </c>
      <c r="E20" t="s">
        <v>33</v>
      </c>
      <c r="F20" t="s">
        <v>77</v>
      </c>
      <c r="G20" t="s">
        <v>173</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89</v>
      </c>
      <c r="C21">
        <v>2013</v>
      </c>
      <c r="D21" t="s">
        <v>178</v>
      </c>
      <c r="E21" t="s">
        <v>38</v>
      </c>
      <c r="F21" t="s">
        <v>77</v>
      </c>
      <c r="H21" t="s">
        <v>177</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226</v>
      </c>
      <c r="C22">
        <v>2018</v>
      </c>
      <c r="D22" t="s">
        <v>227</v>
      </c>
      <c r="E22" t="s">
        <v>228</v>
      </c>
      <c r="F22" t="s">
        <v>307</v>
      </c>
      <c r="G22" t="s">
        <v>230</v>
      </c>
      <c r="H22" t="s">
        <v>231</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163</v>
      </c>
      <c r="C23">
        <v>2011</v>
      </c>
      <c r="D23" t="s">
        <v>233</v>
      </c>
      <c r="E23" t="s">
        <v>33</v>
      </c>
      <c r="F23" t="s">
        <v>77</v>
      </c>
      <c r="G23" t="s">
        <v>57</v>
      </c>
      <c r="H23" t="s">
        <v>235</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201</v>
      </c>
      <c r="C24">
        <v>2009</v>
      </c>
      <c r="D24" t="s">
        <v>202</v>
      </c>
      <c r="E24" t="s">
        <v>154</v>
      </c>
      <c r="F24" t="s">
        <v>77</v>
      </c>
      <c r="G24" t="s">
        <v>203</v>
      </c>
      <c r="H24" t="s">
        <v>239</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245</v>
      </c>
      <c r="C25">
        <v>2021</v>
      </c>
      <c r="D25" t="s">
        <v>246</v>
      </c>
      <c r="E25" t="s">
        <v>28</v>
      </c>
      <c r="F25" t="s">
        <v>77</v>
      </c>
      <c r="G25" t="s">
        <v>131</v>
      </c>
      <c r="H25" t="s">
        <v>297</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301</v>
      </c>
      <c r="C26">
        <v>2010</v>
      </c>
      <c r="D26" t="s">
        <v>302</v>
      </c>
      <c r="E26" t="s">
        <v>38</v>
      </c>
      <c r="F26" t="s">
        <v>77</v>
      </c>
      <c r="G26" t="s">
        <v>131</v>
      </c>
      <c r="H26" t="s">
        <v>303</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row r="27" spans="1:18" x14ac:dyDescent="0.3">
      <c r="A27">
        <v>25</v>
      </c>
      <c r="B27" t="s">
        <v>349</v>
      </c>
      <c r="C27">
        <v>2014</v>
      </c>
      <c r="D27" t="s">
        <v>350</v>
      </c>
      <c r="E27" t="s">
        <v>33</v>
      </c>
      <c r="F27" t="s">
        <v>77</v>
      </c>
      <c r="G27" t="s">
        <v>157</v>
      </c>
      <c r="H27" t="s">
        <v>351</v>
      </c>
      <c r="I27">
        <v>11</v>
      </c>
      <c r="J27">
        <v>38</v>
      </c>
      <c r="K27">
        <v>5</v>
      </c>
      <c r="L27">
        <v>5</v>
      </c>
      <c r="M27">
        <v>20</v>
      </c>
      <c r="N27">
        <v>2</v>
      </c>
      <c r="O27">
        <f t="shared" si="0"/>
        <v>4.358898943540674</v>
      </c>
      <c r="P27">
        <f t="shared" si="1"/>
        <v>4.1294832096701111</v>
      </c>
      <c r="Q27">
        <f t="shared" si="2"/>
        <v>3.9042386709608321</v>
      </c>
      <c r="R27">
        <f t="shared" si="3"/>
        <v>0.90763639622438896</v>
      </c>
    </row>
    <row r="28" spans="1:18" x14ac:dyDescent="0.3">
      <c r="A28">
        <v>26</v>
      </c>
      <c r="B28" t="s">
        <v>305</v>
      </c>
      <c r="C28">
        <v>2021</v>
      </c>
      <c r="D28" t="s">
        <v>223</v>
      </c>
      <c r="E28" t="s">
        <v>154</v>
      </c>
      <c r="F28" t="s">
        <v>147</v>
      </c>
      <c r="G28" t="s">
        <v>224</v>
      </c>
      <c r="H28" t="s">
        <v>225</v>
      </c>
      <c r="I28">
        <v>2</v>
      </c>
      <c r="J28">
        <v>619</v>
      </c>
      <c r="K28">
        <f>(911-328)*(3/4)</f>
        <v>437.25</v>
      </c>
      <c r="L28">
        <v>2</v>
      </c>
      <c r="M28">
        <v>315</v>
      </c>
      <c r="N28">
        <f>(328-303)*(3/4)</f>
        <v>18.75</v>
      </c>
      <c r="O28">
        <f t="shared" si="0"/>
        <v>309.46657735529374</v>
      </c>
      <c r="P28">
        <f t="shared" si="1"/>
        <v>0.98233548384445524</v>
      </c>
      <c r="Q28">
        <f t="shared" si="2"/>
        <v>0.56133456219683153</v>
      </c>
      <c r="R28">
        <f t="shared" si="3"/>
        <v>1.0585947644648968</v>
      </c>
    </row>
    <row r="29" spans="1:18" x14ac:dyDescent="0.3">
      <c r="A29">
        <v>27</v>
      </c>
      <c r="B29" t="s">
        <v>352</v>
      </c>
      <c r="C29">
        <v>2016</v>
      </c>
      <c r="D29" t="s">
        <v>353</v>
      </c>
      <c r="E29" t="s">
        <v>87</v>
      </c>
      <c r="F29" t="s">
        <v>259</v>
      </c>
      <c r="G29" t="s">
        <v>354</v>
      </c>
      <c r="H29" t="s">
        <v>355</v>
      </c>
      <c r="I29">
        <v>6</v>
      </c>
      <c r="J29">
        <v>239.1</v>
      </c>
      <c r="K29">
        <f>150*(3/4)</f>
        <v>112.5</v>
      </c>
      <c r="L29">
        <v>6</v>
      </c>
      <c r="M29">
        <v>34.9</v>
      </c>
      <c r="N29">
        <f>20*(3/4)</f>
        <v>15</v>
      </c>
      <c r="O29">
        <f t="shared" si="0"/>
        <v>80.253504596372608</v>
      </c>
      <c r="P29">
        <f t="shared" si="1"/>
        <v>2.5444371685324465</v>
      </c>
      <c r="Q29">
        <f t="shared" si="2"/>
        <v>2.3487112324914894</v>
      </c>
      <c r="R29">
        <f t="shared" si="3"/>
        <v>0.77658870776324851</v>
      </c>
    </row>
    <row r="30" spans="1:18" x14ac:dyDescent="0.3">
      <c r="A30">
        <v>28</v>
      </c>
      <c r="B30" t="s">
        <v>359</v>
      </c>
      <c r="C30">
        <v>2020</v>
      </c>
      <c r="D30" t="s">
        <v>360</v>
      </c>
      <c r="E30" t="s">
        <v>361</v>
      </c>
      <c r="F30" t="s">
        <v>147</v>
      </c>
      <c r="G30" t="s">
        <v>84</v>
      </c>
      <c r="H30" t="s">
        <v>362</v>
      </c>
      <c r="I30">
        <f>30*2</f>
        <v>60</v>
      </c>
      <c r="J30">
        <v>22</v>
      </c>
      <c r="K30">
        <v>6</v>
      </c>
      <c r="L30">
        <f>15*2</f>
        <v>30</v>
      </c>
      <c r="M30">
        <v>12.5</v>
      </c>
      <c r="N30">
        <v>2.5</v>
      </c>
      <c r="O30">
        <f t="shared" si="0"/>
        <v>5.1182050298198023</v>
      </c>
      <c r="P30">
        <f t="shared" si="1"/>
        <v>1.8561194685736278</v>
      </c>
      <c r="Q30">
        <f t="shared" si="2"/>
        <v>1.84025519961146</v>
      </c>
      <c r="R30">
        <f t="shared" si="3"/>
        <v>0.26294464438164389</v>
      </c>
    </row>
    <row r="31" spans="1:18" x14ac:dyDescent="0.3">
      <c r="A31">
        <v>29</v>
      </c>
      <c r="B31" t="s">
        <v>372</v>
      </c>
      <c r="C31">
        <v>2022</v>
      </c>
      <c r="D31" t="s">
        <v>373</v>
      </c>
      <c r="E31" t="s">
        <v>374</v>
      </c>
      <c r="F31" t="s">
        <v>72</v>
      </c>
      <c r="G31" t="s">
        <v>78</v>
      </c>
      <c r="H31" t="s">
        <v>375</v>
      </c>
      <c r="I31">
        <v>10</v>
      </c>
      <c r="J31">
        <v>1000</v>
      </c>
      <c r="K31">
        <f>500*(3/4)</f>
        <v>375</v>
      </c>
      <c r="L31">
        <v>10</v>
      </c>
      <c r="M31">
        <v>750</v>
      </c>
      <c r="N31">
        <f>200*(3/4)</f>
        <v>150</v>
      </c>
      <c r="O31">
        <f t="shared" ref="O31:O32" si="4">SQRT(((I31-1)*POWER(K31,2) + (L31-1)*POWER(N31,2))/((I31-1)+(L31-1)))</f>
        <v>285.59149146989654</v>
      </c>
      <c r="P31">
        <f t="shared" ref="P31:P32" si="5">(J31-M31)/O31</f>
        <v>0.87537621906481711</v>
      </c>
      <c r="Q31">
        <f t="shared" ref="Q31:Q32" si="6">P31*(1- (3/(4*(I31+L31)-9)))</f>
        <v>0.8383884914986981</v>
      </c>
      <c r="R31">
        <f t="shared" ref="R31:R32" si="7">SQRT((I31+L31)/(I31*L31)+(POWER(P31,2)/(2*(I31+L31))))</f>
        <v>0.46814216657187097</v>
      </c>
    </row>
    <row r="32" spans="1:18" x14ac:dyDescent="0.3">
      <c r="A32">
        <v>30</v>
      </c>
      <c r="B32" t="s">
        <v>385</v>
      </c>
      <c r="C32">
        <v>2021</v>
      </c>
      <c r="D32" t="s">
        <v>386</v>
      </c>
      <c r="E32" t="s">
        <v>387</v>
      </c>
      <c r="F32" t="s">
        <v>72</v>
      </c>
      <c r="G32" t="s">
        <v>388</v>
      </c>
      <c r="H32" t="s">
        <v>389</v>
      </c>
      <c r="I32">
        <v>9</v>
      </c>
      <c r="J32">
        <v>97.68</v>
      </c>
      <c r="K32">
        <v>42.51</v>
      </c>
      <c r="L32">
        <v>5</v>
      </c>
      <c r="M32">
        <v>32.799999999999997</v>
      </c>
      <c r="N32">
        <v>6.71</v>
      </c>
      <c r="O32">
        <f t="shared" si="4"/>
        <v>34.924796825942074</v>
      </c>
      <c r="P32">
        <f t="shared" si="5"/>
        <v>1.8577058679352794</v>
      </c>
      <c r="Q32">
        <f t="shared" si="6"/>
        <v>1.7391288976415382</v>
      </c>
      <c r="R32">
        <f t="shared" si="7"/>
        <v>0.65906270574398418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workbookViewId="0">
      <selection activeCell="H40" sqref="H40"/>
    </sheetView>
  </sheetViews>
  <sheetFormatPr defaultRowHeight="14.4" x14ac:dyDescent="0.3"/>
  <cols>
    <col min="2" max="2" width="20.332031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106</v>
      </c>
      <c r="C2">
        <v>2020</v>
      </c>
      <c r="D2" t="s">
        <v>107</v>
      </c>
      <c r="E2" t="s">
        <v>108</v>
      </c>
      <c r="F2" t="s">
        <v>109</v>
      </c>
      <c r="G2" t="s">
        <v>110</v>
      </c>
      <c r="H2" t="s">
        <v>111</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112</v>
      </c>
      <c r="C3">
        <v>2019</v>
      </c>
      <c r="D3" t="s">
        <v>113</v>
      </c>
      <c r="E3" t="s">
        <v>114</v>
      </c>
      <c r="F3" t="s">
        <v>115</v>
      </c>
      <c r="G3" t="s">
        <v>116</v>
      </c>
      <c r="H3" t="s">
        <v>117</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118</v>
      </c>
      <c r="C4">
        <v>2018</v>
      </c>
      <c r="D4" t="s">
        <v>119</v>
      </c>
      <c r="E4" t="s">
        <v>120</v>
      </c>
      <c r="F4" t="s">
        <v>72</v>
      </c>
      <c r="G4" t="s">
        <v>121</v>
      </c>
      <c r="H4" t="s">
        <v>122</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123</v>
      </c>
      <c r="C5">
        <v>2019</v>
      </c>
      <c r="D5" t="s">
        <v>124</v>
      </c>
      <c r="E5" t="s">
        <v>125</v>
      </c>
      <c r="F5" t="s">
        <v>77</v>
      </c>
      <c r="G5" t="s">
        <v>126</v>
      </c>
      <c r="H5" t="s">
        <v>127</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134</v>
      </c>
      <c r="C6">
        <v>2020</v>
      </c>
      <c r="D6" t="s">
        <v>133</v>
      </c>
      <c r="E6" t="s">
        <v>135</v>
      </c>
      <c r="F6" t="s">
        <v>136</v>
      </c>
      <c r="G6" t="s">
        <v>137</v>
      </c>
      <c r="H6" t="s">
        <v>138</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139</v>
      </c>
      <c r="C7">
        <v>2018</v>
      </c>
      <c r="D7" t="s">
        <v>141</v>
      </c>
      <c r="E7" t="s">
        <v>140</v>
      </c>
      <c r="F7" t="s">
        <v>77</v>
      </c>
      <c r="G7" t="s">
        <v>142</v>
      </c>
      <c r="H7" t="s">
        <v>143</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335</v>
      </c>
      <c r="C8">
        <v>2018</v>
      </c>
      <c r="D8" t="s">
        <v>336</v>
      </c>
      <c r="E8" t="s">
        <v>320</v>
      </c>
      <c r="F8" t="s">
        <v>77</v>
      </c>
      <c r="G8" t="s">
        <v>337</v>
      </c>
      <c r="H8" t="s">
        <v>338</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R1" sqref="A1:R1"/>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134</v>
      </c>
      <c r="C2">
        <v>2020</v>
      </c>
      <c r="D2" t="s">
        <v>133</v>
      </c>
      <c r="E2" t="s">
        <v>135</v>
      </c>
      <c r="F2" t="s">
        <v>136</v>
      </c>
      <c r="G2" t="s">
        <v>137</v>
      </c>
      <c r="H2" t="s">
        <v>138</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335</v>
      </c>
      <c r="C3">
        <v>2018</v>
      </c>
      <c r="D3" t="s">
        <v>336</v>
      </c>
      <c r="E3" t="s">
        <v>320</v>
      </c>
      <c r="F3" t="s">
        <v>77</v>
      </c>
      <c r="G3" t="s">
        <v>337</v>
      </c>
      <c r="H3" t="s">
        <v>338</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A30E-38AD-4AA4-A25F-0DF14F283FD0}">
  <dimension ref="A1:R1"/>
  <sheetViews>
    <sheetView workbookViewId="0">
      <selection activeCell="F21" sqref="F21"/>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12"/>
  <sheetViews>
    <sheetView workbookViewId="0">
      <selection activeCell="H23" sqref="H23"/>
    </sheetView>
  </sheetViews>
  <sheetFormatPr defaultRowHeight="14.4" x14ac:dyDescent="0.3"/>
  <cols>
    <col min="2" max="2" width="16.6640625" customWidth="1"/>
    <col min="8" max="8" width="49.777343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17</v>
      </c>
      <c r="C2">
        <v>2015</v>
      </c>
      <c r="D2" t="s">
        <v>236</v>
      </c>
      <c r="E2" t="s">
        <v>19</v>
      </c>
      <c r="F2" t="s">
        <v>72</v>
      </c>
      <c r="G2" t="s">
        <v>237</v>
      </c>
      <c r="H2" t="s">
        <v>269</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270</v>
      </c>
      <c r="C3">
        <v>2016</v>
      </c>
      <c r="D3" t="s">
        <v>271</v>
      </c>
      <c r="E3" t="s">
        <v>28</v>
      </c>
      <c r="F3" t="s">
        <v>77</v>
      </c>
      <c r="G3" t="s">
        <v>272</v>
      </c>
      <c r="H3" t="s">
        <v>273</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274</v>
      </c>
      <c r="C4">
        <v>2014</v>
      </c>
      <c r="D4" t="s">
        <v>275</v>
      </c>
      <c r="E4" t="s">
        <v>276</v>
      </c>
      <c r="F4" t="s">
        <v>77</v>
      </c>
      <c r="G4" t="s">
        <v>131</v>
      </c>
      <c r="H4" t="s">
        <v>277</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278</v>
      </c>
      <c r="C5">
        <v>2014</v>
      </c>
      <c r="D5" t="s">
        <v>279</v>
      </c>
      <c r="E5" t="s">
        <v>33</v>
      </c>
      <c r="F5" t="s">
        <v>77</v>
      </c>
      <c r="G5" t="s">
        <v>280</v>
      </c>
      <c r="H5" t="s">
        <v>281</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282</v>
      </c>
      <c r="C6">
        <v>2007</v>
      </c>
      <c r="D6" t="s">
        <v>283</v>
      </c>
      <c r="E6" t="s">
        <v>284</v>
      </c>
      <c r="F6" t="s">
        <v>147</v>
      </c>
      <c r="G6" t="s">
        <v>285</v>
      </c>
      <c r="H6" t="s">
        <v>286</v>
      </c>
      <c r="I6">
        <v>12</v>
      </c>
      <c r="J6">
        <v>122</v>
      </c>
      <c r="K6">
        <f>12*(3/4)</f>
        <v>9</v>
      </c>
      <c r="L6">
        <v>7</v>
      </c>
      <c r="M6">
        <v>88</v>
      </c>
      <c r="N6">
        <f>10*(3/4)</f>
        <v>7.5</v>
      </c>
      <c r="O6">
        <f t="shared" ref="O6:O8" si="16">SQRT(((I6-1)*POWER(K6,2) + (L6-1)*POWER(N6,2))/((I6-1)+(L6-1)))</f>
        <v>8.5008650078890753</v>
      </c>
      <c r="P6">
        <f t="shared" ref="P6:P8" si="17">(J6-M6)/O6</f>
        <v>3.9995929788847264</v>
      </c>
      <c r="Q6">
        <f t="shared" ref="Q6:Q8" si="18">P6*(1- (3/(4*(I6+L6)-9)))</f>
        <v>3.8205067260988432</v>
      </c>
      <c r="R6">
        <f t="shared" ref="R6:R8" si="19">SQRT((I6+L6)/(I6*L6)+(POWER(P6,2)/(2*(I6+L6))))</f>
        <v>0.80446095211216628</v>
      </c>
    </row>
    <row r="7" spans="1:18" x14ac:dyDescent="0.3">
      <c r="A7">
        <v>6</v>
      </c>
      <c r="B7" t="s">
        <v>287</v>
      </c>
      <c r="C7">
        <v>2018</v>
      </c>
      <c r="D7" t="s">
        <v>289</v>
      </c>
      <c r="E7" t="s">
        <v>288</v>
      </c>
      <c r="F7" t="s">
        <v>72</v>
      </c>
      <c r="G7" t="s">
        <v>291</v>
      </c>
      <c r="H7" t="s">
        <v>290</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row r="8" spans="1:18" x14ac:dyDescent="0.3">
      <c r="A8">
        <v>7</v>
      </c>
      <c r="B8" t="s">
        <v>342</v>
      </c>
      <c r="C8">
        <v>2017</v>
      </c>
      <c r="D8" t="s">
        <v>343</v>
      </c>
      <c r="E8" t="s">
        <v>33</v>
      </c>
      <c r="H8" t="s">
        <v>344</v>
      </c>
      <c r="I8">
        <v>8</v>
      </c>
      <c r="J8">
        <v>8.16</v>
      </c>
      <c r="K8">
        <f>6*(3/4)</f>
        <v>4.5</v>
      </c>
      <c r="L8">
        <v>8</v>
      </c>
      <c r="M8">
        <v>3.06</v>
      </c>
      <c r="N8">
        <f>1.4*(3/4)</f>
        <v>1.0499999999999998</v>
      </c>
      <c r="O8">
        <f t="shared" si="16"/>
        <v>3.2674531366187947</v>
      </c>
      <c r="P8">
        <f t="shared" si="17"/>
        <v>1.5608487059366212</v>
      </c>
      <c r="Q8">
        <f t="shared" si="18"/>
        <v>1.4757115037946236</v>
      </c>
      <c r="R8">
        <f t="shared" si="19"/>
        <v>0.57108035453712713</v>
      </c>
    </row>
    <row r="9" spans="1:18" x14ac:dyDescent="0.3">
      <c r="A9">
        <v>8</v>
      </c>
      <c r="B9" t="s">
        <v>270</v>
      </c>
      <c r="C9">
        <v>2018</v>
      </c>
      <c r="D9" t="s">
        <v>356</v>
      </c>
      <c r="E9" t="s">
        <v>198</v>
      </c>
      <c r="F9" t="s">
        <v>77</v>
      </c>
      <c r="G9" t="s">
        <v>357</v>
      </c>
      <c r="H9" t="s">
        <v>358</v>
      </c>
      <c r="I9">
        <v>25</v>
      </c>
      <c r="J9">
        <v>7.52</v>
      </c>
      <c r="K9">
        <v>0.55000000000000004</v>
      </c>
      <c r="L9">
        <v>25</v>
      </c>
      <c r="M9">
        <v>9.8800000000000008</v>
      </c>
      <c r="N9">
        <v>0.82</v>
      </c>
      <c r="O9">
        <f t="shared" ref="O9" si="20">SQRT(((I9-1)*POWER(K9,2) + (L9-1)*POWER(N9,2))/((I9-1)+(L9-1)))</f>
        <v>0.69817619552660204</v>
      </c>
      <c r="P9">
        <f t="shared" ref="P9" si="21">(J9-M9)/O9</f>
        <v>-3.3802355553242003</v>
      </c>
      <c r="Q9">
        <f t="shared" ref="Q9" si="22">P9*(1- (3/(4*(I9+L9)-9)))</f>
        <v>-3.3271428502667524</v>
      </c>
      <c r="R9">
        <f t="shared" ref="R9" si="23">SQRT((I9+L9)/(I9*L9)+(POWER(P9,2)/(2*(I9+L9))))</f>
        <v>0.44074927577340278</v>
      </c>
    </row>
    <row r="10" spans="1:18" x14ac:dyDescent="0.3">
      <c r="A10">
        <v>9</v>
      </c>
      <c r="B10" t="s">
        <v>359</v>
      </c>
      <c r="C10">
        <v>2020</v>
      </c>
      <c r="D10" t="s">
        <v>360</v>
      </c>
      <c r="E10" t="s">
        <v>361</v>
      </c>
      <c r="F10" t="s">
        <v>147</v>
      </c>
      <c r="G10" t="s">
        <v>84</v>
      </c>
      <c r="H10" t="s">
        <v>362</v>
      </c>
      <c r="I10">
        <f>30*2</f>
        <v>60</v>
      </c>
      <c r="J10">
        <v>12</v>
      </c>
      <c r="K10">
        <v>7.5</v>
      </c>
      <c r="L10">
        <f>15*2</f>
        <v>30</v>
      </c>
      <c r="M10">
        <v>5</v>
      </c>
      <c r="N10">
        <v>2.5</v>
      </c>
      <c r="O10">
        <f t="shared" ref="O10" si="24">SQRT(((I10-1)*POWER(K10,2) + (L10-1)*POWER(N10,2))/((I10-1)+(L10-1)))</f>
        <v>6.3065622388689127</v>
      </c>
      <c r="P10">
        <f t="shared" ref="P10" si="25">(J10-M10)/O10</f>
        <v>1.1099549540409286</v>
      </c>
      <c r="Q10">
        <f t="shared" ref="Q10" si="26">P10*(1- (3/(4*(I10+L10)-9)))</f>
        <v>1.1004681595619463</v>
      </c>
      <c r="R10">
        <f t="shared" ref="R10" si="27">SQRT((I10+L10)/(I10*L10)+(POWER(P10,2)/(2*(I10+L10))))</f>
        <v>0.23842072989663557</v>
      </c>
    </row>
    <row r="11" spans="1:18" x14ac:dyDescent="0.3">
      <c r="A11">
        <v>10</v>
      </c>
      <c r="B11" t="s">
        <v>363</v>
      </c>
      <c r="C11">
        <v>2013</v>
      </c>
      <c r="D11" t="s">
        <v>364</v>
      </c>
      <c r="E11" t="s">
        <v>33</v>
      </c>
      <c r="F11" t="s">
        <v>77</v>
      </c>
      <c r="G11" t="s">
        <v>365</v>
      </c>
      <c r="H11" t="s">
        <v>366</v>
      </c>
      <c r="I11">
        <f>10*10</f>
        <v>100</v>
      </c>
      <c r="J11">
        <v>3.25</v>
      </c>
      <c r="K11">
        <v>1.59</v>
      </c>
      <c r="L11">
        <f>10*10</f>
        <v>100</v>
      </c>
      <c r="M11">
        <v>2.8</v>
      </c>
      <c r="N11">
        <v>1.39</v>
      </c>
      <c r="O11">
        <f t="shared" ref="O11" si="28">SQRT(((I11-1)*POWER(K11,2) + (L11-1)*POWER(N11,2))/((I11-1)+(L11-1)))</f>
        <v>1.4933519344079613</v>
      </c>
      <c r="P11">
        <f t="shared" ref="P11" si="29">(J11-M11)/O11</f>
        <v>0.30133553225576559</v>
      </c>
      <c r="Q11">
        <f t="shared" ref="Q11" si="30">P11*(1- (3/(4*(I11+L11)-9)))</f>
        <v>0.30019266677312678</v>
      </c>
      <c r="R11">
        <f t="shared" ref="R11" si="31">SQRT((I11+L11)/(I11*L11)+(POWER(P11,2)/(2*(I11+L11))))</f>
        <v>0.14222168525755721</v>
      </c>
    </row>
    <row r="12" spans="1:18" x14ac:dyDescent="0.3">
      <c r="A12">
        <v>11</v>
      </c>
      <c r="B12" t="s">
        <v>367</v>
      </c>
      <c r="C12">
        <v>2019</v>
      </c>
      <c r="D12" t="s">
        <v>369</v>
      </c>
      <c r="E12" t="s">
        <v>368</v>
      </c>
      <c r="F12" t="s">
        <v>136</v>
      </c>
      <c r="G12" t="s">
        <v>370</v>
      </c>
      <c r="H12" t="s">
        <v>371</v>
      </c>
      <c r="I12">
        <v>10</v>
      </c>
      <c r="J12">
        <v>1063</v>
      </c>
      <c r="K12">
        <v>120</v>
      </c>
      <c r="L12">
        <v>12</v>
      </c>
      <c r="M12">
        <v>371</v>
      </c>
      <c r="N12">
        <v>68</v>
      </c>
      <c r="O12">
        <f t="shared" ref="O12" si="32">SQRT(((I12-1)*POWER(K12,2) + (L12-1)*POWER(N12,2))/((I12-1)+(L12-1)))</f>
        <v>94.990525843370293</v>
      </c>
      <c r="P12">
        <f t="shared" ref="P12" si="33">(J12-M12)/O12</f>
        <v>7.2849370382582945</v>
      </c>
      <c r="Q12">
        <f t="shared" ref="Q12" si="34">P12*(1- (3/(4*(I12+L12)-9)))</f>
        <v>7.0082938595902577</v>
      </c>
      <c r="R12">
        <f t="shared" ref="R12" si="35">SQRT((I12+L12)/(I12*L12)+(POWER(P12,2)/(2*(I12+L12))))</f>
        <v>1.1787606580840262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268</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10"/>
  <sheetViews>
    <sheetView workbookViewId="0">
      <selection activeCell="R13" sqref="R13"/>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308</v>
      </c>
      <c r="C2">
        <v>2016</v>
      </c>
      <c r="D2" t="s">
        <v>309</v>
      </c>
      <c r="E2" t="s">
        <v>310</v>
      </c>
      <c r="F2" t="s">
        <v>77</v>
      </c>
      <c r="H2" t="s">
        <v>311</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312</v>
      </c>
      <c r="C3">
        <v>2021</v>
      </c>
      <c r="D3" t="s">
        <v>313</v>
      </c>
      <c r="E3" t="s">
        <v>28</v>
      </c>
      <c r="H3" t="s">
        <v>314</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315</v>
      </c>
      <c r="C4">
        <v>2011</v>
      </c>
      <c r="D4" t="s">
        <v>316</v>
      </c>
      <c r="E4" t="s">
        <v>161</v>
      </c>
      <c r="F4" t="s">
        <v>77</v>
      </c>
      <c r="G4" t="s">
        <v>131</v>
      </c>
      <c r="H4" t="s">
        <v>317</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318</v>
      </c>
      <c r="C5">
        <v>2010</v>
      </c>
      <c r="D5" t="s">
        <v>319</v>
      </c>
      <c r="E5" t="s">
        <v>320</v>
      </c>
      <c r="H5" t="s">
        <v>321</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322</v>
      </c>
      <c r="C6">
        <v>2009</v>
      </c>
      <c r="D6" t="s">
        <v>323</v>
      </c>
      <c r="E6" t="s">
        <v>324</v>
      </c>
      <c r="H6" t="s">
        <v>325</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326</v>
      </c>
      <c r="C7">
        <v>2008</v>
      </c>
      <c r="D7" t="s">
        <v>327</v>
      </c>
      <c r="E7" t="s">
        <v>328</v>
      </c>
      <c r="H7" t="s">
        <v>329</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330</v>
      </c>
      <c r="C8">
        <v>2005</v>
      </c>
      <c r="D8" t="s">
        <v>331</v>
      </c>
      <c r="E8" t="s">
        <v>332</v>
      </c>
      <c r="G8" t="s">
        <v>333</v>
      </c>
      <c r="H8" t="s">
        <v>334</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339</v>
      </c>
      <c r="C9">
        <v>2013</v>
      </c>
      <c r="D9" t="s">
        <v>340</v>
      </c>
      <c r="E9" t="s">
        <v>146</v>
      </c>
      <c r="F9" t="s">
        <v>77</v>
      </c>
      <c r="G9" t="s">
        <v>337</v>
      </c>
      <c r="H9" t="s">
        <v>341</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row r="10" spans="1:18" x14ac:dyDescent="0.3">
      <c r="A10">
        <v>8</v>
      </c>
      <c r="B10" t="s">
        <v>345</v>
      </c>
      <c r="C10">
        <v>2014</v>
      </c>
      <c r="D10" t="s">
        <v>346</v>
      </c>
      <c r="E10" t="s">
        <v>254</v>
      </c>
      <c r="F10" t="s">
        <v>77</v>
      </c>
      <c r="G10" t="s">
        <v>347</v>
      </c>
      <c r="H10" t="s">
        <v>348</v>
      </c>
      <c r="I10">
        <v>29</v>
      </c>
      <c r="J10">
        <v>7.5</v>
      </c>
      <c r="K10">
        <v>0.77</v>
      </c>
      <c r="L10">
        <v>16</v>
      </c>
      <c r="M10">
        <v>8.8000000000000007</v>
      </c>
      <c r="N10">
        <v>0.49</v>
      </c>
      <c r="O10">
        <f t="shared" ref="O10" si="28">SQRT(((I10-1)*POWER(K10,2) + (L10-1)*POWER(N10,2))/((I10-1)+(L10-1)))</f>
        <v>0.68544163322498841</v>
      </c>
      <c r="P10">
        <f t="shared" ref="P10" si="29">(J10-M10)/O10</f>
        <v>-1.8965874510474774</v>
      </c>
      <c r="Q10">
        <f t="shared" ref="Q10" si="30">P10*(1- (3/(4*(I10+L10)-9)))</f>
        <v>-1.8633139869940127</v>
      </c>
      <c r="R10">
        <f t="shared" ref="R10" si="31">SQRT((I10+L10)/(I10*L10)+(POWER(P10,2)/(2*(I10+L10))))</f>
        <v>0.37006744483393889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22"/>
  <sheetViews>
    <sheetView workbookViewId="0">
      <selection activeCell="A22" sqref="A22:R22"/>
    </sheetView>
  </sheetViews>
  <sheetFormatPr defaultRowHeight="14.4" x14ac:dyDescent="0.3"/>
  <cols>
    <col min="2" max="2" width="25.5546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159</v>
      </c>
      <c r="C2">
        <v>2007</v>
      </c>
      <c r="D2" t="s">
        <v>160</v>
      </c>
      <c r="E2" t="s">
        <v>161</v>
      </c>
      <c r="F2" t="s">
        <v>77</v>
      </c>
      <c r="G2" t="s">
        <v>157</v>
      </c>
      <c r="H2" t="s">
        <v>162</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77</v>
      </c>
      <c r="G3" t="s">
        <v>39</v>
      </c>
      <c r="H3" t="s">
        <v>49</v>
      </c>
      <c r="I3">
        <v>13</v>
      </c>
      <c r="J3">
        <v>10050</v>
      </c>
      <c r="K3">
        <v>7554.5</v>
      </c>
      <c r="L3">
        <v>6</v>
      </c>
      <c r="M3">
        <v>1299.23</v>
      </c>
      <c r="N3">
        <v>437.7</v>
      </c>
      <c r="O3">
        <f t="shared" ref="O3:O19" si="4">SQRT(((I3-1)*POWER(K3,2) + (L3-1)*POWER(N3,2))/((I3-1)+(L3-1)))</f>
        <v>6351.4868544117062</v>
      </c>
      <c r="P3">
        <f t="shared" ref="P3:P19" si="5">(J3-M3)/O3</f>
        <v>1.3777514148394665</v>
      </c>
      <c r="Q3">
        <f t="shared" ref="Q3:Q19" si="6">P3*(1- (3/(4*(I3+L3)-9)))</f>
        <v>1.3160610529809829</v>
      </c>
      <c r="R3">
        <f t="shared" ref="R3:R19" si="7">SQRT((I3+L3)/(I3*L3)+(POWER(P3,2)/(2*(I3+L3))))</f>
        <v>0.54179548524236587</v>
      </c>
    </row>
    <row r="4" spans="1:18" x14ac:dyDescent="0.3">
      <c r="A4">
        <v>2</v>
      </c>
      <c r="B4" t="s">
        <v>36</v>
      </c>
      <c r="C4">
        <v>2002</v>
      </c>
      <c r="D4" t="s">
        <v>37</v>
      </c>
      <c r="E4" t="s">
        <v>38</v>
      </c>
      <c r="F4" t="s">
        <v>77</v>
      </c>
      <c r="G4" t="s">
        <v>157</v>
      </c>
      <c r="H4" t="s">
        <v>158</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149</v>
      </c>
      <c r="C5">
        <v>2012</v>
      </c>
      <c r="D5" t="s">
        <v>150</v>
      </c>
      <c r="E5" t="s">
        <v>87</v>
      </c>
      <c r="F5" t="s">
        <v>77</v>
      </c>
      <c r="G5" t="s">
        <v>131</v>
      </c>
      <c r="H5" t="s">
        <v>151</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306</v>
      </c>
      <c r="C6">
        <v>2021</v>
      </c>
      <c r="D6" t="s">
        <v>167</v>
      </c>
      <c r="E6" t="s">
        <v>87</v>
      </c>
      <c r="F6" t="s">
        <v>147</v>
      </c>
      <c r="H6" t="s">
        <v>168</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175</v>
      </c>
      <c r="C7">
        <v>2017</v>
      </c>
      <c r="D7" t="s">
        <v>176</v>
      </c>
      <c r="E7" t="s">
        <v>33</v>
      </c>
      <c r="F7" t="s">
        <v>77</v>
      </c>
      <c r="G7" t="s">
        <v>121</v>
      </c>
      <c r="H7" t="s">
        <v>177</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89</v>
      </c>
      <c r="C8">
        <v>2013</v>
      </c>
      <c r="D8" t="s">
        <v>178</v>
      </c>
      <c r="E8" t="s">
        <v>38</v>
      </c>
      <c r="F8" t="s">
        <v>77</v>
      </c>
      <c r="H8" t="s">
        <v>177</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196</v>
      </c>
      <c r="C9">
        <v>2013</v>
      </c>
      <c r="D9" t="s">
        <v>197</v>
      </c>
      <c r="E9" t="s">
        <v>198</v>
      </c>
      <c r="F9" t="s">
        <v>77</v>
      </c>
      <c r="G9" t="s">
        <v>199</v>
      </c>
      <c r="H9" t="s">
        <v>200</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201</v>
      </c>
      <c r="C10">
        <v>2009</v>
      </c>
      <c r="D10" t="s">
        <v>202</v>
      </c>
      <c r="E10" t="s">
        <v>154</v>
      </c>
      <c r="F10" t="s">
        <v>77</v>
      </c>
      <c r="G10" t="s">
        <v>203</v>
      </c>
      <c r="H10" t="s">
        <v>204</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218</v>
      </c>
      <c r="C11">
        <v>2015</v>
      </c>
      <c r="D11" t="s">
        <v>219</v>
      </c>
      <c r="E11" t="s">
        <v>220</v>
      </c>
      <c r="F11" t="s">
        <v>147</v>
      </c>
      <c r="G11" t="s">
        <v>221</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226</v>
      </c>
      <c r="C12">
        <v>2018</v>
      </c>
      <c r="D12" t="s">
        <v>227</v>
      </c>
      <c r="E12" t="s">
        <v>228</v>
      </c>
      <c r="F12" t="s">
        <v>229</v>
      </c>
      <c r="G12" t="s">
        <v>230</v>
      </c>
      <c r="H12" t="s">
        <v>232</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169</v>
      </c>
      <c r="E13" t="s">
        <v>28</v>
      </c>
      <c r="F13" t="s">
        <v>136</v>
      </c>
      <c r="G13" t="s">
        <v>155</v>
      </c>
      <c r="H13" t="s">
        <v>170</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163</v>
      </c>
      <c r="C14">
        <v>2011</v>
      </c>
      <c r="D14" t="s">
        <v>233</v>
      </c>
      <c r="E14" t="s">
        <v>33</v>
      </c>
      <c r="F14" t="s">
        <v>77</v>
      </c>
      <c r="G14" t="s">
        <v>57</v>
      </c>
      <c r="H14" t="s">
        <v>234</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236</v>
      </c>
      <c r="E15" t="s">
        <v>19</v>
      </c>
      <c r="F15" t="s">
        <v>72</v>
      </c>
      <c r="G15" t="s">
        <v>237</v>
      </c>
      <c r="H15" t="s">
        <v>238</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184</v>
      </c>
      <c r="C16">
        <v>2021</v>
      </c>
      <c r="D16" t="s">
        <v>185</v>
      </c>
      <c r="E16" t="s">
        <v>33</v>
      </c>
      <c r="F16" t="s">
        <v>77</v>
      </c>
      <c r="G16" t="s">
        <v>186</v>
      </c>
      <c r="H16" t="s">
        <v>249</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301</v>
      </c>
      <c r="C17">
        <v>2010</v>
      </c>
      <c r="D17" t="s">
        <v>302</v>
      </c>
      <c r="E17" t="s">
        <v>38</v>
      </c>
      <c r="F17" t="s">
        <v>77</v>
      </c>
      <c r="G17" t="s">
        <v>131</v>
      </c>
      <c r="H17" t="s">
        <v>303</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row r="18" spans="1:18" x14ac:dyDescent="0.3">
      <c r="A18">
        <v>16</v>
      </c>
      <c r="B18" t="s">
        <v>349</v>
      </c>
      <c r="C18">
        <v>2014</v>
      </c>
      <c r="D18" t="s">
        <v>350</v>
      </c>
      <c r="E18" t="s">
        <v>33</v>
      </c>
      <c r="F18" t="s">
        <v>77</v>
      </c>
      <c r="G18" t="s">
        <v>157</v>
      </c>
      <c r="H18" t="s">
        <v>351</v>
      </c>
      <c r="I18">
        <v>11</v>
      </c>
      <c r="J18">
        <v>290</v>
      </c>
      <c r="K18">
        <v>50</v>
      </c>
      <c r="L18">
        <v>5</v>
      </c>
      <c r="M18">
        <v>140</v>
      </c>
      <c r="N18">
        <v>40</v>
      </c>
      <c r="O18">
        <f t="shared" si="4"/>
        <v>47.358812726430784</v>
      </c>
      <c r="P18">
        <f t="shared" si="5"/>
        <v>3.1673091313854989</v>
      </c>
      <c r="Q18">
        <f t="shared" si="6"/>
        <v>2.9945468151281078</v>
      </c>
      <c r="R18">
        <f t="shared" si="7"/>
        <v>0.77743444343496082</v>
      </c>
    </row>
    <row r="19" spans="1:18" x14ac:dyDescent="0.3">
      <c r="A19">
        <v>17</v>
      </c>
      <c r="B19" t="s">
        <v>372</v>
      </c>
      <c r="C19">
        <v>2022</v>
      </c>
      <c r="D19" t="s">
        <v>373</v>
      </c>
      <c r="E19" t="s">
        <v>374</v>
      </c>
      <c r="F19" t="s">
        <v>72</v>
      </c>
      <c r="G19" t="s">
        <v>78</v>
      </c>
      <c r="H19" t="s">
        <v>375</v>
      </c>
      <c r="I19">
        <v>10</v>
      </c>
      <c r="J19">
        <v>40</v>
      </c>
      <c r="K19">
        <f>20*(3/4)</f>
        <v>15</v>
      </c>
      <c r="L19">
        <v>10</v>
      </c>
      <c r="M19">
        <v>20</v>
      </c>
      <c r="N19">
        <f>20*(3/4)</f>
        <v>15</v>
      </c>
      <c r="O19">
        <f t="shared" si="4"/>
        <v>15</v>
      </c>
      <c r="P19">
        <f t="shared" si="5"/>
        <v>1.3333333333333333</v>
      </c>
      <c r="Q19">
        <f t="shared" si="6"/>
        <v>1.2769953051643192</v>
      </c>
      <c r="R19">
        <f t="shared" si="7"/>
        <v>0.4944132324730442</v>
      </c>
    </row>
    <row r="20" spans="1:18" x14ac:dyDescent="0.3">
      <c r="A20">
        <v>18</v>
      </c>
      <c r="B20" t="s">
        <v>376</v>
      </c>
      <c r="C20">
        <v>2014</v>
      </c>
      <c r="D20" t="s">
        <v>377</v>
      </c>
      <c r="E20" t="s">
        <v>361</v>
      </c>
      <c r="F20" t="s">
        <v>147</v>
      </c>
      <c r="G20" t="s">
        <v>378</v>
      </c>
      <c r="H20" t="s">
        <v>379</v>
      </c>
      <c r="I20">
        <v>6</v>
      </c>
      <c r="J20">
        <v>5.57</v>
      </c>
      <c r="K20">
        <v>4</v>
      </c>
      <c r="L20">
        <v>6</v>
      </c>
      <c r="M20">
        <v>9.73</v>
      </c>
      <c r="N20">
        <v>6</v>
      </c>
      <c r="O20">
        <f t="shared" ref="O20" si="8">SQRT(((I20-1)*POWER(K20,2) + (L20-1)*POWER(N20,2))/((I20-1)+(L20-1)))</f>
        <v>5.0990195135927845</v>
      </c>
      <c r="P20">
        <f t="shared" ref="P20" si="9">(J20-M20)/O20</f>
        <v>-0.81584312217484567</v>
      </c>
      <c r="Q20">
        <f t="shared" ref="Q20" si="10">P20*(1- (3/(4*(I20+L20)-9)))</f>
        <v>-0.7530859589306268</v>
      </c>
      <c r="R20">
        <f t="shared" ref="R20" si="11">SQRT((I20+L20)/(I20*L20)+(POWER(P20,2)/(2*(I20+L20))))</f>
        <v>0.6008882314263333</v>
      </c>
    </row>
    <row r="21" spans="1:18" x14ac:dyDescent="0.3">
      <c r="A21">
        <v>19</v>
      </c>
      <c r="B21" t="s">
        <v>380</v>
      </c>
      <c r="C21">
        <v>2020</v>
      </c>
      <c r="D21" t="s">
        <v>381</v>
      </c>
      <c r="E21" t="s">
        <v>19</v>
      </c>
      <c r="F21" t="s">
        <v>77</v>
      </c>
      <c r="G21" t="s">
        <v>382</v>
      </c>
      <c r="H21" t="s">
        <v>383</v>
      </c>
      <c r="I21">
        <v>6</v>
      </c>
      <c r="J21">
        <v>15000</v>
      </c>
      <c r="K21">
        <f>4000*(3/4)</f>
        <v>3000</v>
      </c>
      <c r="L21">
        <v>3</v>
      </c>
      <c r="M21">
        <v>3000</v>
      </c>
      <c r="N21">
        <v>300</v>
      </c>
      <c r="O21">
        <f t="shared" ref="O21" si="12">SQRT(((I21-1)*POWER(K21,2) + (L21-1)*POWER(N21,2))/((I21-1)+(L21-1)))</f>
        <v>2540.5286289049595</v>
      </c>
      <c r="P21">
        <f t="shared" ref="P21" si="13">(J21-M21)/O21</f>
        <v>4.723426401682528</v>
      </c>
      <c r="Q21">
        <f t="shared" ref="Q21" si="14">P21*(1- (3/(4*(I21+L21)-9)))</f>
        <v>4.1986012459400248</v>
      </c>
      <c r="R21">
        <f t="shared" ref="R21" si="15">SQRT((I21+L21)/(I21*L21)+(POWER(P21,2)/(2*(I21+L21))))</f>
        <v>1.3188959392046977</v>
      </c>
    </row>
    <row r="22" spans="1:18" x14ac:dyDescent="0.3">
      <c r="A22">
        <v>20</v>
      </c>
      <c r="B22" t="s">
        <v>385</v>
      </c>
      <c r="C22">
        <v>2021</v>
      </c>
      <c r="D22" t="s">
        <v>386</v>
      </c>
      <c r="E22" t="s">
        <v>387</v>
      </c>
      <c r="F22" t="s">
        <v>72</v>
      </c>
      <c r="G22" t="s">
        <v>388</v>
      </c>
      <c r="H22" t="s">
        <v>389</v>
      </c>
      <c r="I22">
        <v>9</v>
      </c>
      <c r="J22">
        <v>1.9</v>
      </c>
      <c r="K22">
        <v>0.95</v>
      </c>
      <c r="L22">
        <v>5</v>
      </c>
      <c r="M22">
        <v>0.51</v>
      </c>
      <c r="N22">
        <v>0.23</v>
      </c>
      <c r="O22">
        <f t="shared" ref="O22" si="16">SQRT(((I22-1)*POWER(K22,2) + (L22-1)*POWER(N22,2))/((I22-1)+(L22-1)))</f>
        <v>0.78695616142196889</v>
      </c>
      <c r="P22">
        <f t="shared" ref="P22" si="17">(J22-M22)/O22</f>
        <v>1.7662991512619679</v>
      </c>
      <c r="Q22">
        <f t="shared" ref="Q22" si="18">P22*(1- (3/(4*(I22+L22)-9)))</f>
        <v>1.6535566522452465</v>
      </c>
      <c r="R22">
        <f t="shared" ref="R22" si="19">SQRT((I22+L22)/(I22*L22)+(POWER(P22,2)/(2*(I22+L22))))</f>
        <v>0.65002537870400157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6"/>
  <sheetViews>
    <sheetView workbookViewId="0">
      <selection activeCell="B16" sqref="B16:R16"/>
    </sheetView>
  </sheetViews>
  <sheetFormatPr defaultRowHeight="14.4" x14ac:dyDescent="0.3"/>
  <cols>
    <col min="2" max="2" width="20.66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192</v>
      </c>
      <c r="C2">
        <v>2021</v>
      </c>
      <c r="D2" t="s">
        <v>193</v>
      </c>
      <c r="E2" t="s">
        <v>19</v>
      </c>
      <c r="F2" t="s">
        <v>72</v>
      </c>
      <c r="G2" t="s">
        <v>194</v>
      </c>
      <c r="H2" t="s">
        <v>195</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245</v>
      </c>
      <c r="C3">
        <v>2021</v>
      </c>
      <c r="D3" t="s">
        <v>246</v>
      </c>
      <c r="E3" t="s">
        <v>28</v>
      </c>
      <c r="F3" t="s">
        <v>77</v>
      </c>
      <c r="G3" t="s">
        <v>247</v>
      </c>
      <c r="H3" t="s">
        <v>248</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182</v>
      </c>
      <c r="C4">
        <v>2006</v>
      </c>
      <c r="D4" t="s">
        <v>183</v>
      </c>
      <c r="E4" t="s">
        <v>38</v>
      </c>
      <c r="F4" t="s">
        <v>77</v>
      </c>
      <c r="G4" t="s">
        <v>157</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184</v>
      </c>
      <c r="C5">
        <v>2021</v>
      </c>
      <c r="D5" t="s">
        <v>185</v>
      </c>
      <c r="E5" t="s">
        <v>33</v>
      </c>
      <c r="F5" t="s">
        <v>77</v>
      </c>
      <c r="G5" t="s">
        <v>186</v>
      </c>
      <c r="H5" t="s">
        <v>249</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175</v>
      </c>
      <c r="C6">
        <v>2017</v>
      </c>
      <c r="D6" t="s">
        <v>176</v>
      </c>
      <c r="E6" t="s">
        <v>33</v>
      </c>
      <c r="F6" t="s">
        <v>77</v>
      </c>
      <c r="G6" t="s">
        <v>121</v>
      </c>
      <c r="H6" t="s">
        <v>177</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136</v>
      </c>
      <c r="G7" t="s">
        <v>250</v>
      </c>
      <c r="H7" t="s">
        <v>251</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89</v>
      </c>
      <c r="C8">
        <v>2013</v>
      </c>
      <c r="D8" t="s">
        <v>178</v>
      </c>
      <c r="E8" t="s">
        <v>38</v>
      </c>
      <c r="F8" t="s">
        <v>77</v>
      </c>
      <c r="H8" t="s">
        <v>177</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252</v>
      </c>
      <c r="C9">
        <v>2016</v>
      </c>
      <c r="D9" t="s">
        <v>253</v>
      </c>
      <c r="E9" t="s">
        <v>254</v>
      </c>
      <c r="H9" t="s">
        <v>255</v>
      </c>
      <c r="I9">
        <v>21</v>
      </c>
      <c r="J9">
        <v>219.22</v>
      </c>
      <c r="K9">
        <v>60.81</v>
      </c>
      <c r="L9">
        <v>39</v>
      </c>
      <c r="M9">
        <v>386.7</v>
      </c>
      <c r="N9">
        <v>172.87</v>
      </c>
      <c r="O9">
        <f t="shared" ref="O9:O16" si="16">SQRT(((I9-1)*POWER(K9,2) + (L9-1)*POWER(N9,2))/((I9-1)+(L9-1)))</f>
        <v>144.41024680665365</v>
      </c>
      <c r="P9">
        <f t="shared" ref="P9:P16" si="17">(J9-M9)/O9</f>
        <v>-1.1597514975805956</v>
      </c>
      <c r="Q9">
        <f t="shared" ref="Q9:Q16" si="18">P9*(1- (3/(4*(I9+L9)-9)))</f>
        <v>-1.1446897898198087</v>
      </c>
      <c r="R9">
        <f t="shared" ref="R9:R16" si="19">SQRT((I9+L9)/(I9*L9)+(POWER(P9,2)/(2*(I9+L9))))</f>
        <v>0.29063482710767857</v>
      </c>
    </row>
    <row r="10" spans="1:18" x14ac:dyDescent="0.3">
      <c r="A10">
        <v>9</v>
      </c>
      <c r="B10" t="s">
        <v>188</v>
      </c>
      <c r="C10">
        <v>2018</v>
      </c>
      <c r="D10" t="s">
        <v>189</v>
      </c>
      <c r="E10" t="s">
        <v>190</v>
      </c>
      <c r="F10" t="s">
        <v>147</v>
      </c>
      <c r="G10" t="s">
        <v>295</v>
      </c>
      <c r="H10" t="s">
        <v>296</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149</v>
      </c>
      <c r="C11">
        <v>2012</v>
      </c>
      <c r="D11" t="s">
        <v>150</v>
      </c>
      <c r="E11" t="s">
        <v>87</v>
      </c>
      <c r="F11" t="s">
        <v>77</v>
      </c>
      <c r="G11" t="s">
        <v>131</v>
      </c>
      <c r="H11" t="s">
        <v>300</v>
      </c>
      <c r="I11">
        <v>4</v>
      </c>
      <c r="J11">
        <v>1.94</v>
      </c>
      <c r="K11">
        <v>0.26</v>
      </c>
      <c r="L11">
        <v>4</v>
      </c>
      <c r="M11">
        <v>1.92</v>
      </c>
      <c r="N11">
        <v>0.33</v>
      </c>
      <c r="O11">
        <f t="shared" si="16"/>
        <v>0.297069015550259</v>
      </c>
      <c r="P11">
        <f t="shared" si="17"/>
        <v>6.7324422787594151E-2</v>
      </c>
      <c r="Q11">
        <f t="shared" si="18"/>
        <v>5.8542976337038394E-2</v>
      </c>
      <c r="R11">
        <f t="shared" si="19"/>
        <v>0.70730706635730722</v>
      </c>
    </row>
    <row r="12" spans="1:18" x14ac:dyDescent="0.3">
      <c r="A12">
        <v>11</v>
      </c>
      <c r="B12" t="s">
        <v>226</v>
      </c>
      <c r="C12">
        <v>2018</v>
      </c>
      <c r="D12" t="s">
        <v>227</v>
      </c>
      <c r="E12" t="s">
        <v>228</v>
      </c>
      <c r="F12" t="s">
        <v>229</v>
      </c>
      <c r="G12" t="s">
        <v>230</v>
      </c>
      <c r="H12" t="s">
        <v>232</v>
      </c>
      <c r="I12">
        <v>42</v>
      </c>
      <c r="J12">
        <v>1.3</v>
      </c>
      <c r="K12">
        <f>SQRT(I12)*(1.3-1.2)/3.92</f>
        <v>0.1653250178165272</v>
      </c>
      <c r="L12">
        <v>54</v>
      </c>
      <c r="M12">
        <v>1.6</v>
      </c>
      <c r="N12">
        <f>SQRT(L12)*(1.6-1.5)/3.92</f>
        <v>0.18746094970279442</v>
      </c>
      <c r="O12">
        <f t="shared" si="16"/>
        <v>0.17814445573692042</v>
      </c>
      <c r="P12">
        <f t="shared" si="17"/>
        <v>-1.6840265881921863</v>
      </c>
      <c r="Q12">
        <f t="shared" si="18"/>
        <v>-1.6705543754866488</v>
      </c>
      <c r="R12">
        <f t="shared" si="19"/>
        <v>0.2389531168791531</v>
      </c>
    </row>
    <row r="13" spans="1:18" x14ac:dyDescent="0.3">
      <c r="A13">
        <v>12</v>
      </c>
      <c r="B13" t="s">
        <v>352</v>
      </c>
      <c r="C13">
        <v>2016</v>
      </c>
      <c r="D13" t="s">
        <v>353</v>
      </c>
      <c r="E13" t="s">
        <v>87</v>
      </c>
      <c r="F13" t="s">
        <v>259</v>
      </c>
      <c r="G13" t="s">
        <v>354</v>
      </c>
      <c r="H13" t="s">
        <v>355</v>
      </c>
      <c r="I13">
        <v>6</v>
      </c>
      <c r="J13">
        <v>10.5</v>
      </c>
      <c r="K13">
        <f>8*(3/4)</f>
        <v>6</v>
      </c>
      <c r="L13">
        <v>6</v>
      </c>
      <c r="M13">
        <v>22.3</v>
      </c>
      <c r="N13">
        <f>9*(3/4)</f>
        <v>6.75</v>
      </c>
      <c r="O13">
        <f t="shared" si="16"/>
        <v>6.3860198872224005</v>
      </c>
      <c r="P13">
        <f t="shared" si="17"/>
        <v>-1.8477862907396003</v>
      </c>
      <c r="Q13">
        <f t="shared" si="18"/>
        <v>-1.7056488837596311</v>
      </c>
      <c r="R13">
        <f t="shared" si="19"/>
        <v>0.68963499331908695</v>
      </c>
    </row>
    <row r="14" spans="1:18" x14ac:dyDescent="0.3">
      <c r="A14">
        <v>13</v>
      </c>
      <c r="B14" t="s">
        <v>376</v>
      </c>
      <c r="C14">
        <v>2014</v>
      </c>
      <c r="D14" t="s">
        <v>377</v>
      </c>
      <c r="E14" t="s">
        <v>361</v>
      </c>
      <c r="F14" t="s">
        <v>147</v>
      </c>
      <c r="G14" t="s">
        <v>378</v>
      </c>
      <c r="H14" t="s">
        <v>379</v>
      </c>
      <c r="I14">
        <v>6</v>
      </c>
      <c r="J14">
        <v>166.7</v>
      </c>
      <c r="K14">
        <v>110</v>
      </c>
      <c r="L14">
        <v>6</v>
      </c>
      <c r="M14">
        <v>248.16</v>
      </c>
      <c r="N14">
        <v>130</v>
      </c>
      <c r="O14">
        <f t="shared" si="16"/>
        <v>120.41594578792295</v>
      </c>
      <c r="P14">
        <f t="shared" si="17"/>
        <v>-0.67648847888856589</v>
      </c>
      <c r="Q14">
        <f t="shared" si="18"/>
        <v>-0.62445090358944544</v>
      </c>
      <c r="R14">
        <f t="shared" si="19"/>
        <v>0.593634169827013</v>
      </c>
    </row>
    <row r="15" spans="1:18" x14ac:dyDescent="0.3">
      <c r="A15">
        <v>14</v>
      </c>
      <c r="B15" t="s">
        <v>380</v>
      </c>
      <c r="C15">
        <v>2020</v>
      </c>
      <c r="D15" t="s">
        <v>381</v>
      </c>
      <c r="E15" t="s">
        <v>19</v>
      </c>
      <c r="F15" t="s">
        <v>77</v>
      </c>
      <c r="G15" t="s">
        <v>382</v>
      </c>
      <c r="H15" t="s">
        <v>383</v>
      </c>
      <c r="I15">
        <v>6</v>
      </c>
      <c r="J15">
        <v>75</v>
      </c>
      <c r="K15">
        <f>30*(3/4)</f>
        <v>22.5</v>
      </c>
      <c r="L15">
        <v>3</v>
      </c>
      <c r="M15">
        <v>12.5</v>
      </c>
      <c r="N15">
        <v>1</v>
      </c>
      <c r="O15">
        <f t="shared" si="16"/>
        <v>19.023481730294723</v>
      </c>
      <c r="P15">
        <f t="shared" si="17"/>
        <v>3.2854133058339849</v>
      </c>
      <c r="Q15">
        <f t="shared" si="18"/>
        <v>2.9203673829635419</v>
      </c>
      <c r="R15">
        <f t="shared" si="19"/>
        <v>1.048648351984353</v>
      </c>
    </row>
    <row r="16" spans="1:18" x14ac:dyDescent="0.3">
      <c r="A16">
        <v>15</v>
      </c>
      <c r="B16" t="s">
        <v>385</v>
      </c>
      <c r="C16">
        <v>2021</v>
      </c>
      <c r="D16" t="s">
        <v>386</v>
      </c>
      <c r="E16" t="s">
        <v>387</v>
      </c>
      <c r="F16" t="s">
        <v>72</v>
      </c>
      <c r="G16" t="s">
        <v>388</v>
      </c>
      <c r="H16" t="s">
        <v>389</v>
      </c>
      <c r="I16">
        <v>9</v>
      </c>
      <c r="J16">
        <v>19.420000000000002</v>
      </c>
      <c r="K16">
        <v>3.98</v>
      </c>
      <c r="L16">
        <v>5</v>
      </c>
      <c r="M16">
        <v>14.97</v>
      </c>
      <c r="N16">
        <v>4.05</v>
      </c>
      <c r="O16">
        <f t="shared" si="16"/>
        <v>4.0034693288030407</v>
      </c>
      <c r="P16">
        <f t="shared" si="17"/>
        <v>1.1115359290963931</v>
      </c>
      <c r="Q16">
        <f t="shared" si="18"/>
        <v>1.0405868272391765</v>
      </c>
      <c r="R16">
        <f t="shared" si="19"/>
        <v>0.59601723467360801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8"/>
  <sheetViews>
    <sheetView workbookViewId="0">
      <selection activeCell="C23" sqref="C23"/>
    </sheetView>
  </sheetViews>
  <sheetFormatPr defaultRowHeight="14.4" x14ac:dyDescent="0.3"/>
  <cols>
    <col min="2" max="2" width="16"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2021</v>
      </c>
      <c r="D2" t="s">
        <v>86</v>
      </c>
      <c r="E2" t="s">
        <v>87</v>
      </c>
      <c r="F2" t="s">
        <v>72</v>
      </c>
      <c r="G2" t="s">
        <v>121</v>
      </c>
      <c r="H2" t="s">
        <v>213</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215</v>
      </c>
      <c r="C3">
        <v>2015</v>
      </c>
      <c r="D3" t="s">
        <v>214</v>
      </c>
      <c r="E3" t="s">
        <v>87</v>
      </c>
      <c r="F3" t="s">
        <v>77</v>
      </c>
      <c r="G3" t="s">
        <v>121</v>
      </c>
      <c r="H3" t="s">
        <v>217</v>
      </c>
      <c r="I3">
        <v>15</v>
      </c>
      <c r="J3">
        <v>17.739999999999998</v>
      </c>
      <c r="K3">
        <v>9.11</v>
      </c>
      <c r="L3">
        <v>11</v>
      </c>
      <c r="M3">
        <v>5.46</v>
      </c>
      <c r="N3">
        <v>1.48</v>
      </c>
      <c r="O3">
        <f t="shared" ref="O3:O8" si="4">SQRT(((I3-1)*POWER(K3,2) + (L3-1)*POWER(N3,2))/((I3-1)+(L3-1)))</f>
        <v>7.0231563417027818</v>
      </c>
      <c r="P3">
        <f t="shared" ref="P3:P8" si="5">(J3-M3)/O3</f>
        <v>1.7485015856877082</v>
      </c>
      <c r="Q3">
        <f t="shared" ref="Q3:Q8" si="6">P3*(1- (3/(4*(I3+L3)-9)))</f>
        <v>1.6932857461396753</v>
      </c>
      <c r="R3">
        <f t="shared" ref="R3:R8" si="7">SQRT((I3+L3)/(I3*L3)+(POWER(P3,2)/(2*(I3+L3))))</f>
        <v>0.46515500288968653</v>
      </c>
    </row>
    <row r="4" spans="1:18" x14ac:dyDescent="0.3">
      <c r="A4">
        <v>2</v>
      </c>
      <c r="B4" t="s">
        <v>218</v>
      </c>
      <c r="C4">
        <v>2015</v>
      </c>
      <c r="D4" t="s">
        <v>219</v>
      </c>
      <c r="E4" t="s">
        <v>220</v>
      </c>
      <c r="F4" t="s">
        <v>147</v>
      </c>
      <c r="G4" t="s">
        <v>221</v>
      </c>
      <c r="H4" t="s">
        <v>222</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305</v>
      </c>
      <c r="C5">
        <v>2021</v>
      </c>
      <c r="D5" t="s">
        <v>223</v>
      </c>
      <c r="E5" t="s">
        <v>154</v>
      </c>
      <c r="F5" t="s">
        <v>147</v>
      </c>
      <c r="G5" t="s">
        <v>224</v>
      </c>
      <c r="H5" t="s">
        <v>225</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196</v>
      </c>
      <c r="C6">
        <v>2013</v>
      </c>
      <c r="D6" t="s">
        <v>197</v>
      </c>
      <c r="E6" t="s">
        <v>198</v>
      </c>
      <c r="F6" t="s">
        <v>77</v>
      </c>
      <c r="G6" t="s">
        <v>199</v>
      </c>
      <c r="H6" t="s">
        <v>200</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226</v>
      </c>
      <c r="C7">
        <v>2018</v>
      </c>
      <c r="D7" t="s">
        <v>227</v>
      </c>
      <c r="E7" t="s">
        <v>228</v>
      </c>
      <c r="F7" t="s">
        <v>229</v>
      </c>
      <c r="G7" t="s">
        <v>230</v>
      </c>
      <c r="H7" t="s">
        <v>231</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256</v>
      </c>
      <c r="C8">
        <v>2018</v>
      </c>
      <c r="D8" t="s">
        <v>257</v>
      </c>
      <c r="E8" t="s">
        <v>258</v>
      </c>
      <c r="F8" t="s">
        <v>259</v>
      </c>
      <c r="G8" t="s">
        <v>260</v>
      </c>
      <c r="H8" t="s">
        <v>261</v>
      </c>
      <c r="I8">
        <v>10</v>
      </c>
      <c r="J8">
        <v>101.98</v>
      </c>
      <c r="K8">
        <v>15.03</v>
      </c>
      <c r="L8">
        <v>5</v>
      </c>
      <c r="M8">
        <v>92.99</v>
      </c>
      <c r="N8">
        <v>10.25</v>
      </c>
      <c r="O8">
        <f t="shared" si="4"/>
        <v>13.73753448935266</v>
      </c>
      <c r="P8">
        <f t="shared" si="5"/>
        <v>0.65441145985604265</v>
      </c>
      <c r="Q8">
        <f t="shared" si="6"/>
        <v>0.61591666809980483</v>
      </c>
      <c r="R8">
        <f t="shared" si="7"/>
        <v>0.56060248420162262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5"/>
  <sheetViews>
    <sheetView workbookViewId="0">
      <selection activeCell="O15" sqref="O15"/>
    </sheetView>
  </sheetViews>
  <sheetFormatPr defaultRowHeight="14.4" x14ac:dyDescent="0.3"/>
  <cols>
    <col min="2" max="2" width="18.66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144</v>
      </c>
      <c r="C2">
        <v>2001</v>
      </c>
      <c r="D2" t="s">
        <v>145</v>
      </c>
      <c r="E2" t="s">
        <v>146</v>
      </c>
      <c r="F2" t="s">
        <v>147</v>
      </c>
      <c r="G2" t="s">
        <v>78</v>
      </c>
      <c r="H2" t="s">
        <v>148</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149</v>
      </c>
      <c r="C3">
        <v>2012</v>
      </c>
      <c r="D3" t="s">
        <v>150</v>
      </c>
      <c r="E3" t="s">
        <v>87</v>
      </c>
      <c r="F3" t="s">
        <v>77</v>
      </c>
      <c r="G3" t="s">
        <v>131</v>
      </c>
      <c r="H3" t="s">
        <v>151</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67</v>
      </c>
      <c r="E4" t="s">
        <v>14</v>
      </c>
      <c r="F4" t="s">
        <v>68</v>
      </c>
      <c r="G4" t="s">
        <v>20</v>
      </c>
      <c r="H4" t="s">
        <v>69</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152</v>
      </c>
      <c r="C5">
        <v>2003</v>
      </c>
      <c r="D5" t="s">
        <v>153</v>
      </c>
      <c r="E5" t="s">
        <v>154</v>
      </c>
      <c r="F5" t="s">
        <v>147</v>
      </c>
      <c r="G5" t="s">
        <v>155</v>
      </c>
      <c r="H5" t="s">
        <v>156</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77</v>
      </c>
      <c r="G6" t="s">
        <v>157</v>
      </c>
      <c r="H6" t="s">
        <v>158</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159</v>
      </c>
      <c r="C7">
        <v>2007</v>
      </c>
      <c r="D7" t="s">
        <v>160</v>
      </c>
      <c r="E7" t="s">
        <v>161</v>
      </c>
      <c r="F7" t="s">
        <v>77</v>
      </c>
      <c r="G7" t="s">
        <v>157</v>
      </c>
      <c r="H7" t="s">
        <v>162</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163</v>
      </c>
      <c r="C8">
        <v>2007</v>
      </c>
      <c r="D8" t="s">
        <v>164</v>
      </c>
      <c r="E8" t="s">
        <v>38</v>
      </c>
      <c r="F8" t="s">
        <v>77</v>
      </c>
      <c r="G8" t="s">
        <v>165</v>
      </c>
      <c r="H8" t="s">
        <v>166</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306</v>
      </c>
      <c r="C9">
        <v>2021</v>
      </c>
      <c r="D9" t="s">
        <v>167</v>
      </c>
      <c r="E9" t="s">
        <v>87</v>
      </c>
      <c r="H9" t="s">
        <v>168</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169</v>
      </c>
      <c r="E10" t="s">
        <v>28</v>
      </c>
      <c r="F10" t="s">
        <v>136</v>
      </c>
      <c r="G10" t="s">
        <v>155</v>
      </c>
      <c r="H10" t="s">
        <v>170</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171</v>
      </c>
      <c r="C11">
        <v>2010</v>
      </c>
      <c r="D11" t="s">
        <v>172</v>
      </c>
      <c r="E11" t="s">
        <v>33</v>
      </c>
      <c r="F11" t="s">
        <v>77</v>
      </c>
      <c r="G11" t="s">
        <v>173</v>
      </c>
      <c r="H11" t="s">
        <v>174</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89</v>
      </c>
      <c r="C12">
        <v>2013</v>
      </c>
      <c r="D12" t="s">
        <v>178</v>
      </c>
      <c r="E12" t="s">
        <v>38</v>
      </c>
      <c r="F12" t="s">
        <v>77</v>
      </c>
      <c r="H12" t="s">
        <v>177</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row r="13" spans="1:18" x14ac:dyDescent="0.3">
      <c r="A13">
        <v>11</v>
      </c>
      <c r="B13" t="s">
        <v>349</v>
      </c>
      <c r="C13">
        <v>2014</v>
      </c>
      <c r="D13" t="s">
        <v>350</v>
      </c>
      <c r="E13" t="s">
        <v>33</v>
      </c>
      <c r="F13" t="s">
        <v>77</v>
      </c>
      <c r="G13" t="s">
        <v>157</v>
      </c>
      <c r="H13" t="s">
        <v>351</v>
      </c>
      <c r="I13">
        <v>11</v>
      </c>
      <c r="J13">
        <v>3550</v>
      </c>
      <c r="K13">
        <v>400</v>
      </c>
      <c r="L13">
        <v>5</v>
      </c>
      <c r="M13">
        <v>2000</v>
      </c>
      <c r="N13">
        <v>120</v>
      </c>
      <c r="O13">
        <f t="shared" ref="O13:O15" si="16">SQRT(((I13-1)*POWER(K13,2) + (L13-1)*POWER(N13,2))/((I13-1)+(L13-1)))</f>
        <v>344.0930106817051</v>
      </c>
      <c r="P13">
        <f t="shared" ref="P13:P15" si="17">(J13-M13)/O13</f>
        <v>4.5045960013229971</v>
      </c>
      <c r="Q13">
        <f t="shared" ref="Q13:Q15" si="18">P13*(1- (3/(4*(I13+L13)-9)))</f>
        <v>4.2588907648871972</v>
      </c>
      <c r="R13">
        <f t="shared" ref="R13:R15" si="19">SQRT((I13+L13)/(I13*L13)+(POWER(P13,2)/(2*(I13+L13))))</f>
        <v>0.96177693691524113</v>
      </c>
    </row>
    <row r="14" spans="1:18" x14ac:dyDescent="0.3">
      <c r="A14">
        <v>12</v>
      </c>
      <c r="B14" t="s">
        <v>372</v>
      </c>
      <c r="C14">
        <v>2022</v>
      </c>
      <c r="D14" t="s">
        <v>373</v>
      </c>
      <c r="E14" t="s">
        <v>374</v>
      </c>
      <c r="F14" t="s">
        <v>72</v>
      </c>
      <c r="G14" t="s">
        <v>78</v>
      </c>
      <c r="H14" t="s">
        <v>375</v>
      </c>
      <c r="I14">
        <v>10</v>
      </c>
      <c r="J14">
        <v>390</v>
      </c>
      <c r="K14">
        <f>100*(3/4)</f>
        <v>75</v>
      </c>
      <c r="L14">
        <v>10</v>
      </c>
      <c r="M14">
        <v>210</v>
      </c>
      <c r="N14">
        <f>120*(3/4)</f>
        <v>90</v>
      </c>
      <c r="O14">
        <f t="shared" si="16"/>
        <v>82.840207628904452</v>
      </c>
      <c r="P14">
        <f t="shared" si="17"/>
        <v>2.1728579050204448</v>
      </c>
      <c r="Q14">
        <f t="shared" si="18"/>
        <v>2.081047007625215</v>
      </c>
      <c r="R14">
        <f t="shared" si="19"/>
        <v>0.56394395722025958</v>
      </c>
    </row>
    <row r="15" spans="1:18" x14ac:dyDescent="0.3">
      <c r="A15">
        <v>13</v>
      </c>
      <c r="B15" t="s">
        <v>385</v>
      </c>
      <c r="C15">
        <v>2021</v>
      </c>
      <c r="D15" t="s">
        <v>386</v>
      </c>
      <c r="E15" t="s">
        <v>387</v>
      </c>
      <c r="F15" t="s">
        <v>72</v>
      </c>
      <c r="G15" t="s">
        <v>388</v>
      </c>
      <c r="H15" t="s">
        <v>389</v>
      </c>
      <c r="I15">
        <v>9</v>
      </c>
      <c r="J15">
        <v>1763</v>
      </c>
      <c r="K15">
        <v>861</v>
      </c>
      <c r="L15">
        <v>5</v>
      </c>
      <c r="M15">
        <v>593.6</v>
      </c>
      <c r="N15">
        <v>69.900000000000006</v>
      </c>
      <c r="O15">
        <f t="shared" si="16"/>
        <v>704.16096881323949</v>
      </c>
      <c r="P15">
        <f t="shared" si="17"/>
        <v>1.6606998282947336</v>
      </c>
      <c r="Q15">
        <f t="shared" si="18"/>
        <v>1.5546977115950698</v>
      </c>
      <c r="R15">
        <f t="shared" si="19"/>
        <v>0.64000655774567961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4"/>
  <sheetViews>
    <sheetView workbookViewId="0">
      <selection activeCell="C22" sqref="C22"/>
    </sheetView>
  </sheetViews>
  <sheetFormatPr defaultRowHeight="14.4" x14ac:dyDescent="0.3"/>
  <cols>
    <col min="2" max="2" width="18.441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179</v>
      </c>
      <c r="C2">
        <v>2017</v>
      </c>
      <c r="D2" t="s">
        <v>216</v>
      </c>
      <c r="E2" t="s">
        <v>28</v>
      </c>
      <c r="F2" t="s">
        <v>72</v>
      </c>
      <c r="G2" t="s">
        <v>180</v>
      </c>
      <c r="H2" t="s">
        <v>181</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182</v>
      </c>
      <c r="C3">
        <v>2006</v>
      </c>
      <c r="D3" t="s">
        <v>183</v>
      </c>
      <c r="E3" t="s">
        <v>38</v>
      </c>
      <c r="F3" t="s">
        <v>77</v>
      </c>
      <c r="G3" t="s">
        <v>157</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184</v>
      </c>
      <c r="C4">
        <v>2021</v>
      </c>
      <c r="D4" t="s">
        <v>185</v>
      </c>
      <c r="E4" t="s">
        <v>33</v>
      </c>
      <c r="F4" t="s">
        <v>77</v>
      </c>
      <c r="G4" t="s">
        <v>186</v>
      </c>
      <c r="H4" t="s">
        <v>187</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188</v>
      </c>
      <c r="C5">
        <v>2018</v>
      </c>
      <c r="D5" t="s">
        <v>189</v>
      </c>
      <c r="E5" t="s">
        <v>190</v>
      </c>
      <c r="F5" t="s">
        <v>147</v>
      </c>
      <c r="G5" t="s">
        <v>121</v>
      </c>
      <c r="H5" t="s">
        <v>191</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192</v>
      </c>
      <c r="C6">
        <v>2021</v>
      </c>
      <c r="D6" t="s">
        <v>193</v>
      </c>
      <c r="E6" t="s">
        <v>19</v>
      </c>
      <c r="F6" t="s">
        <v>72</v>
      </c>
      <c r="G6" t="s">
        <v>194</v>
      </c>
      <c r="H6" t="s">
        <v>195</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196</v>
      </c>
      <c r="C7">
        <v>2013</v>
      </c>
      <c r="D7" t="s">
        <v>197</v>
      </c>
      <c r="E7" t="s">
        <v>198</v>
      </c>
      <c r="F7" t="s">
        <v>77</v>
      </c>
      <c r="G7" t="s">
        <v>199</v>
      </c>
      <c r="H7" t="s">
        <v>200</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205</v>
      </c>
      <c r="C8">
        <v>2005</v>
      </c>
      <c r="D8" t="s">
        <v>206</v>
      </c>
      <c r="E8" t="s">
        <v>38</v>
      </c>
      <c r="F8" t="s">
        <v>77</v>
      </c>
      <c r="G8" t="s">
        <v>207</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208</v>
      </c>
      <c r="C9">
        <v>2018</v>
      </c>
      <c r="D9" t="s">
        <v>209</v>
      </c>
      <c r="E9" t="s">
        <v>210</v>
      </c>
      <c r="F9" t="s">
        <v>136</v>
      </c>
      <c r="G9" t="s">
        <v>211</v>
      </c>
      <c r="H9" t="s">
        <v>212</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97</v>
      </c>
      <c r="C10">
        <v>2016</v>
      </c>
      <c r="D10" t="s">
        <v>96</v>
      </c>
      <c r="E10" t="s">
        <v>98</v>
      </c>
      <c r="F10" t="s">
        <v>39</v>
      </c>
      <c r="G10" t="s">
        <v>100</v>
      </c>
      <c r="H10" t="s">
        <v>262</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89</v>
      </c>
      <c r="C11">
        <v>2017</v>
      </c>
      <c r="D11" t="s">
        <v>90</v>
      </c>
      <c r="E11" t="s">
        <v>91</v>
      </c>
      <c r="F11" t="s">
        <v>77</v>
      </c>
      <c r="G11" t="s">
        <v>266</v>
      </c>
      <c r="H11" t="s">
        <v>267</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292</v>
      </c>
      <c r="C12">
        <v>2017</v>
      </c>
      <c r="D12" t="s">
        <v>293</v>
      </c>
      <c r="E12" t="s">
        <v>294</v>
      </c>
      <c r="F12" t="s">
        <v>136</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301</v>
      </c>
      <c r="C13">
        <v>2010</v>
      </c>
      <c r="D13" t="s">
        <v>302</v>
      </c>
      <c r="E13" t="s">
        <v>38</v>
      </c>
      <c r="F13" t="s">
        <v>77</v>
      </c>
      <c r="G13" t="s">
        <v>131</v>
      </c>
      <c r="H13" t="s">
        <v>303</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row r="14" spans="1:18" x14ac:dyDescent="0.3">
      <c r="A14">
        <v>12</v>
      </c>
      <c r="B14" t="s">
        <v>352</v>
      </c>
      <c r="C14">
        <v>2016</v>
      </c>
      <c r="D14" t="s">
        <v>353</v>
      </c>
      <c r="E14" t="s">
        <v>87</v>
      </c>
      <c r="F14" t="s">
        <v>259</v>
      </c>
      <c r="G14" t="s">
        <v>354</v>
      </c>
      <c r="H14" t="s">
        <v>355</v>
      </c>
      <c r="I14">
        <v>6</v>
      </c>
      <c r="J14">
        <v>592.29999999999995</v>
      </c>
      <c r="K14">
        <f>1000*(3/4)</f>
        <v>750</v>
      </c>
      <c r="L14">
        <v>6</v>
      </c>
      <c r="M14">
        <v>0.33</v>
      </c>
      <c r="N14">
        <v>10</v>
      </c>
      <c r="O14">
        <f t="shared" ref="O14" si="32">SQRT(((I14-1)*POWER(K14,2) + (L14-1)*POWER(N14,2))/((I14-1)+(L14-1)))</f>
        <v>530.37722424704475</v>
      </c>
      <c r="P14">
        <f t="shared" ref="P14" si="33">(J14-M14)/O14</f>
        <v>1.1161301295326094</v>
      </c>
      <c r="Q14">
        <f t="shared" ref="Q14" si="34">P14*(1- (3/(4*(I14+L14)-9)))</f>
        <v>1.0302739657224087</v>
      </c>
      <c r="R14">
        <f t="shared" ref="R14" si="35">SQRT((I14+L14)/(I14*L14)+(POWER(P14,2)/(2*(I14+L14))))</f>
        <v>0.6206765954065262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9"/>
  <sheetViews>
    <sheetView workbookViewId="0">
      <selection activeCell="B9" sqref="B9:R9"/>
    </sheetView>
  </sheetViews>
  <sheetFormatPr defaultRowHeight="14.4" x14ac:dyDescent="0.3"/>
  <cols>
    <col min="2" max="2" width="17.21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188</v>
      </c>
      <c r="C2">
        <v>2018</v>
      </c>
      <c r="D2" t="s">
        <v>189</v>
      </c>
      <c r="E2" t="s">
        <v>190</v>
      </c>
      <c r="F2" t="s">
        <v>147</v>
      </c>
      <c r="G2" t="s">
        <v>295</v>
      </c>
      <c r="H2" t="s">
        <v>296</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252</v>
      </c>
      <c r="C3">
        <v>2016</v>
      </c>
      <c r="D3" t="s">
        <v>253</v>
      </c>
      <c r="E3" t="s">
        <v>254</v>
      </c>
      <c r="H3" t="s">
        <v>255</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184</v>
      </c>
      <c r="C4">
        <v>2021</v>
      </c>
      <c r="D4" t="s">
        <v>185</v>
      </c>
      <c r="E4" t="s">
        <v>33</v>
      </c>
      <c r="F4" t="s">
        <v>77</v>
      </c>
      <c r="G4" t="s">
        <v>186</v>
      </c>
      <c r="H4" t="s">
        <v>249</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245</v>
      </c>
      <c r="C5">
        <v>2021</v>
      </c>
      <c r="D5" t="s">
        <v>246</v>
      </c>
      <c r="E5" t="s">
        <v>28</v>
      </c>
      <c r="F5" t="s">
        <v>77</v>
      </c>
      <c r="G5" t="s">
        <v>247</v>
      </c>
      <c r="H5" t="s">
        <v>298</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192</v>
      </c>
      <c r="C6">
        <v>2021</v>
      </c>
      <c r="D6" t="s">
        <v>193</v>
      </c>
      <c r="E6" t="s">
        <v>19</v>
      </c>
      <c r="F6" t="s">
        <v>72</v>
      </c>
      <c r="G6" t="s">
        <v>194</v>
      </c>
      <c r="H6" t="s">
        <v>304</v>
      </c>
      <c r="I6">
        <v>12</v>
      </c>
      <c r="J6">
        <v>7.39</v>
      </c>
      <c r="K6">
        <f>150*(3/4)</f>
        <v>112.5</v>
      </c>
      <c r="L6">
        <v>1</v>
      </c>
      <c r="M6">
        <v>10.210000000000001</v>
      </c>
      <c r="N6">
        <f>50*(3/4)</f>
        <v>37.5</v>
      </c>
      <c r="O6">
        <f t="shared" ref="O6:O9" si="4">SQRT(((I6-1)*POWER(K6,2) + (L6-1)*POWER(N6,2))/((I6-1)+(L6-1)))</f>
        <v>112.5</v>
      </c>
      <c r="P6">
        <f t="shared" ref="P6:P9" si="5">(J6-M6)/O6</f>
        <v>-2.5066666666666678E-2</v>
      </c>
      <c r="Q6">
        <f t="shared" ref="Q6:Q9" si="6">P6*(1- (3/(4*(I6+L6)-9)))</f>
        <v>-2.3317829457364353E-2</v>
      </c>
      <c r="R6">
        <f t="shared" ref="R6:R9" si="7">SQRT((I6+L6)/(I6*L6)+(POWER(P6,2)/(2*(I6+L6))))</f>
        <v>1.0408446090415899</v>
      </c>
    </row>
    <row r="7" spans="1:18" x14ac:dyDescent="0.3">
      <c r="A7">
        <v>5</v>
      </c>
      <c r="B7" t="s">
        <v>376</v>
      </c>
      <c r="C7">
        <v>2014</v>
      </c>
      <c r="D7" t="s">
        <v>377</v>
      </c>
      <c r="E7" t="s">
        <v>361</v>
      </c>
      <c r="F7" t="s">
        <v>147</v>
      </c>
      <c r="G7" t="s">
        <v>378</v>
      </c>
      <c r="H7" t="s">
        <v>379</v>
      </c>
      <c r="I7">
        <v>6</v>
      </c>
      <c r="J7">
        <v>2010.05</v>
      </c>
      <c r="K7">
        <v>1300</v>
      </c>
      <c r="L7">
        <v>6</v>
      </c>
      <c r="M7">
        <v>3245.85</v>
      </c>
      <c r="N7">
        <v>1700</v>
      </c>
      <c r="O7">
        <f t="shared" si="4"/>
        <v>1513.2745950421556</v>
      </c>
      <c r="P7">
        <f t="shared" si="5"/>
        <v>-0.81663962644239985</v>
      </c>
      <c r="Q7">
        <f t="shared" si="6"/>
        <v>-0.75382119363913835</v>
      </c>
      <c r="R7">
        <f t="shared" si="7"/>
        <v>0.60093331158970209</v>
      </c>
    </row>
    <row r="8" spans="1:18" x14ac:dyDescent="0.3">
      <c r="A8">
        <v>6</v>
      </c>
      <c r="B8" t="s">
        <v>380</v>
      </c>
      <c r="C8">
        <v>2020</v>
      </c>
      <c r="D8" t="s">
        <v>381</v>
      </c>
      <c r="E8" t="s">
        <v>19</v>
      </c>
      <c r="F8" t="s">
        <v>77</v>
      </c>
      <c r="G8" t="s">
        <v>382</v>
      </c>
      <c r="H8" t="s">
        <v>384</v>
      </c>
      <c r="I8">
        <v>6</v>
      </c>
      <c r="J8">
        <v>2750</v>
      </c>
      <c r="K8">
        <f>1500*(3/4)</f>
        <v>1125</v>
      </c>
      <c r="L8">
        <v>3</v>
      </c>
      <c r="M8">
        <v>500</v>
      </c>
      <c r="N8">
        <v>100</v>
      </c>
      <c r="O8">
        <f t="shared" si="4"/>
        <v>952.29984773704552</v>
      </c>
      <c r="P8">
        <f t="shared" si="5"/>
        <v>2.3627012073420839</v>
      </c>
      <c r="Q8">
        <f t="shared" si="6"/>
        <v>2.1001788509707411</v>
      </c>
      <c r="R8">
        <f t="shared" si="7"/>
        <v>0.90007274382487001</v>
      </c>
    </row>
    <row r="9" spans="1:18" x14ac:dyDescent="0.3">
      <c r="A9">
        <v>7</v>
      </c>
      <c r="B9" t="s">
        <v>385</v>
      </c>
      <c r="C9">
        <v>2021</v>
      </c>
      <c r="D9" t="s">
        <v>386</v>
      </c>
      <c r="E9" t="s">
        <v>387</v>
      </c>
      <c r="F9" t="s">
        <v>72</v>
      </c>
      <c r="G9" t="s">
        <v>388</v>
      </c>
      <c r="H9" t="s">
        <v>389</v>
      </c>
      <c r="I9">
        <v>9</v>
      </c>
      <c r="J9">
        <v>9.1199999999999992</v>
      </c>
      <c r="K9">
        <v>1.95</v>
      </c>
      <c r="L9">
        <v>5</v>
      </c>
      <c r="M9">
        <v>6.91</v>
      </c>
      <c r="N9">
        <v>1.79</v>
      </c>
      <c r="O9">
        <f t="shared" si="4"/>
        <v>1.8981657813092441</v>
      </c>
      <c r="P9">
        <f t="shared" si="5"/>
        <v>1.1642818671379009</v>
      </c>
      <c r="Q9">
        <f t="shared" si="6"/>
        <v>1.0899660032780349</v>
      </c>
      <c r="R9">
        <f t="shared" si="7"/>
        <v>0.59960294532707303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69</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82</v>
      </c>
      <c r="C3">
        <v>1996</v>
      </c>
      <c r="D3" t="s">
        <v>81</v>
      </c>
      <c r="E3" t="s">
        <v>83</v>
      </c>
      <c r="F3" t="s">
        <v>77</v>
      </c>
      <c r="G3" t="s">
        <v>84</v>
      </c>
      <c r="H3" t="s">
        <v>85</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8"/>
  <sheetViews>
    <sheetView workbookViewId="0">
      <selection activeCell="B8" sqref="B8:R8"/>
    </sheetView>
  </sheetViews>
  <sheetFormatPr defaultRowHeight="14.4" x14ac:dyDescent="0.3"/>
  <cols>
    <col min="2" max="2" width="19.777343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86</v>
      </c>
      <c r="E2" t="s">
        <v>87</v>
      </c>
      <c r="F2" t="s">
        <v>68</v>
      </c>
      <c r="G2" t="s">
        <v>20</v>
      </c>
      <c r="H2" t="s">
        <v>88</v>
      </c>
      <c r="I2">
        <v>25</v>
      </c>
      <c r="J2">
        <f>0.78316-0.25485</f>
        <v>0.52830999999999995</v>
      </c>
      <c r="K2">
        <v>9.4689999999999996E-2</v>
      </c>
      <c r="L2">
        <v>25</v>
      </c>
      <c r="M2">
        <v>0.78315999999999997</v>
      </c>
      <c r="N2">
        <v>6.6960000000000006E-2</v>
      </c>
      <c r="O2">
        <f t="shared" ref="O2:O8" si="0">SQRT(((I2-1)*POWER(K2,2) + (L2-1)*POWER(N2,2))/((I2-1)+(L2-1)))</f>
        <v>8.2005602552508564E-2</v>
      </c>
      <c r="P2">
        <f t="shared" ref="P2:P8" si="1">(J2-M2)/O2</f>
        <v>-3.1077144983700156</v>
      </c>
      <c r="Q2">
        <f t="shared" ref="Q2:Q8" si="2">P2*(1- (3/(4*(I2+L2)-9)))</f>
        <v>-3.0589022287621095</v>
      </c>
      <c r="R2">
        <f t="shared" ref="R2:R8" si="3">SQRT((I2+L2)/(I2*L2)+(POWER(P2,2)/(2*(I2+L2))))</f>
        <v>0.42021291512017095</v>
      </c>
    </row>
    <row r="3" spans="1:18" x14ac:dyDescent="0.3">
      <c r="A3">
        <v>1</v>
      </c>
      <c r="B3" t="s">
        <v>89</v>
      </c>
      <c r="C3">
        <v>2017</v>
      </c>
      <c r="D3" t="s">
        <v>90</v>
      </c>
      <c r="E3" t="s">
        <v>91</v>
      </c>
      <c r="F3" t="s">
        <v>77</v>
      </c>
      <c r="G3" t="s">
        <v>92</v>
      </c>
      <c r="H3" t="s">
        <v>93</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94</v>
      </c>
      <c r="C4">
        <v>2022</v>
      </c>
      <c r="D4" t="s">
        <v>95</v>
      </c>
      <c r="E4" t="s">
        <v>87</v>
      </c>
      <c r="H4" t="s">
        <v>99</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97</v>
      </c>
      <c r="C5">
        <v>2016</v>
      </c>
      <c r="D5" t="s">
        <v>96</v>
      </c>
      <c r="E5" t="s">
        <v>98</v>
      </c>
      <c r="F5" t="s">
        <v>77</v>
      </c>
      <c r="G5" t="s">
        <v>100</v>
      </c>
      <c r="H5" t="s">
        <v>101</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102</v>
      </c>
      <c r="C6">
        <v>2021</v>
      </c>
      <c r="D6" t="s">
        <v>103</v>
      </c>
      <c r="E6" t="s">
        <v>14</v>
      </c>
      <c r="G6" t="s">
        <v>104</v>
      </c>
      <c r="H6" t="s">
        <v>105</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241</v>
      </c>
      <c r="C7">
        <v>2022</v>
      </c>
      <c r="D7" t="s">
        <v>240</v>
      </c>
      <c r="E7" t="s">
        <v>242</v>
      </c>
      <c r="F7" t="s">
        <v>77</v>
      </c>
      <c r="G7" t="s">
        <v>243</v>
      </c>
      <c r="H7" t="s">
        <v>244</v>
      </c>
      <c r="I7">
        <v>6</v>
      </c>
      <c r="J7">
        <v>2</v>
      </c>
      <c r="K7">
        <f>(2-1.25)*(3/4)</f>
        <v>0.5625</v>
      </c>
      <c r="L7">
        <v>44</v>
      </c>
      <c r="M7">
        <v>4</v>
      </c>
      <c r="N7">
        <f>(4-3)*(3/4)</f>
        <v>0.75</v>
      </c>
      <c r="O7">
        <f t="shared" si="0"/>
        <v>0.73271088048083466</v>
      </c>
      <c r="P7">
        <f t="shared" si="1"/>
        <v>-2.7295896011364245</v>
      </c>
      <c r="Q7">
        <f t="shared" si="2"/>
        <v>-2.6867164660400409</v>
      </c>
      <c r="R7">
        <f t="shared" si="3"/>
        <v>0.51371250062681983</v>
      </c>
    </row>
    <row r="8" spans="1:18" x14ac:dyDescent="0.3">
      <c r="A8">
        <v>6</v>
      </c>
      <c r="B8" t="s">
        <v>385</v>
      </c>
      <c r="C8">
        <v>2021</v>
      </c>
      <c r="D8" t="s">
        <v>386</v>
      </c>
      <c r="E8" t="s">
        <v>387</v>
      </c>
      <c r="F8" t="s">
        <v>72</v>
      </c>
      <c r="G8" t="s">
        <v>388</v>
      </c>
      <c r="H8" t="s">
        <v>389</v>
      </c>
      <c r="I8">
        <v>9</v>
      </c>
      <c r="J8">
        <v>0.08</v>
      </c>
      <c r="K8">
        <v>0.03</v>
      </c>
      <c r="L8">
        <v>5</v>
      </c>
      <c r="M8">
        <v>0.13</v>
      </c>
      <c r="N8">
        <v>0.05</v>
      </c>
      <c r="O8">
        <f t="shared" si="0"/>
        <v>3.7859388972001827E-2</v>
      </c>
      <c r="P8">
        <f t="shared" si="1"/>
        <v>-1.3206763594884356</v>
      </c>
      <c r="Q8">
        <f t="shared" si="2"/>
        <v>-1.2363778684572588</v>
      </c>
      <c r="R8">
        <f t="shared" si="3"/>
        <v>0.61106748392881927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task_time</vt:lpstr>
      <vt:lpstr>tool_path_length</vt:lpstr>
      <vt:lpstr>tool_velocity</vt:lpstr>
      <vt:lpstr>tool_idle</vt:lpstr>
      <vt:lpstr>tool_movements</vt:lpstr>
      <vt:lpstr>tool_jerk</vt:lpstr>
      <vt:lpstr>tool_acceleration</vt:lpstr>
      <vt:lpstr>tool_grasps</vt:lpstr>
      <vt:lpstr>tool_bimanual</vt:lpstr>
      <vt:lpstr>pupil_dilation</vt:lpstr>
      <vt:lpstr>pupil_blinks</vt:lpstr>
      <vt:lpstr>pupil_ICA</vt:lpstr>
      <vt:lpstr>tool_force</vt:lpstr>
      <vt:lpstr>scale_UWOMSAb</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2022-07-19T08:00:45Z</dcterms:modified>
</cp:coreProperties>
</file>