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ng\Desktop\"/>
    </mc:Choice>
  </mc:AlternateContent>
  <bookViews>
    <workbookView xWindow="0" yWindow="0" windowWidth="19200" windowHeight="11370" tabRatio="883" activeTab="6"/>
  </bookViews>
  <sheets>
    <sheet name="P6 Conc." sheetId="2" r:id="rId1"/>
    <sheet name="P7 Conc." sheetId="6" r:id="rId2"/>
    <sheet name="P8 Conc." sheetId="7" r:id="rId3"/>
    <sheet name="P9 Conc." sheetId="8" r:id="rId4"/>
    <sheet name="Gas Production" sheetId="58" r:id="rId5"/>
    <sheet name="LOQ" sheetId="12" r:id="rId6"/>
    <sheet name="pH" sheetId="35" r:id="rId7"/>
    <sheet name="COD" sheetId="57" r:id="rId8"/>
  </sheets>
  <externalReferences>
    <externalReference r:id="rId9"/>
  </externalReferences>
  <calcPr calcId="171027"/>
</workbook>
</file>

<file path=xl/calcChain.xml><?xml version="1.0" encoding="utf-8"?>
<calcChain xmlns="http://schemas.openxmlformats.org/spreadsheetml/2006/main">
  <c r="D140" i="57" l="1"/>
  <c r="D139" i="57"/>
  <c r="E138" i="57"/>
  <c r="D138" i="57"/>
  <c r="D137" i="57"/>
  <c r="F135" i="57"/>
  <c r="E135" i="57"/>
  <c r="D135" i="57"/>
  <c r="D114" i="57"/>
  <c r="D113" i="57"/>
  <c r="D112" i="57"/>
  <c r="D111" i="57"/>
  <c r="E109" i="57"/>
  <c r="D109" i="57"/>
  <c r="G89" i="57"/>
  <c r="E89" i="57"/>
  <c r="D89" i="57"/>
  <c r="K88" i="57"/>
  <c r="I88" i="57"/>
  <c r="G88" i="57"/>
  <c r="E88" i="57"/>
  <c r="D88" i="57"/>
  <c r="I87" i="57"/>
  <c r="H87" i="57"/>
  <c r="G87" i="57"/>
  <c r="F87" i="57"/>
  <c r="E87" i="57"/>
  <c r="D87" i="57"/>
  <c r="I86" i="57"/>
  <c r="H86" i="57"/>
  <c r="G86" i="57"/>
  <c r="F86" i="57"/>
  <c r="E86" i="57"/>
  <c r="D86" i="57"/>
  <c r="L84" i="57"/>
  <c r="K84" i="57"/>
  <c r="J84" i="57"/>
  <c r="I84" i="57"/>
  <c r="H84" i="57"/>
  <c r="G84" i="57"/>
  <c r="F84" i="57"/>
  <c r="E84" i="57"/>
  <c r="D84" i="57"/>
  <c r="N63" i="57"/>
  <c r="L63" i="57"/>
  <c r="K63" i="57"/>
  <c r="J63" i="57"/>
  <c r="H63" i="57"/>
  <c r="F63" i="57"/>
  <c r="E63" i="57"/>
  <c r="D63" i="57"/>
  <c r="P62" i="57"/>
  <c r="N62" i="57"/>
  <c r="L62" i="57"/>
  <c r="K62" i="57"/>
  <c r="J62" i="57"/>
  <c r="H62" i="57"/>
  <c r="F62" i="57"/>
  <c r="E62" i="57"/>
  <c r="D62" i="57"/>
  <c r="J61" i="57"/>
  <c r="I61" i="57"/>
  <c r="H61" i="57"/>
  <c r="F61" i="57"/>
  <c r="E61" i="57"/>
  <c r="D61" i="57"/>
  <c r="J60" i="57"/>
  <c r="I60" i="57"/>
  <c r="H60" i="57"/>
  <c r="F60" i="57"/>
  <c r="E60" i="57"/>
  <c r="D60" i="57"/>
  <c r="U58" i="57"/>
  <c r="T58" i="57"/>
  <c r="S58" i="57"/>
  <c r="R58" i="57"/>
  <c r="Q58" i="57"/>
  <c r="P58" i="57"/>
  <c r="O58" i="57"/>
  <c r="N58" i="57"/>
  <c r="M58" i="57"/>
  <c r="L58" i="57"/>
  <c r="K58" i="57"/>
  <c r="J58" i="57"/>
  <c r="I58" i="57"/>
  <c r="H58" i="57"/>
  <c r="G58" i="57"/>
  <c r="F58" i="57"/>
  <c r="E58" i="57"/>
  <c r="D58" i="57"/>
  <c r="W39" i="57"/>
  <c r="V39" i="57"/>
  <c r="T39" i="57"/>
  <c r="S39" i="57"/>
  <c r="R39" i="57"/>
  <c r="Q39" i="57"/>
  <c r="P39" i="57"/>
  <c r="O39" i="57"/>
  <c r="N39" i="57"/>
  <c r="M39" i="57"/>
  <c r="L39" i="57"/>
  <c r="K39" i="57"/>
  <c r="J39" i="57"/>
  <c r="I39" i="57"/>
  <c r="H39" i="57"/>
  <c r="G39" i="57"/>
  <c r="F39" i="57"/>
  <c r="E39" i="57"/>
  <c r="D39" i="57"/>
  <c r="V38" i="57"/>
  <c r="T38" i="57"/>
  <c r="S38" i="57"/>
  <c r="R38" i="57"/>
  <c r="Q38" i="57"/>
  <c r="P38" i="57"/>
  <c r="O38" i="57"/>
  <c r="N38" i="57"/>
  <c r="M38" i="57"/>
  <c r="L38" i="57"/>
  <c r="K38" i="57"/>
  <c r="J38" i="57"/>
  <c r="I38" i="57"/>
  <c r="H38" i="57"/>
  <c r="G38" i="57"/>
  <c r="F38" i="57"/>
  <c r="E38" i="57"/>
  <c r="D38" i="57"/>
  <c r="W37" i="57"/>
  <c r="T37" i="57"/>
  <c r="S37" i="57"/>
  <c r="R37" i="57"/>
  <c r="M37" i="57"/>
  <c r="L37" i="57"/>
  <c r="K37" i="57"/>
  <c r="J37" i="57"/>
  <c r="I37" i="57"/>
  <c r="H37" i="57"/>
  <c r="G37" i="57"/>
  <c r="F37" i="57"/>
  <c r="E37" i="57"/>
  <c r="D37" i="57"/>
  <c r="V36" i="57"/>
  <c r="U36" i="57"/>
  <c r="T36" i="57"/>
  <c r="S36" i="57"/>
  <c r="R36" i="57"/>
  <c r="Q36" i="57"/>
  <c r="P36" i="57"/>
  <c r="O36" i="57"/>
  <c r="N36" i="57"/>
  <c r="L36" i="57"/>
  <c r="K36" i="57"/>
  <c r="J36" i="57"/>
  <c r="I36" i="57"/>
  <c r="H36" i="57"/>
  <c r="G36" i="57"/>
  <c r="F36" i="57"/>
  <c r="E36" i="57"/>
  <c r="D36" i="57"/>
  <c r="W34" i="57"/>
  <c r="V34" i="57"/>
  <c r="U34" i="57"/>
  <c r="T34" i="57"/>
  <c r="S34" i="57"/>
  <c r="R34" i="57"/>
  <c r="Q34" i="57"/>
  <c r="P34" i="57"/>
  <c r="O34" i="57"/>
  <c r="N34" i="57"/>
  <c r="M34" i="57"/>
  <c r="L34" i="57"/>
  <c r="K34" i="57"/>
  <c r="J34" i="57"/>
  <c r="I34" i="57"/>
  <c r="H34" i="57"/>
  <c r="G34" i="57"/>
  <c r="F34" i="57"/>
  <c r="E34" i="57"/>
  <c r="D34" i="57"/>
  <c r="G15" i="57"/>
  <c r="F15" i="57"/>
  <c r="E15" i="57"/>
  <c r="D15" i="57"/>
  <c r="G14" i="57"/>
  <c r="F14" i="57"/>
  <c r="E14" i="57"/>
  <c r="D14" i="57"/>
  <c r="G13" i="57"/>
  <c r="F13" i="57"/>
  <c r="E13" i="57"/>
  <c r="D13" i="57"/>
  <c r="Z12" i="57"/>
  <c r="Y12" i="57"/>
  <c r="X12" i="57"/>
  <c r="W12" i="57"/>
  <c r="V12" i="57"/>
  <c r="U12" i="57"/>
  <c r="T12" i="57"/>
  <c r="S12" i="57"/>
  <c r="R12" i="57"/>
  <c r="G12" i="57"/>
  <c r="F12" i="57"/>
  <c r="E12" i="57"/>
  <c r="AA9" i="57"/>
  <c r="Z9" i="57"/>
  <c r="Z15" i="57" s="1"/>
  <c r="Y9" i="57"/>
  <c r="Y15" i="57" s="1"/>
  <c r="X9" i="57"/>
  <c r="X15" i="57" s="1"/>
  <c r="W9" i="57"/>
  <c r="W15" i="57" s="1"/>
  <c r="V9" i="57"/>
  <c r="V15" i="57" s="1"/>
  <c r="U9" i="57"/>
  <c r="U15" i="57" s="1"/>
  <c r="T9" i="57"/>
  <c r="T15" i="57" s="1"/>
  <c r="S9" i="57"/>
  <c r="S15" i="57" s="1"/>
  <c r="R9" i="57"/>
  <c r="R15" i="57" s="1"/>
  <c r="Q9" i="57"/>
  <c r="Q15" i="57" s="1"/>
  <c r="P9" i="57"/>
  <c r="P15" i="57" s="1"/>
  <c r="O9" i="57"/>
  <c r="O15" i="57" s="1"/>
  <c r="N9" i="57"/>
  <c r="N15" i="57" s="1"/>
  <c r="M9" i="57"/>
  <c r="M15" i="57" s="1"/>
  <c r="L9" i="57"/>
  <c r="L15" i="57" s="1"/>
  <c r="K9" i="57"/>
  <c r="K15" i="57" s="1"/>
  <c r="J9" i="57"/>
  <c r="J15" i="57" s="1"/>
  <c r="I9" i="57"/>
  <c r="I15" i="57" s="1"/>
  <c r="H9" i="57"/>
  <c r="H15" i="57" s="1"/>
  <c r="AE8" i="57"/>
  <c r="AA8" i="57"/>
  <c r="Y8" i="57"/>
  <c r="Y14" i="57" s="1"/>
  <c r="X8" i="57"/>
  <c r="X14" i="57" s="1"/>
  <c r="W8" i="57"/>
  <c r="W14" i="57" s="1"/>
  <c r="V8" i="57"/>
  <c r="V14" i="57" s="1"/>
  <c r="U8" i="57"/>
  <c r="U14" i="57" s="1"/>
  <c r="T8" i="57"/>
  <c r="T14" i="57" s="1"/>
  <c r="S8" i="57"/>
  <c r="S14" i="57" s="1"/>
  <c r="R8" i="57"/>
  <c r="R14" i="57" s="1"/>
  <c r="Q8" i="57"/>
  <c r="Q14" i="57" s="1"/>
  <c r="P8" i="57"/>
  <c r="P14" i="57" s="1"/>
  <c r="O8" i="57"/>
  <c r="O14" i="57" s="1"/>
  <c r="N8" i="57"/>
  <c r="N14" i="57" s="1"/>
  <c r="M8" i="57"/>
  <c r="M14" i="57" s="1"/>
  <c r="L8" i="57"/>
  <c r="L14" i="57" s="1"/>
  <c r="K8" i="57"/>
  <c r="K14" i="57" s="1"/>
  <c r="J8" i="57"/>
  <c r="J14" i="57" s="1"/>
  <c r="I8" i="57"/>
  <c r="I14" i="57" s="1"/>
  <c r="H8" i="57"/>
  <c r="H14" i="57" s="1"/>
  <c r="AC7" i="57"/>
  <c r="AA7" i="57"/>
  <c r="Z7" i="57"/>
  <c r="Z13" i="57" s="1"/>
  <c r="Y7" i="57"/>
  <c r="Y13" i="57" s="1"/>
  <c r="X7" i="57"/>
  <c r="X13" i="57" s="1"/>
  <c r="W7" i="57"/>
  <c r="W13" i="57" s="1"/>
  <c r="V7" i="57"/>
  <c r="V13" i="57" s="1"/>
  <c r="U7" i="57"/>
  <c r="U13" i="57" s="1"/>
  <c r="T7" i="57"/>
  <c r="T13" i="57" s="1"/>
  <c r="S7" i="57"/>
  <c r="S13" i="57" s="1"/>
  <c r="R7" i="57"/>
  <c r="R13" i="57" s="1"/>
  <c r="Q7" i="57"/>
  <c r="Q13" i="57" s="1"/>
  <c r="P7" i="57"/>
  <c r="P13" i="57" s="1"/>
  <c r="O7" i="57"/>
  <c r="O13" i="57" s="1"/>
  <c r="N7" i="57"/>
  <c r="N13" i="57" s="1"/>
  <c r="M7" i="57"/>
  <c r="M13" i="57" s="1"/>
  <c r="L7" i="57"/>
  <c r="L13" i="57" s="1"/>
  <c r="K7" i="57"/>
  <c r="K13" i="57" s="1"/>
  <c r="J7" i="57"/>
  <c r="J13" i="57" s="1"/>
  <c r="I7" i="57"/>
  <c r="I13" i="57" s="1"/>
  <c r="H7" i="57"/>
  <c r="H13" i="57" s="1"/>
  <c r="Q6" i="57"/>
  <c r="Q12" i="57" s="1"/>
  <c r="P6" i="57"/>
  <c r="P12" i="57" s="1"/>
  <c r="O6" i="57"/>
  <c r="O12" i="57" s="1"/>
  <c r="N6" i="57"/>
  <c r="N12" i="57" s="1"/>
  <c r="M6" i="57"/>
  <c r="M12" i="57" s="1"/>
  <c r="L6" i="57"/>
  <c r="L12" i="57" s="1"/>
  <c r="K6" i="57"/>
  <c r="K12" i="57" s="1"/>
  <c r="J6" i="57"/>
  <c r="J12" i="57" s="1"/>
  <c r="I6" i="57"/>
  <c r="I12" i="57" s="1"/>
  <c r="H6" i="57"/>
  <c r="H12" i="57" s="1"/>
  <c r="D6" i="57"/>
  <c r="D12" i="57" s="1"/>
  <c r="AG4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D34" i="8" l="1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BU34" i="8"/>
  <c r="BT34" i="8"/>
  <c r="BS34" i="8"/>
  <c r="BR34" i="8"/>
  <c r="BQ34" i="8"/>
  <c r="BP34" i="8"/>
  <c r="BO34" i="8"/>
  <c r="BN34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E35" i="7"/>
  <c r="E34" i="7"/>
  <c r="BV35" i="7"/>
  <c r="BU35" i="7"/>
  <c r="BT35" i="7"/>
  <c r="BS35" i="7"/>
  <c r="BR35" i="7"/>
  <c r="BQ35" i="7"/>
  <c r="BP35" i="7"/>
  <c r="BO35" i="7"/>
  <c r="BN35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BV34" i="7"/>
  <c r="BU34" i="7"/>
  <c r="BT34" i="7"/>
  <c r="BS34" i="7"/>
  <c r="BR34" i="7"/>
  <c r="BQ34" i="7"/>
  <c r="BP34" i="7"/>
  <c r="BO34" i="7"/>
  <c r="BN34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S34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E35" i="2"/>
  <c r="E34" i="2"/>
  <c r="AK3" i="35" l="1"/>
  <c r="AJ3" i="35"/>
  <c r="AI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BM2" i="12" l="1"/>
  <c r="BN2" i="12"/>
  <c r="BO2" i="12"/>
  <c r="BP2" i="12"/>
  <c r="BQ2" i="12"/>
  <c r="BR2" i="12"/>
  <c r="BJ2" i="12"/>
  <c r="BH2" i="12"/>
  <c r="BG2" i="12"/>
  <c r="BC2" i="12"/>
  <c r="BB2" i="12"/>
  <c r="AZ2" i="12"/>
  <c r="AY2" i="12"/>
  <c r="AW2" i="12"/>
  <c r="AU2" i="12"/>
  <c r="AT2" i="12"/>
  <c r="AS2" i="12"/>
  <c r="AP2" i="12"/>
  <c r="AO2" i="12"/>
  <c r="AM2" i="12"/>
  <c r="AH2" i="12"/>
  <c r="AF2" i="12"/>
  <c r="Q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G2" i="12"/>
  <c r="AI2" i="12"/>
  <c r="AJ2" i="12"/>
  <c r="AK2" i="12"/>
  <c r="AL2" i="12"/>
  <c r="AN2" i="12"/>
  <c r="AQ2" i="12"/>
  <c r="AR2" i="12"/>
  <c r="AV2" i="12"/>
  <c r="BA2" i="12"/>
  <c r="BD2" i="12"/>
  <c r="BE2" i="12"/>
  <c r="BF2" i="12"/>
  <c r="BI2" i="12"/>
  <c r="BK2" i="12"/>
  <c r="BL2" i="12"/>
  <c r="B2" i="12"/>
  <c r="AX2" i="12" l="1"/>
  <c r="BS2" i="12"/>
  <c r="B32" i="8" l="1"/>
  <c r="B32" i="7"/>
  <c r="B32" i="6"/>
  <c r="B32" i="2"/>
  <c r="B28" i="8" l="1"/>
  <c r="B29" i="8"/>
  <c r="B30" i="8"/>
  <c r="B31" i="8"/>
  <c r="B28" i="7"/>
  <c r="B29" i="7"/>
  <c r="B30" i="7"/>
  <c r="B31" i="7"/>
  <c r="B28" i="6"/>
  <c r="B29" i="6"/>
  <c r="B30" i="6"/>
  <c r="B31" i="6"/>
  <c r="B28" i="2"/>
  <c r="B29" i="2"/>
  <c r="B30" i="2"/>
  <c r="B31" i="2"/>
  <c r="B27" i="8" l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27" i="2" l="1"/>
  <c r="B26" i="2"/>
  <c r="B25" i="2"/>
  <c r="B24" i="2"/>
  <c r="B23" i="2"/>
  <c r="B22" i="2"/>
  <c r="B21" i="2"/>
  <c r="B20" i="2"/>
  <c r="B19" i="2"/>
  <c r="B10" i="2"/>
  <c r="B11" i="2"/>
  <c r="B12" i="2"/>
  <c r="B13" i="2"/>
  <c r="B14" i="2"/>
  <c r="B15" i="2"/>
  <c r="B16" i="2"/>
  <c r="B17" i="2"/>
  <c r="B18" i="2"/>
  <c r="B9" i="2"/>
</calcChain>
</file>

<file path=xl/sharedStrings.xml><?xml version="1.0" encoding="utf-8"?>
<sst xmlns="http://schemas.openxmlformats.org/spreadsheetml/2006/main" count="10543" uniqueCount="250">
  <si>
    <t>mg/L</t>
  </si>
  <si>
    <t>Days from Start</t>
  </si>
  <si>
    <t>DF</t>
  </si>
  <si>
    <t>Reactor:</t>
  </si>
  <si>
    <t>Biotic</t>
  </si>
  <si>
    <t>Start Date:</t>
  </si>
  <si>
    <t>Units:</t>
  </si>
  <si>
    <t>Data multiplied by         extraction factor (1.2/3)</t>
  </si>
  <si>
    <t>ng/L</t>
  </si>
  <si>
    <t>ND:</t>
  </si>
  <si>
    <t>Non-detect</t>
  </si>
  <si>
    <t>Signal to Noise ratio &lt; 3</t>
  </si>
  <si>
    <t>LOQ:</t>
  </si>
  <si>
    <t>Detected, but not quantifiable</t>
  </si>
  <si>
    <t>Signal to Noise ratio &lt; 10 ( variable ng/L) or concentration falls outside calibration (typically 2 ng/L)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</si>
  <si>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</si>
  <si>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</si>
  <si>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</si>
  <si>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</si>
  <si>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</si>
  <si>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</si>
  <si>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</si>
  <si>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</si>
  <si>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</si>
  <si>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PFTriDA</t>
  </si>
  <si>
    <t>PFTeDA</t>
  </si>
  <si>
    <t>PFPeDA</t>
  </si>
  <si>
    <t>PFHxDA</t>
  </si>
  <si>
    <t>PFHpDA</t>
  </si>
  <si>
    <t>PFOcDA</t>
  </si>
  <si>
    <t>FBEA</t>
  </si>
  <si>
    <t>FHEA</t>
  </si>
  <si>
    <t>FOEA</t>
  </si>
  <si>
    <t>FDEA</t>
  </si>
  <si>
    <t>FBUEA</t>
  </si>
  <si>
    <t>FHUEA</t>
  </si>
  <si>
    <t>FOUEA</t>
  </si>
  <si>
    <t>FDUEA</t>
  </si>
  <si>
    <t>FPrPA</t>
  </si>
  <si>
    <t>FPePA</t>
  </si>
  <si>
    <t>FHpPA</t>
  </si>
  <si>
    <t>FNPA</t>
  </si>
  <si>
    <t>PFBS</t>
  </si>
  <si>
    <t>PFPS</t>
  </si>
  <si>
    <t>PFHxS</t>
  </si>
  <si>
    <t>PFHpS</t>
  </si>
  <si>
    <t>PFOS</t>
  </si>
  <si>
    <t>PFNS</t>
  </si>
  <si>
    <t>PFDS</t>
  </si>
  <si>
    <t>FBSAA</t>
  </si>
  <si>
    <t>FPeSAA</t>
  </si>
  <si>
    <t>FHxSAA</t>
  </si>
  <si>
    <t>FHpSAA</t>
  </si>
  <si>
    <t>FOSAA</t>
  </si>
  <si>
    <t>MeFBSAA</t>
  </si>
  <si>
    <t>MeFPeSAA</t>
  </si>
  <si>
    <t>MeFHxSAA</t>
  </si>
  <si>
    <t>MeFHpSAA</t>
  </si>
  <si>
    <t>MeFOSAA</t>
  </si>
  <si>
    <t>EtFBSAA</t>
  </si>
  <si>
    <t>EtFPeSAA</t>
  </si>
  <si>
    <t>EtFHxSAA</t>
  </si>
  <si>
    <t>EtFHpSAA</t>
  </si>
  <si>
    <t>EtFOSAA</t>
  </si>
  <si>
    <t>4:2 diPAP</t>
  </si>
  <si>
    <t>4:2/6:2 diPAP</t>
  </si>
  <si>
    <t>6:2 diPAP</t>
  </si>
  <si>
    <t>6:2/8:2 diPAP</t>
  </si>
  <si>
    <t>8:2 diPAP</t>
  </si>
  <si>
    <t>8:2/10:2 diPAP</t>
  </si>
  <si>
    <t>10:2 diPAP</t>
  </si>
  <si>
    <t>6:2 FTMAP</t>
  </si>
  <si>
    <t>6:2/8:2 FTMAP</t>
  </si>
  <si>
    <t>8:2 FTMAP</t>
  </si>
  <si>
    <t>8:2/10:2 FTMAP</t>
  </si>
  <si>
    <t>10:2 FTMAP</t>
  </si>
  <si>
    <t>SAmPAP</t>
  </si>
  <si>
    <t>Sample Date</t>
  </si>
  <si>
    <t>Perfluorobutanoic acid</t>
  </si>
  <si>
    <t>Perfluoropentanoic acid</t>
  </si>
  <si>
    <t>Perfluorohexanoic acis</t>
  </si>
  <si>
    <t>Perfluoroheptanoic acid</t>
  </si>
  <si>
    <t>Perfluorooctanoic acid</t>
  </si>
  <si>
    <t>Perfluorononaoic acid</t>
  </si>
  <si>
    <t>Perfluorodecanoic acid</t>
  </si>
  <si>
    <t>Perfluoroundecanoic acid</t>
  </si>
  <si>
    <t>Perfluorododecanoic acid</t>
  </si>
  <si>
    <t>Perfluorortridecanoic acid</t>
  </si>
  <si>
    <t>Perfluorotetradecanoic acid</t>
  </si>
  <si>
    <t>Perfluoropentadecanoic acid</t>
  </si>
  <si>
    <t>Perfluorohexadecanoic acid</t>
  </si>
  <si>
    <t>Perfluoroheptadecanoic acid</t>
  </si>
  <si>
    <t>Perfluorooctadecanoic acid</t>
  </si>
  <si>
    <t>2-perfluorobutylethanoic acid</t>
  </si>
  <si>
    <t>2-perfluorohexylethanoic acid</t>
  </si>
  <si>
    <t>2-perfluorooctylethanoic acid</t>
  </si>
  <si>
    <t>2-perfluorodecylethanoic acid</t>
  </si>
  <si>
    <t>2H-perfluoro-2-hexenoic acid</t>
  </si>
  <si>
    <t>2H-perfluoro-2-octenoic acid</t>
  </si>
  <si>
    <t>2H-perfluoro-2-decenoic acid</t>
  </si>
  <si>
    <t>2H-perfluoro-2-dodecenoic acid</t>
  </si>
  <si>
    <t>3-Perfluoropropyl propanoic acid (3:3)</t>
  </si>
  <si>
    <t>3-Perfluoropentyl propanoic acid (5:3)</t>
  </si>
  <si>
    <t>3-Perfluoroheptyl propanoic acid (7:3)</t>
  </si>
  <si>
    <t>3-Perfluorononyl propanoic acid (9:3)</t>
  </si>
  <si>
    <t>Perfluorobutane sulfonate</t>
  </si>
  <si>
    <t>Perfluoropentane sulfonate</t>
  </si>
  <si>
    <t>Perfluorohexane sulfonate</t>
  </si>
  <si>
    <t>Perfluorheptane sulfonate</t>
  </si>
  <si>
    <t>Perfluorooctanesulfonic acid</t>
  </si>
  <si>
    <t>Perfluorononane sulfonate</t>
  </si>
  <si>
    <t>Perfluorodecane sulfonate</t>
  </si>
  <si>
    <t>4:2 fluorotemomer sulfonate</t>
  </si>
  <si>
    <t>6:2 fluorotemomer sulfonate</t>
  </si>
  <si>
    <t>8:2 fluorotemomer sulfonate</t>
  </si>
  <si>
    <t>perfluorobutane sulfonamido acetic acid</t>
  </si>
  <si>
    <t>perfluoropentane sulfonamido acetic acid</t>
  </si>
  <si>
    <t>perfluorohexane sulfonamido acetic acid</t>
  </si>
  <si>
    <t>perfluoroheptane sulfonamido acetic acid</t>
  </si>
  <si>
    <t>perfluorooctane sulfonamido acetic acid</t>
  </si>
  <si>
    <t>Methyl perfluorobutane sulfonamido acetic acid</t>
  </si>
  <si>
    <t>Methylperfluoropentane sulfonamido acetic acid</t>
  </si>
  <si>
    <t>Methyl perfluorohexane sulfonamido acetic acid</t>
  </si>
  <si>
    <t>Methyl perfluoroheptane sulfonamido acetic acid</t>
  </si>
  <si>
    <t>Methylperfluorooctane sulfonamido acetic acid</t>
  </si>
  <si>
    <t>Ethylperfluorobutane sulfonamido acetic acid</t>
  </si>
  <si>
    <t>Ethylperfluoropentane sulfonamido acetic acid</t>
  </si>
  <si>
    <t>Ethylperfluorohexane sulfonamido acetic acid</t>
  </si>
  <si>
    <t>Ethylperfluoroheptane sulfonamido acetic acid</t>
  </si>
  <si>
    <t>Ethylperfluorooctane sulfonamido acetic acid</t>
  </si>
  <si>
    <t>Bis(perfluorobutyl) phosphinate</t>
  </si>
  <si>
    <t>Perfluorobutyl perfluorohexyl phosphinate</t>
  </si>
  <si>
    <t>Bis(perfluorohexyl) phosphinate</t>
  </si>
  <si>
    <t>Perfluorohexylperfluorooctyl phosphinate</t>
  </si>
  <si>
    <t>Bis(perfluorooctyl) phosphinate</t>
  </si>
  <si>
    <t>4:2 disubstituted polyfluoroalkyl phosphate</t>
  </si>
  <si>
    <t>4:2/6:2 disubstituted polyfluoroalkyl phosphate</t>
  </si>
  <si>
    <t>6:2 disubstituted polyfluoroalkyl phosphate</t>
  </si>
  <si>
    <t>6:2/8:2 disubstituted polyfluoroalkyl phosphate</t>
  </si>
  <si>
    <t>8:2 disubstituted polyfluoroalkyl phosphate</t>
  </si>
  <si>
    <t>8:2/10:2 disubstituted polyfluoroalkyl phosphate</t>
  </si>
  <si>
    <t>10:2 disubstituted polyfluoroalkyl phosphate</t>
  </si>
  <si>
    <t>6:2 fluorotelomer mercaptoalkyl phosphate diester</t>
  </si>
  <si>
    <t>6:2/8:2 fluorotelomer mercaptoalkyl phosphate diester</t>
  </si>
  <si>
    <t>8:2 fluorotelomer mercaptoalkyl phosphate diester</t>
  </si>
  <si>
    <t>8:2/10:2 fluorotelomer mercaptoalkyl phosphate diester</t>
  </si>
  <si>
    <t>10:2 fluorotelomer mercaptoalkyl phosphate diester</t>
  </si>
  <si>
    <t>N-ethyl perfluorooctanesulfonamidoethanol-based phosphate diester</t>
  </si>
  <si>
    <t>Date Analyzed</t>
  </si>
  <si>
    <t>Abiotic</t>
  </si>
  <si>
    <t>Concentrations demonstrated are an average of replicates</t>
  </si>
  <si>
    <t>P6</t>
  </si>
  <si>
    <t>P7</t>
  </si>
  <si>
    <t>P8</t>
  </si>
  <si>
    <t>P9</t>
  </si>
  <si>
    <t>Winter</t>
  </si>
  <si>
    <t>N277 Winter Culture</t>
  </si>
  <si>
    <t>ND</t>
  </si>
  <si>
    <t>&lt;LOQ</t>
  </si>
  <si>
    <t>QC</t>
  </si>
  <si>
    <t>6/25/14 and 8/20/14</t>
  </si>
  <si>
    <t>6/25/13, 6/25/14 and 8/20/14</t>
  </si>
  <si>
    <t>LOQ</t>
  </si>
  <si>
    <t>Solvent Blanks  (ND)</t>
  </si>
  <si>
    <t>Process Blank (ND)</t>
  </si>
  <si>
    <t>Avg QC % Rec (80-120%)</t>
  </si>
  <si>
    <t>N/A</t>
  </si>
  <si>
    <t>ERROR</t>
  </si>
  <si>
    <r>
      <t>R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&gt; 0.97</t>
    </r>
  </si>
  <si>
    <t>Yes</t>
  </si>
  <si>
    <t>Overspike (detect)</t>
  </si>
  <si>
    <t>RSD&lt;20</t>
  </si>
  <si>
    <t>R2 &gt; 0.97</t>
  </si>
  <si>
    <t>Bullseye (80-120%)</t>
  </si>
  <si>
    <t>No</t>
  </si>
  <si>
    <t>n/a</t>
  </si>
  <si>
    <t>7/17/14 and 8/20/14</t>
  </si>
  <si>
    <t>7/24/13 and 7/17/14</t>
  </si>
  <si>
    <t>7/10/13, 7/17/14 and 8/20/14</t>
  </si>
  <si>
    <t>7/2/13, 7/17/14 and 8/20/14</t>
  </si>
  <si>
    <t>YES</t>
  </si>
  <si>
    <t>7/2/13 b</t>
  </si>
  <si>
    <t>RSD &lt; 20</t>
  </si>
  <si>
    <t>7/24/13, 8/15/13 and 6/25/14</t>
  </si>
  <si>
    <t>6/25/14 and 7/2/13 b</t>
  </si>
  <si>
    <t>7/2/13 b, 7/10/13 and 6/25/14</t>
  </si>
  <si>
    <t>6/25/13, 6/28/13 and 7/2/13</t>
  </si>
  <si>
    <t>6/25/14 and 8/13/14</t>
  </si>
  <si>
    <t>7/1/14 and 7/16/14</t>
  </si>
  <si>
    <t>7/1/14, 7/16/14 and 8/13/14</t>
  </si>
  <si>
    <t>4:2 FTSA</t>
  </si>
  <si>
    <t>6:2 FTSA</t>
  </si>
  <si>
    <t>8:2 FTSA</t>
  </si>
  <si>
    <t>4:4 PFPIA</t>
  </si>
  <si>
    <t>4:6 PFPIA</t>
  </si>
  <si>
    <t>6:6 PFPIA</t>
  </si>
  <si>
    <t>6:8 PFPIA</t>
  </si>
  <si>
    <t>8:8 PFPIA</t>
  </si>
  <si>
    <t>RSD (N507-P6 day 90)</t>
  </si>
  <si>
    <t>RSD (Kristen: n1-3)</t>
  </si>
  <si>
    <t>RSD (N506, P6 day 90)</t>
  </si>
  <si>
    <t>RSD (737 P7 day 145)</t>
  </si>
  <si>
    <t>RSD (P7: N396 day 62)</t>
  </si>
  <si>
    <t>RSD (P15: N544 day 28)</t>
  </si>
  <si>
    <t>RSD (P11: N536 day 34)</t>
  </si>
  <si>
    <t>RSD (P16: N546 day 28)</t>
  </si>
  <si>
    <t>RSD (YC-B-2)</t>
  </si>
  <si>
    <t>RSD (P9: 873-1211 day 174, 230, 273)</t>
  </si>
  <si>
    <t>CH4 Rate</t>
  </si>
  <si>
    <t>Days from</t>
  </si>
  <si>
    <t>mL per d</t>
  </si>
  <si>
    <t>Date/Time</t>
  </si>
  <si>
    <t>Start</t>
  </si>
  <si>
    <t>per dry g MSW</t>
  </si>
  <si>
    <t xml:space="preserve">Reactor Start </t>
  </si>
  <si>
    <t>Sample Description</t>
  </si>
  <si>
    <t>Treatment</t>
  </si>
  <si>
    <t>Reactor #</t>
  </si>
  <si>
    <t>Fall Refuse</t>
  </si>
  <si>
    <t>P2</t>
  </si>
  <si>
    <t>P3</t>
  </si>
  <si>
    <t>P4</t>
  </si>
  <si>
    <t>P5</t>
  </si>
  <si>
    <t>Winter Refuse</t>
  </si>
  <si>
    <t>Carpet</t>
  </si>
  <si>
    <t>P10</t>
  </si>
  <si>
    <t>P11</t>
  </si>
  <si>
    <t>P12</t>
  </si>
  <si>
    <t>P13</t>
  </si>
  <si>
    <t>P14</t>
  </si>
  <si>
    <t>P15</t>
  </si>
  <si>
    <t>P16</t>
  </si>
  <si>
    <t>P20</t>
  </si>
  <si>
    <t>P21</t>
  </si>
  <si>
    <t>P22</t>
  </si>
  <si>
    <t>P23</t>
  </si>
  <si>
    <t>P24</t>
  </si>
  <si>
    <t>P25</t>
  </si>
  <si>
    <t>P26</t>
  </si>
  <si>
    <t>P27</t>
  </si>
  <si>
    <t># of ND</t>
  </si>
  <si>
    <t># of &lt;LOQ</t>
  </si>
  <si>
    <t>g/L</t>
  </si>
  <si>
    <t>p7</t>
  </si>
  <si>
    <t>p8</t>
  </si>
  <si>
    <t>p9</t>
  </si>
  <si>
    <t>Textile</t>
  </si>
  <si>
    <t>p17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</si>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</sst>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"/>
    <numFmt numFmtId="165" formatCode="0.000"/>
    <numFmt numFmtId="166" formatCode="m/d/yyyy;@"/>
  </numFmts>
  <fonts count="2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7"/>
      <color theme="1"/>
      <name val="Calibri"/>
      <family val="2"/>
      <scheme val="minor"/>
    </font>
    <font>
      <sz val="9"/>
      <name val="Times New Roman"/>
      <family val="1"/>
    </font>
    <font>
      <sz val="12"/>
      <color theme="1"/>
      <name val="Arial Narrow"/>
      <family val="2"/>
    </font>
    <font>
      <sz val="11"/>
      <color indexed="8"/>
      <name val="Arial"/>
      <family val="2"/>
    </font>
    <font>
      <sz val="1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2">
    <xf numFmtId="0" fontId="0" fillId="0" borderId="0"/>
    <xf numFmtId="0" fontId="6" fillId="0" borderId="0" applyNumberFormat="0" applyFill="0" applyBorder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9" fillId="0" borderId="9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10" applyNumberFormat="0" applyAlignment="0" applyProtection="0"/>
    <xf numFmtId="0" fontId="14" fillId="8" borderId="11" applyNumberFormat="0" applyAlignment="0" applyProtection="0"/>
    <xf numFmtId="0" fontId="15" fillId="8" borderId="10" applyNumberFormat="0" applyAlignment="0" applyProtection="0"/>
    <xf numFmtId="0" fontId="16" fillId="0" borderId="12" applyNumberFormat="0" applyFill="0" applyAlignment="0" applyProtection="0"/>
    <xf numFmtId="0" fontId="17" fillId="9" borderId="13" applyNumberFormat="0" applyAlignment="0" applyProtection="0"/>
    <xf numFmtId="0" fontId="18" fillId="0" borderId="0" applyNumberFormat="0" applyFill="0" applyBorder="0" applyAlignment="0" applyProtection="0"/>
    <xf numFmtId="0" fontId="5" fillId="10" borderId="14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5" applyNumberFormat="0" applyFill="0" applyAlignment="0" applyProtection="0"/>
    <xf numFmtId="0" fontId="2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34" borderId="0" applyNumberFormat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5" fillId="0" borderId="0"/>
    <xf numFmtId="0" fontId="2" fillId="0" borderId="0"/>
    <xf numFmtId="0" fontId="2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4">
    <xf numFmtId="0" fontId="0" fillId="0" borderId="0" xfId="0"/>
    <xf numFmtId="0" fontId="0" fillId="0" borderId="0" xfId="0" applyFill="1" applyBorder="1"/>
    <xf numFmtId="165" fontId="0" fillId="0" borderId="0" xfId="0" applyNumberFormat="1" applyAlignment="1">
      <alignment horizontal="center"/>
    </xf>
    <xf numFmtId="0" fontId="4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4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14" fontId="0" fillId="0" borderId="0" xfId="0" applyNumberForma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/>
    <xf numFmtId="14" fontId="0" fillId="0" borderId="0" xfId="0" applyNumberFormat="1"/>
    <xf numFmtId="0" fontId="0" fillId="0" borderId="16" xfId="0" applyBorder="1"/>
    <xf numFmtId="166" fontId="0" fillId="0" borderId="0" xfId="0" applyNumberFormat="1" applyFill="1"/>
    <xf numFmtId="0" fontId="0" fillId="0" borderId="2" xfId="0" applyFont="1" applyFill="1" applyBorder="1"/>
    <xf numFmtId="14" fontId="0" fillId="0" borderId="0" xfId="0" applyNumberFormat="1" applyFill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7" xfId="0" applyFont="1" applyFill="1" applyBorder="1"/>
    <xf numFmtId="14" fontId="0" fillId="0" borderId="17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Fill="1"/>
    <xf numFmtId="0" fontId="23" fillId="0" borderId="0" xfId="0" applyFont="1"/>
    <xf numFmtId="166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0" borderId="0" xfId="0" applyFill="1" applyBorder="1"/>
    <xf numFmtId="14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Border="1"/>
    <xf numFmtId="166" fontId="0" fillId="0" borderId="0" xfId="0" applyNumberFormat="1"/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14" fontId="0" fillId="0" borderId="0" xfId="0" applyNumberFormat="1"/>
    <xf numFmtId="0" fontId="0" fillId="0" borderId="16" xfId="0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0" fillId="0" borderId="17" xfId="0" applyFont="1" applyFill="1" applyBorder="1"/>
    <xf numFmtId="14" fontId="0" fillId="0" borderId="17" xfId="0" applyNumberFormat="1" applyFon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Border="1"/>
    <xf numFmtId="14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166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/>
    <xf numFmtId="166" fontId="0" fillId="0" borderId="0" xfId="0" applyNumberFormat="1"/>
    <xf numFmtId="0" fontId="0" fillId="0" borderId="0" xfId="0" applyFont="1" applyFill="1" applyBorder="1"/>
    <xf numFmtId="0" fontId="0" fillId="0" borderId="17" xfId="0" applyFont="1" applyFill="1" applyBorder="1"/>
    <xf numFmtId="14" fontId="0" fillId="0" borderId="17" xfId="0" applyNumberFormat="1" applyFont="1" applyFill="1" applyBorder="1" applyAlignment="1">
      <alignment horizontal="right"/>
    </xf>
    <xf numFmtId="0" fontId="0" fillId="0" borderId="17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Fill="1"/>
    <xf numFmtId="166" fontId="0" fillId="0" borderId="0" xfId="0" applyNumberFormat="1"/>
    <xf numFmtId="0" fontId="0" fillId="0" borderId="0" xfId="0" applyFont="1"/>
    <xf numFmtId="0" fontId="0" fillId="0" borderId="0" xfId="0" applyFont="1" applyFill="1"/>
    <xf numFmtId="16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applyFill="1"/>
    <xf numFmtId="0" fontId="23" fillId="0" borderId="0" xfId="0" applyFont="1"/>
    <xf numFmtId="0" fontId="0" fillId="0" borderId="0" xfId="0" applyFill="1" applyBorder="1"/>
    <xf numFmtId="166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/>
    <xf numFmtId="166" fontId="0" fillId="0" borderId="0" xfId="0" applyNumberFormat="1"/>
    <xf numFmtId="0" fontId="0" fillId="0" borderId="17" xfId="0" applyFont="1" applyFill="1" applyBorder="1"/>
    <xf numFmtId="0" fontId="0" fillId="0" borderId="0" xfId="0" applyFill="1"/>
    <xf numFmtId="0" fontId="0" fillId="0" borderId="0" xfId="0" applyFont="1" applyFill="1"/>
    <xf numFmtId="0" fontId="0" fillId="0" borderId="17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7" xfId="0" applyFont="1" applyFill="1" applyBorder="1"/>
    <xf numFmtId="14" fontId="0" fillId="0" borderId="17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16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0" borderId="0" xfId="0" applyFont="1" applyFill="1"/>
    <xf numFmtId="0" fontId="0" fillId="0" borderId="0" xfId="0" applyFill="1" applyBorder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166" fontId="0" fillId="0" borderId="0" xfId="0" applyNumberFormat="1"/>
    <xf numFmtId="0" fontId="0" fillId="0" borderId="0" xfId="0" applyFont="1" applyFill="1" applyBorder="1"/>
    <xf numFmtId="14" fontId="0" fillId="0" borderId="0" xfId="0" applyNumberFormat="1" applyFont="1" applyFill="1" applyBorder="1" applyAlignment="1">
      <alignment horizontal="right"/>
    </xf>
    <xf numFmtId="0" fontId="24" fillId="0" borderId="0" xfId="0" applyFont="1" applyFill="1" applyBorder="1" applyAlignment="1">
      <alignment horizontal="left" vertical="top" wrapText="1"/>
    </xf>
    <xf numFmtId="0" fontId="24" fillId="0" borderId="2" xfId="0" applyFont="1" applyFill="1" applyBorder="1" applyAlignment="1">
      <alignment horizontal="left" vertical="top" wrapText="1"/>
    </xf>
    <xf numFmtId="0" fontId="24" fillId="0" borderId="2" xfId="0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2" fillId="0" borderId="0" xfId="42" applyFill="1"/>
    <xf numFmtId="0" fontId="0" fillId="35" borderId="17" xfId="0" applyFont="1" applyFill="1" applyBorder="1"/>
    <xf numFmtId="0" fontId="0" fillId="35" borderId="0" xfId="0" applyFont="1" applyFill="1" applyBorder="1"/>
    <xf numFmtId="0" fontId="0" fillId="0" borderId="0" xfId="0"/>
    <xf numFmtId="0" fontId="0" fillId="0" borderId="0" xfId="0" applyFont="1" applyFill="1" applyAlignment="1">
      <alignment horizontal="left"/>
    </xf>
    <xf numFmtId="166" fontId="0" fillId="0" borderId="0" xfId="0" applyNumberFormat="1"/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/>
    </xf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/>
    <xf numFmtId="0" fontId="0" fillId="0" borderId="0" xfId="0" applyFont="1" applyFill="1"/>
    <xf numFmtId="0" fontId="0" fillId="0" borderId="0" xfId="0"/>
    <xf numFmtId="0" fontId="0" fillId="0" borderId="0" xfId="0" applyFont="1" applyFill="1" applyAlignment="1">
      <alignment horizontal="left"/>
    </xf>
    <xf numFmtId="166" fontId="0" fillId="0" borderId="0" xfId="0" applyNumberFormat="1"/>
    <xf numFmtId="0" fontId="0" fillId="0" borderId="0" xfId="0"/>
    <xf numFmtId="0" fontId="0" fillId="0" borderId="0" xfId="0" applyFont="1" applyFill="1" applyAlignment="1">
      <alignment horizontal="left"/>
    </xf>
    <xf numFmtId="166" fontId="0" fillId="0" borderId="0" xfId="0" applyNumberFormat="1"/>
    <xf numFmtId="0" fontId="0" fillId="0" borderId="0" xfId="0"/>
    <xf numFmtId="0" fontId="2" fillId="0" borderId="0" xfId="42"/>
    <xf numFmtId="0" fontId="2" fillId="0" borderId="0" xfId="42" applyAlignment="1">
      <alignment horizontal="center"/>
    </xf>
    <xf numFmtId="0" fontId="1" fillId="2" borderId="0" xfId="42" applyFont="1" applyFill="1"/>
    <xf numFmtId="0" fontId="2" fillId="2" borderId="0" xfId="42" applyFill="1"/>
    <xf numFmtId="22" fontId="3" fillId="3" borderId="0" xfId="42" applyNumberFormat="1" applyFont="1" applyFill="1" applyAlignment="1">
      <alignment horizontal="right"/>
    </xf>
    <xf numFmtId="0" fontId="2" fillId="36" borderId="0" xfId="42" applyFill="1"/>
    <xf numFmtId="2" fontId="2" fillId="0" borderId="0" xfId="42" applyNumberFormat="1"/>
    <xf numFmtId="0" fontId="2" fillId="0" borderId="0" xfId="42" applyFont="1" applyFill="1"/>
    <xf numFmtId="3" fontId="2" fillId="3" borderId="0" xfId="42" applyNumberFormat="1" applyFill="1"/>
    <xf numFmtId="22" fontId="2" fillId="3" borderId="0" xfId="42" applyNumberFormat="1" applyFill="1"/>
    <xf numFmtId="0" fontId="2" fillId="0" borderId="18" xfId="42" applyFont="1" applyBorder="1"/>
    <xf numFmtId="14" fontId="3" fillId="0" borderId="18" xfId="42" applyNumberFormat="1" applyFont="1" applyBorder="1" applyAlignment="1">
      <alignment horizontal="right"/>
    </xf>
    <xf numFmtId="0" fontId="2" fillId="0" borderId="0" xfId="42" applyFont="1"/>
    <xf numFmtId="49" fontId="2" fillId="0" borderId="0" xfId="42" applyNumberFormat="1" applyFont="1" applyBorder="1"/>
    <xf numFmtId="14" fontId="2" fillId="0" borderId="18" xfId="42" applyNumberFormat="1" applyFont="1" applyBorder="1" applyAlignment="1">
      <alignment horizontal="center"/>
    </xf>
    <xf numFmtId="14" fontId="2" fillId="0" borderId="18" xfId="42" applyNumberFormat="1" applyBorder="1" applyAlignment="1">
      <alignment horizontal="center"/>
    </xf>
    <xf numFmtId="14" fontId="2" fillId="0" borderId="18" xfId="42" applyNumberFormat="1" applyFont="1" applyBorder="1"/>
    <xf numFmtId="14" fontId="2" fillId="0" borderId="0" xfId="42" applyNumberFormat="1" applyFont="1"/>
    <xf numFmtId="0" fontId="2" fillId="0" borderId="19" xfId="42" applyFont="1" applyBorder="1"/>
    <xf numFmtId="0" fontId="3" fillId="0" borderId="20" xfId="42" applyFont="1" applyBorder="1" applyAlignment="1">
      <alignment horizontal="center" wrapText="1"/>
    </xf>
    <xf numFmtId="0" fontId="26" fillId="0" borderId="21" xfId="42" applyFont="1" applyBorder="1" applyAlignment="1">
      <alignment horizontal="center" wrapText="1"/>
    </xf>
    <xf numFmtId="49" fontId="2" fillId="0" borderId="21" xfId="42" applyNumberFormat="1" applyFont="1" applyBorder="1" applyAlignment="1">
      <alignment horizontal="center"/>
    </xf>
    <xf numFmtId="0" fontId="2" fillId="0" borderId="21" xfId="42" applyFont="1" applyBorder="1"/>
    <xf numFmtId="0" fontId="27" fillId="0" borderId="23" xfId="42" applyFont="1" applyBorder="1" applyAlignment="1">
      <alignment horizontal="center"/>
    </xf>
    <xf numFmtId="0" fontId="2" fillId="0" borderId="24" xfId="42" applyFont="1" applyFill="1" applyBorder="1"/>
    <xf numFmtId="0" fontId="3" fillId="0" borderId="22" xfId="42" applyFont="1" applyBorder="1" applyAlignment="1">
      <alignment horizontal="center"/>
    </xf>
    <xf numFmtId="0" fontId="3" fillId="0" borderId="25" xfId="42" applyFont="1" applyBorder="1" applyAlignment="1">
      <alignment horizontal="center"/>
    </xf>
    <xf numFmtId="2" fontId="2" fillId="0" borderId="25" xfId="42" applyNumberFormat="1" applyFont="1" applyBorder="1" applyAlignment="1">
      <alignment horizontal="center"/>
    </xf>
    <xf numFmtId="2" fontId="2" fillId="0" borderId="25" xfId="42" applyNumberFormat="1" applyFont="1" applyFill="1" applyBorder="1" applyAlignment="1">
      <alignment horizontal="center"/>
    </xf>
    <xf numFmtId="0" fontId="2" fillId="0" borderId="25" xfId="42" applyFont="1" applyBorder="1"/>
    <xf numFmtId="0" fontId="2" fillId="0" borderId="0" xfId="42" applyFont="1" applyFill="1" applyBorder="1"/>
    <xf numFmtId="0" fontId="3" fillId="0" borderId="26" xfId="42" applyFont="1" applyBorder="1" applyAlignment="1">
      <alignment horizontal="center"/>
    </xf>
    <xf numFmtId="0" fontId="27" fillId="0" borderId="25" xfId="42" applyFont="1" applyBorder="1" applyAlignment="1">
      <alignment horizontal="center"/>
    </xf>
    <xf numFmtId="0" fontId="2" fillId="0" borderId="25" xfId="42" applyBorder="1" applyAlignment="1">
      <alignment horizontal="center"/>
    </xf>
    <xf numFmtId="0" fontId="2" fillId="0" borderId="25" xfId="42" applyFont="1" applyBorder="1" applyAlignment="1">
      <alignment horizontal="center"/>
    </xf>
    <xf numFmtId="0" fontId="3" fillId="0" borderId="27" xfId="42" applyFont="1" applyBorder="1" applyAlignment="1">
      <alignment horizontal="center"/>
    </xf>
    <xf numFmtId="0" fontId="2" fillId="0" borderId="28" xfId="42" applyBorder="1" applyAlignment="1">
      <alignment horizontal="center"/>
    </xf>
    <xf numFmtId="0" fontId="3" fillId="0" borderId="28" xfId="42" applyFont="1" applyBorder="1" applyAlignment="1">
      <alignment horizontal="center"/>
    </xf>
    <xf numFmtId="2" fontId="2" fillId="0" borderId="28" xfId="42" applyNumberFormat="1" applyFont="1" applyBorder="1" applyAlignment="1">
      <alignment horizontal="center"/>
    </xf>
    <xf numFmtId="2" fontId="2" fillId="0" borderId="28" xfId="42" applyNumberFormat="1" applyFont="1" applyFill="1" applyBorder="1" applyAlignment="1">
      <alignment horizontal="center"/>
    </xf>
    <xf numFmtId="0" fontId="2" fillId="0" borderId="28" xfId="42" applyFont="1" applyBorder="1"/>
    <xf numFmtId="0" fontId="3" fillId="0" borderId="29" xfId="42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7" borderId="17" xfId="0" applyFont="1" applyFill="1" applyBorder="1"/>
    <xf numFmtId="0" fontId="2" fillId="0" borderId="21" xfId="42" applyBorder="1" applyAlignment="1">
      <alignment horizontal="center"/>
    </xf>
    <xf numFmtId="1" fontId="2" fillId="0" borderId="25" xfId="42" applyNumberFormat="1" applyFont="1" applyBorder="1" applyAlignment="1">
      <alignment horizontal="center"/>
    </xf>
    <xf numFmtId="1" fontId="2" fillId="0" borderId="25" xfId="42" applyNumberFormat="1" applyFont="1" applyFill="1" applyBorder="1" applyAlignment="1">
      <alignment horizontal="center"/>
    </xf>
    <xf numFmtId="1" fontId="2" fillId="0" borderId="25" xfId="42" applyNumberFormat="1" applyFont="1" applyBorder="1"/>
    <xf numFmtId="1" fontId="2" fillId="0" borderId="24" xfId="42" applyNumberFormat="1" applyFont="1" applyFill="1" applyBorder="1"/>
    <xf numFmtId="1" fontId="2" fillId="0" borderId="28" xfId="42" applyNumberFormat="1" applyFont="1" applyBorder="1" applyAlignment="1">
      <alignment horizontal="center"/>
    </xf>
    <xf numFmtId="1" fontId="2" fillId="0" borderId="28" xfId="42" applyNumberFormat="1" applyFont="1" applyFill="1" applyBorder="1" applyAlignment="1">
      <alignment horizontal="center"/>
    </xf>
    <xf numFmtId="1" fontId="2" fillId="0" borderId="28" xfId="42" applyNumberFormat="1" applyFont="1" applyBorder="1"/>
    <xf numFmtId="0" fontId="3" fillId="0" borderId="0" xfId="42" applyFont="1" applyBorder="1" applyAlignment="1">
      <alignment horizontal="center"/>
    </xf>
    <xf numFmtId="0" fontId="2" fillId="0" borderId="0" xfId="42" applyBorder="1" applyAlignment="1">
      <alignment horizontal="center"/>
    </xf>
    <xf numFmtId="1" fontId="2" fillId="0" borderId="0" xfId="42" applyNumberFormat="1" applyFont="1" applyBorder="1" applyAlignment="1">
      <alignment horizontal="center"/>
    </xf>
    <xf numFmtId="1" fontId="2" fillId="0" borderId="0" xfId="42" applyNumberFormat="1" applyFont="1" applyFill="1" applyBorder="1" applyAlignment="1">
      <alignment horizontal="center"/>
    </xf>
    <xf numFmtId="1" fontId="2" fillId="0" borderId="0" xfId="42" applyNumberFormat="1" applyFont="1" applyBorder="1"/>
    <xf numFmtId="164" fontId="2" fillId="0" borderId="25" xfId="42" applyNumberFormat="1" applyFont="1" applyBorder="1" applyAlignment="1">
      <alignment horizontal="center"/>
    </xf>
    <xf numFmtId="0" fontId="2" fillId="0" borderId="22" xfId="42" applyBorder="1" applyAlignment="1">
      <alignment horizontal="center"/>
    </xf>
    <xf numFmtId="0" fontId="2" fillId="0" borderId="28" xfId="42" applyFont="1" applyBorder="1" applyAlignment="1">
      <alignment horizontal="center"/>
    </xf>
    <xf numFmtId="2" fontId="0" fillId="0" borderId="17" xfId="0" applyNumberFormat="1" applyFont="1" applyFill="1" applyBorder="1" applyAlignment="1">
      <alignment horizontal="right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8"/>
    <cellStyle name="Normal 2 3" xfId="45"/>
    <cellStyle name="Normal 3" xfId="47"/>
    <cellStyle name="Normal 4" xfId="46"/>
    <cellStyle name="Normal 5" xfId="49"/>
    <cellStyle name="Normal 6" xfId="43"/>
    <cellStyle name="Note" xfId="15" builtinId="10" customBuiltin="1"/>
    <cellStyle name="Output" xfId="10" builtinId="21" customBuiltin="1"/>
    <cellStyle name="Percent 2" xfId="51"/>
    <cellStyle name="Percent 3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6BC8E"/>
      <color rgb="FF11FBF5"/>
      <color rgb="FFFB1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Winter Refuse</a:t>
            </a:r>
          </a:p>
        </c:rich>
      </c:tx>
      <c:layout>
        <c:manualLayout>
          <c:xMode val="edge"/>
          <c:yMode val="edge"/>
          <c:x val="0.29827077865268004"/>
          <c:y val="9.2592592592596386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6991148165303283"/>
          <c:y val="0.20358096460004502"/>
          <c:w val="0.60114163568671775"/>
          <c:h val="0.62752603383120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pH!$C$5</c:f>
              <c:strCache>
                <c:ptCount val="1"/>
                <c:pt idx="0">
                  <c:v>P6</c:v>
                </c:pt>
              </c:strCache>
            </c:strRef>
          </c:tx>
          <c:xVal>
            <c:numRef>
              <c:f>pH!$F$3:$AK$3</c:f>
              <c:numCache>
                <c:formatCode>General</c:formatCode>
                <c:ptCount val="32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70</c:v>
                </c:pt>
                <c:pt idx="17">
                  <c:v>82</c:v>
                </c:pt>
                <c:pt idx="18">
                  <c:v>88</c:v>
                </c:pt>
                <c:pt idx="19">
                  <c:v>96</c:v>
                </c:pt>
                <c:pt idx="20">
                  <c:v>102</c:v>
                </c:pt>
                <c:pt idx="21">
                  <c:v>109</c:v>
                </c:pt>
                <c:pt idx="22">
                  <c:v>117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146</c:v>
                </c:pt>
                <c:pt idx="27">
                  <c:v>167</c:v>
                </c:pt>
                <c:pt idx="28">
                  <c:v>200</c:v>
                </c:pt>
                <c:pt idx="29">
                  <c:v>230</c:v>
                </c:pt>
                <c:pt idx="30">
                  <c:v>260</c:v>
                </c:pt>
                <c:pt idx="31">
                  <c:v>273</c:v>
                </c:pt>
              </c:numCache>
            </c:numRef>
          </c:xVal>
          <c:yVal>
            <c:numRef>
              <c:f>pH!$F$5:$AK$5</c:f>
              <c:numCache>
                <c:formatCode>0.00</c:formatCode>
                <c:ptCount val="32"/>
                <c:pt idx="0">
                  <c:v>5.37</c:v>
                </c:pt>
                <c:pt idx="1">
                  <c:v>5.64</c:v>
                </c:pt>
                <c:pt idx="2">
                  <c:v>6</c:v>
                </c:pt>
                <c:pt idx="3">
                  <c:v>6</c:v>
                </c:pt>
                <c:pt idx="4">
                  <c:v>6.35</c:v>
                </c:pt>
                <c:pt idx="5">
                  <c:v>5.72</c:v>
                </c:pt>
                <c:pt idx="6">
                  <c:v>6.34</c:v>
                </c:pt>
                <c:pt idx="7">
                  <c:v>5.77</c:v>
                </c:pt>
                <c:pt idx="8" formatCode="General">
                  <c:v>5.9</c:v>
                </c:pt>
                <c:pt idx="9" formatCode="General">
                  <c:v>6.26</c:v>
                </c:pt>
                <c:pt idx="10" formatCode="General">
                  <c:v>6.37</c:v>
                </c:pt>
                <c:pt idx="11" formatCode="General">
                  <c:v>6.31</c:v>
                </c:pt>
                <c:pt idx="12" formatCode="General">
                  <c:v>6.08</c:v>
                </c:pt>
                <c:pt idx="13" formatCode="General">
                  <c:v>6.18</c:v>
                </c:pt>
                <c:pt idx="14" formatCode="General">
                  <c:v>6.8</c:v>
                </c:pt>
                <c:pt idx="15" formatCode="General">
                  <c:v>6.83</c:v>
                </c:pt>
                <c:pt idx="16" formatCode="General">
                  <c:v>7.46</c:v>
                </c:pt>
                <c:pt idx="17" formatCode="General">
                  <c:v>8.08</c:v>
                </c:pt>
                <c:pt idx="18" formatCode="General">
                  <c:v>7.55</c:v>
                </c:pt>
                <c:pt idx="19" formatCode="General">
                  <c:v>8.16</c:v>
                </c:pt>
                <c:pt idx="20" formatCode="General">
                  <c:v>8.42</c:v>
                </c:pt>
                <c:pt idx="21" formatCode="General">
                  <c:v>8.4</c:v>
                </c:pt>
                <c:pt idx="22" formatCode="General">
                  <c:v>8.3699999999999992</c:v>
                </c:pt>
                <c:pt idx="23" formatCode="General">
                  <c:v>8.32</c:v>
                </c:pt>
                <c:pt idx="24" formatCode="General">
                  <c:v>8.1999999999999993</c:v>
                </c:pt>
                <c:pt idx="25" formatCode="General">
                  <c:v>8.4600000000000009</c:v>
                </c:pt>
                <c:pt idx="27" formatCode="General">
                  <c:v>8.44</c:v>
                </c:pt>
                <c:pt idx="28" formatCode="General">
                  <c:v>8.44</c:v>
                </c:pt>
                <c:pt idx="29" formatCode="General">
                  <c:v>8.34</c:v>
                </c:pt>
                <c:pt idx="30" formatCode="General">
                  <c:v>8.3699999999999992</c:v>
                </c:pt>
                <c:pt idx="31" formatCode="General">
                  <c:v>8.3800000000000008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9-4D53-A533-C3ED0FBD493D}"/>
            </c:ext>
          </c:extLst>
        </c:ser>
        <c:ser>
          <c:idx val="1"/>
          <c:order val="1"/>
          <c:tx>
            <c:strRef>
              <c:f>pH!$C$6</c:f>
              <c:strCache>
                <c:ptCount val="1"/>
                <c:pt idx="0">
                  <c:v>P7</c:v>
                </c:pt>
              </c:strCache>
            </c:strRef>
          </c:tx>
          <c:xVal>
            <c:numRef>
              <c:f>pH!$F$3:$AK$3</c:f>
              <c:numCache>
                <c:formatCode>General</c:formatCode>
                <c:ptCount val="32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70</c:v>
                </c:pt>
                <c:pt idx="17">
                  <c:v>82</c:v>
                </c:pt>
                <c:pt idx="18">
                  <c:v>88</c:v>
                </c:pt>
                <c:pt idx="19">
                  <c:v>96</c:v>
                </c:pt>
                <c:pt idx="20">
                  <c:v>102</c:v>
                </c:pt>
                <c:pt idx="21">
                  <c:v>109</c:v>
                </c:pt>
                <c:pt idx="22">
                  <c:v>117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146</c:v>
                </c:pt>
                <c:pt idx="27">
                  <c:v>167</c:v>
                </c:pt>
                <c:pt idx="28">
                  <c:v>200</c:v>
                </c:pt>
                <c:pt idx="29">
                  <c:v>230</c:v>
                </c:pt>
                <c:pt idx="30">
                  <c:v>260</c:v>
                </c:pt>
                <c:pt idx="31">
                  <c:v>273</c:v>
                </c:pt>
              </c:numCache>
            </c:numRef>
          </c:xVal>
          <c:yVal>
            <c:numRef>
              <c:f>pH!$F$6:$AK$6</c:f>
              <c:numCache>
                <c:formatCode>0.00</c:formatCode>
                <c:ptCount val="32"/>
                <c:pt idx="0">
                  <c:v>5.15</c:v>
                </c:pt>
                <c:pt idx="1">
                  <c:v>5.45</c:v>
                </c:pt>
                <c:pt idx="2">
                  <c:v>6.17</c:v>
                </c:pt>
                <c:pt idx="3">
                  <c:v>5.84</c:v>
                </c:pt>
                <c:pt idx="4">
                  <c:v>6.17</c:v>
                </c:pt>
                <c:pt idx="5">
                  <c:v>6.33</c:v>
                </c:pt>
                <c:pt idx="6">
                  <c:v>7.13</c:v>
                </c:pt>
                <c:pt idx="7">
                  <c:v>7.67</c:v>
                </c:pt>
                <c:pt idx="8" formatCode="General">
                  <c:v>7.89</c:v>
                </c:pt>
                <c:pt idx="10" formatCode="General">
                  <c:v>7.62</c:v>
                </c:pt>
                <c:pt idx="13" formatCode="General">
                  <c:v>8.08</c:v>
                </c:pt>
                <c:pt idx="16" formatCode="General">
                  <c:v>8.1300000000000008</c:v>
                </c:pt>
                <c:pt idx="17" formatCode="General">
                  <c:v>8.49</c:v>
                </c:pt>
                <c:pt idx="18" formatCode="General">
                  <c:v>8.2799999999999994</c:v>
                </c:pt>
                <c:pt idx="19" formatCode="General">
                  <c:v>8.3800000000000008</c:v>
                </c:pt>
                <c:pt idx="20" formatCode="General">
                  <c:v>8.2799999999999994</c:v>
                </c:pt>
                <c:pt idx="21" formatCode="General">
                  <c:v>8.3800000000000008</c:v>
                </c:pt>
                <c:pt idx="22" formatCode="General">
                  <c:v>8.2100000000000009</c:v>
                </c:pt>
                <c:pt idx="23" formatCode="General">
                  <c:v>8.09</c:v>
                </c:pt>
                <c:pt idx="24" formatCode="General">
                  <c:v>8.31</c:v>
                </c:pt>
                <c:pt idx="25" formatCode="General">
                  <c:v>8.19</c:v>
                </c:pt>
                <c:pt idx="27" formatCode="General">
                  <c:v>8.43</c:v>
                </c:pt>
                <c:pt idx="28" formatCode="General">
                  <c:v>8.32</c:v>
                </c:pt>
                <c:pt idx="29" formatCode="General">
                  <c:v>8.32</c:v>
                </c:pt>
                <c:pt idx="30" formatCode="General">
                  <c:v>8.2799999999999994</c:v>
                </c:pt>
                <c:pt idx="31" formatCode="General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9-4D53-A533-C3ED0FBD493D}"/>
            </c:ext>
          </c:extLst>
        </c:ser>
        <c:ser>
          <c:idx val="2"/>
          <c:order val="2"/>
          <c:tx>
            <c:strRef>
              <c:f>pH!$C$7</c:f>
              <c:strCache>
                <c:ptCount val="1"/>
                <c:pt idx="0">
                  <c:v>P8</c:v>
                </c:pt>
              </c:strCache>
            </c:strRef>
          </c:tx>
          <c:xVal>
            <c:numRef>
              <c:f>pH!$F$3:$AK$3</c:f>
              <c:numCache>
                <c:formatCode>General</c:formatCode>
                <c:ptCount val="32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70</c:v>
                </c:pt>
                <c:pt idx="17">
                  <c:v>82</c:v>
                </c:pt>
                <c:pt idx="18">
                  <c:v>88</c:v>
                </c:pt>
                <c:pt idx="19">
                  <c:v>96</c:v>
                </c:pt>
                <c:pt idx="20">
                  <c:v>102</c:v>
                </c:pt>
                <c:pt idx="21">
                  <c:v>109</c:v>
                </c:pt>
                <c:pt idx="22">
                  <c:v>117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146</c:v>
                </c:pt>
                <c:pt idx="27">
                  <c:v>167</c:v>
                </c:pt>
                <c:pt idx="28">
                  <c:v>200</c:v>
                </c:pt>
                <c:pt idx="29">
                  <c:v>230</c:v>
                </c:pt>
                <c:pt idx="30">
                  <c:v>260</c:v>
                </c:pt>
                <c:pt idx="31">
                  <c:v>273</c:v>
                </c:pt>
              </c:numCache>
            </c:numRef>
          </c:xVal>
          <c:yVal>
            <c:numRef>
              <c:f>pH!$F$7:$AK$7</c:f>
              <c:numCache>
                <c:formatCode>0.00</c:formatCode>
                <c:ptCount val="32"/>
                <c:pt idx="0">
                  <c:v>4.6900000000000004</c:v>
                </c:pt>
                <c:pt idx="1">
                  <c:v>4.72</c:v>
                </c:pt>
                <c:pt idx="2">
                  <c:v>4.78</c:v>
                </c:pt>
                <c:pt idx="3">
                  <c:v>5.33</c:v>
                </c:pt>
                <c:pt idx="4">
                  <c:v>5.64</c:v>
                </c:pt>
                <c:pt idx="5">
                  <c:v>5.49</c:v>
                </c:pt>
                <c:pt idx="7">
                  <c:v>5.56</c:v>
                </c:pt>
                <c:pt idx="8" formatCode="General">
                  <c:v>5.56</c:v>
                </c:pt>
                <c:pt idx="10" formatCode="General">
                  <c:v>5.55</c:v>
                </c:pt>
                <c:pt idx="13" formatCode="General">
                  <c:v>5.6</c:v>
                </c:pt>
                <c:pt idx="16" formatCode="General">
                  <c:v>5.66</c:v>
                </c:pt>
                <c:pt idx="21" formatCode="General">
                  <c:v>5.95</c:v>
                </c:pt>
                <c:pt idx="26" formatCode="General">
                  <c:v>6.05</c:v>
                </c:pt>
                <c:pt idx="27" formatCode="General">
                  <c:v>6.24</c:v>
                </c:pt>
                <c:pt idx="28" formatCode="General">
                  <c:v>6.11</c:v>
                </c:pt>
                <c:pt idx="29" formatCode="General">
                  <c:v>6.5</c:v>
                </c:pt>
                <c:pt idx="31" formatCode="General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F9-4D53-A533-C3ED0FBD493D}"/>
            </c:ext>
          </c:extLst>
        </c:ser>
        <c:ser>
          <c:idx val="3"/>
          <c:order val="3"/>
          <c:tx>
            <c:strRef>
              <c:f>pH!$C$8</c:f>
              <c:strCache>
                <c:ptCount val="1"/>
                <c:pt idx="0">
                  <c:v>P9</c:v>
                </c:pt>
              </c:strCache>
            </c:strRef>
          </c:tx>
          <c:xVal>
            <c:numRef>
              <c:f>pH!$F$3:$AK$3</c:f>
              <c:numCache>
                <c:formatCode>General</c:formatCode>
                <c:ptCount val="32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70</c:v>
                </c:pt>
                <c:pt idx="17">
                  <c:v>82</c:v>
                </c:pt>
                <c:pt idx="18">
                  <c:v>88</c:v>
                </c:pt>
                <c:pt idx="19">
                  <c:v>96</c:v>
                </c:pt>
                <c:pt idx="20">
                  <c:v>102</c:v>
                </c:pt>
                <c:pt idx="21">
                  <c:v>109</c:v>
                </c:pt>
                <c:pt idx="22">
                  <c:v>117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146</c:v>
                </c:pt>
                <c:pt idx="27">
                  <c:v>167</c:v>
                </c:pt>
                <c:pt idx="28">
                  <c:v>200</c:v>
                </c:pt>
                <c:pt idx="29">
                  <c:v>230</c:v>
                </c:pt>
                <c:pt idx="30">
                  <c:v>260</c:v>
                </c:pt>
                <c:pt idx="31">
                  <c:v>273</c:v>
                </c:pt>
              </c:numCache>
            </c:numRef>
          </c:xVal>
          <c:yVal>
            <c:numRef>
              <c:f>pH!$F$8:$AK$8</c:f>
              <c:numCache>
                <c:formatCode>0.00</c:formatCode>
                <c:ptCount val="32"/>
                <c:pt idx="0">
                  <c:v>4.6500000000000004</c:v>
                </c:pt>
                <c:pt idx="1">
                  <c:v>4.7300000000000004</c:v>
                </c:pt>
                <c:pt idx="2">
                  <c:v>4.75</c:v>
                </c:pt>
                <c:pt idx="3">
                  <c:v>4.9800000000000004</c:v>
                </c:pt>
                <c:pt idx="4">
                  <c:v>5.31</c:v>
                </c:pt>
                <c:pt idx="5">
                  <c:v>5.25</c:v>
                </c:pt>
                <c:pt idx="7">
                  <c:v>5.28</c:v>
                </c:pt>
                <c:pt idx="8" formatCode="General">
                  <c:v>5.25</c:v>
                </c:pt>
                <c:pt idx="10" formatCode="General">
                  <c:v>5.25</c:v>
                </c:pt>
                <c:pt idx="13" formatCode="General">
                  <c:v>5.36</c:v>
                </c:pt>
                <c:pt idx="16" formatCode="General">
                  <c:v>5.45</c:v>
                </c:pt>
                <c:pt idx="21" formatCode="General">
                  <c:v>5.53</c:v>
                </c:pt>
                <c:pt idx="26" formatCode="General">
                  <c:v>5.51</c:v>
                </c:pt>
                <c:pt idx="27" formatCode="General">
                  <c:v>5.61</c:v>
                </c:pt>
                <c:pt idx="28" formatCode="General">
                  <c:v>5.74</c:v>
                </c:pt>
                <c:pt idx="29" formatCode="General">
                  <c:v>5.89</c:v>
                </c:pt>
                <c:pt idx="30" formatCode="General">
                  <c:v>5.85</c:v>
                </c:pt>
                <c:pt idx="31" formatCode="General">
                  <c:v>5.96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F9-4D53-A533-C3ED0FBD4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04920"/>
        <c:axId val="554713936"/>
      </c:scatterChart>
      <c:valAx>
        <c:axId val="554704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2283792650918639"/>
              <c:y val="0.920347039953339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54713936"/>
        <c:crosses val="autoZero"/>
        <c:crossBetween val="midCat"/>
      </c:valAx>
      <c:valAx>
        <c:axId val="554713936"/>
        <c:scaling>
          <c:orientation val="minMax"/>
          <c:max val="8.5"/>
          <c:min val="4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1.6339869281046004E-3"/>
              <c:y val="0.40893862661440838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554704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45364045582663"/>
          <c:y val="0.16581180326503889"/>
          <c:w val="0.2525463595441737"/>
          <c:h val="0.66289145363680901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B)</a:t>
            </a:r>
            <a:r>
              <a:rPr lang="en-US" baseline="0"/>
              <a:t> </a:t>
            </a:r>
            <a:r>
              <a:rPr lang="en-US"/>
              <a:t>Winter</a:t>
            </a:r>
          </a:p>
        </c:rich>
      </c:tx>
      <c:layout>
        <c:manualLayout>
          <c:xMode val="edge"/>
          <c:yMode val="edge"/>
          <c:x val="0.65754172289977963"/>
          <c:y val="3.2510355816193497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609809814782622"/>
          <c:y val="0.15551559569833875"/>
          <c:w val="0.81429376730116942"/>
          <c:h val="0.72365677163461994"/>
        </c:manualLayout>
      </c:layout>
      <c:scatterChart>
        <c:scatterStyle val="smoothMarker"/>
        <c:varyColors val="0"/>
        <c:ser>
          <c:idx val="0"/>
          <c:order val="0"/>
          <c:tx>
            <c:v>Biotic 1</c:v>
          </c:tx>
          <c:xVal>
            <c:numRef>
              <c:f>pH!$F$3:$AK$3</c:f>
              <c:numCache>
                <c:formatCode>General</c:formatCode>
                <c:ptCount val="32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70</c:v>
                </c:pt>
                <c:pt idx="17">
                  <c:v>82</c:v>
                </c:pt>
                <c:pt idx="18">
                  <c:v>88</c:v>
                </c:pt>
                <c:pt idx="19">
                  <c:v>96</c:v>
                </c:pt>
                <c:pt idx="20">
                  <c:v>102</c:v>
                </c:pt>
                <c:pt idx="21">
                  <c:v>109</c:v>
                </c:pt>
                <c:pt idx="22">
                  <c:v>117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146</c:v>
                </c:pt>
                <c:pt idx="27">
                  <c:v>167</c:v>
                </c:pt>
                <c:pt idx="28">
                  <c:v>200</c:v>
                </c:pt>
                <c:pt idx="29">
                  <c:v>230</c:v>
                </c:pt>
                <c:pt idx="30">
                  <c:v>260</c:v>
                </c:pt>
                <c:pt idx="31">
                  <c:v>273</c:v>
                </c:pt>
              </c:numCache>
            </c:numRef>
          </c:xVal>
          <c:yVal>
            <c:numRef>
              <c:f>pH!$F$5:$AK$5</c:f>
              <c:numCache>
                <c:formatCode>0.00</c:formatCode>
                <c:ptCount val="32"/>
                <c:pt idx="0">
                  <c:v>5.37</c:v>
                </c:pt>
                <c:pt idx="1">
                  <c:v>5.64</c:v>
                </c:pt>
                <c:pt idx="2">
                  <c:v>6</c:v>
                </c:pt>
                <c:pt idx="3">
                  <c:v>6</c:v>
                </c:pt>
                <c:pt idx="4">
                  <c:v>6.35</c:v>
                </c:pt>
                <c:pt idx="5">
                  <c:v>5.72</c:v>
                </c:pt>
                <c:pt idx="6">
                  <c:v>6.34</c:v>
                </c:pt>
                <c:pt idx="7">
                  <c:v>5.77</c:v>
                </c:pt>
                <c:pt idx="8" formatCode="General">
                  <c:v>5.9</c:v>
                </c:pt>
                <c:pt idx="9" formatCode="General">
                  <c:v>6.26</c:v>
                </c:pt>
                <c:pt idx="10" formatCode="General">
                  <c:v>6.37</c:v>
                </c:pt>
                <c:pt idx="11" formatCode="General">
                  <c:v>6.31</c:v>
                </c:pt>
                <c:pt idx="12" formatCode="General">
                  <c:v>6.08</c:v>
                </c:pt>
                <c:pt idx="13" formatCode="General">
                  <c:v>6.18</c:v>
                </c:pt>
                <c:pt idx="14" formatCode="General">
                  <c:v>6.8</c:v>
                </c:pt>
                <c:pt idx="15" formatCode="General">
                  <c:v>6.83</c:v>
                </c:pt>
                <c:pt idx="16" formatCode="General">
                  <c:v>7.46</c:v>
                </c:pt>
                <c:pt idx="17" formatCode="General">
                  <c:v>8.08</c:v>
                </c:pt>
                <c:pt idx="18" formatCode="General">
                  <c:v>7.55</c:v>
                </c:pt>
                <c:pt idx="19" formatCode="General">
                  <c:v>8.16</c:v>
                </c:pt>
                <c:pt idx="20" formatCode="General">
                  <c:v>8.42</c:v>
                </c:pt>
                <c:pt idx="21" formatCode="General">
                  <c:v>8.4</c:v>
                </c:pt>
                <c:pt idx="22" formatCode="General">
                  <c:v>8.3699999999999992</c:v>
                </c:pt>
                <c:pt idx="23" formatCode="General">
                  <c:v>8.32</c:v>
                </c:pt>
                <c:pt idx="24" formatCode="General">
                  <c:v>8.1999999999999993</c:v>
                </c:pt>
                <c:pt idx="25" formatCode="General">
                  <c:v>8.4600000000000009</c:v>
                </c:pt>
                <c:pt idx="27" formatCode="General">
                  <c:v>8.44</c:v>
                </c:pt>
                <c:pt idx="28" formatCode="General">
                  <c:v>8.44</c:v>
                </c:pt>
                <c:pt idx="29" formatCode="General">
                  <c:v>8.34</c:v>
                </c:pt>
                <c:pt idx="30" formatCode="General">
                  <c:v>8.3699999999999992</c:v>
                </c:pt>
                <c:pt idx="31" formatCode="General">
                  <c:v>8.3800000000000008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DF-4D5A-942E-B616DE4A0089}"/>
            </c:ext>
          </c:extLst>
        </c:ser>
        <c:ser>
          <c:idx val="1"/>
          <c:order val="1"/>
          <c:tx>
            <c:v>Biotic 2</c:v>
          </c:tx>
          <c:xVal>
            <c:numRef>
              <c:f>pH!$F$3:$AK$3</c:f>
              <c:numCache>
                <c:formatCode>General</c:formatCode>
                <c:ptCount val="32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70</c:v>
                </c:pt>
                <c:pt idx="17">
                  <c:v>82</c:v>
                </c:pt>
                <c:pt idx="18">
                  <c:v>88</c:v>
                </c:pt>
                <c:pt idx="19">
                  <c:v>96</c:v>
                </c:pt>
                <c:pt idx="20">
                  <c:v>102</c:v>
                </c:pt>
                <c:pt idx="21">
                  <c:v>109</c:v>
                </c:pt>
                <c:pt idx="22">
                  <c:v>117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146</c:v>
                </c:pt>
                <c:pt idx="27">
                  <c:v>167</c:v>
                </c:pt>
                <c:pt idx="28">
                  <c:v>200</c:v>
                </c:pt>
                <c:pt idx="29">
                  <c:v>230</c:v>
                </c:pt>
                <c:pt idx="30">
                  <c:v>260</c:v>
                </c:pt>
                <c:pt idx="31">
                  <c:v>273</c:v>
                </c:pt>
              </c:numCache>
            </c:numRef>
          </c:xVal>
          <c:yVal>
            <c:numRef>
              <c:f>pH!$F$6:$AK$6</c:f>
              <c:numCache>
                <c:formatCode>0.00</c:formatCode>
                <c:ptCount val="32"/>
                <c:pt idx="0">
                  <c:v>5.15</c:v>
                </c:pt>
                <c:pt idx="1">
                  <c:v>5.45</c:v>
                </c:pt>
                <c:pt idx="2">
                  <c:v>6.17</c:v>
                </c:pt>
                <c:pt idx="3">
                  <c:v>5.84</c:v>
                </c:pt>
                <c:pt idx="4">
                  <c:v>6.17</c:v>
                </c:pt>
                <c:pt idx="5">
                  <c:v>6.33</c:v>
                </c:pt>
                <c:pt idx="6">
                  <c:v>7.13</c:v>
                </c:pt>
                <c:pt idx="7">
                  <c:v>7.67</c:v>
                </c:pt>
                <c:pt idx="8" formatCode="General">
                  <c:v>7.89</c:v>
                </c:pt>
                <c:pt idx="10" formatCode="General">
                  <c:v>7.62</c:v>
                </c:pt>
                <c:pt idx="13" formatCode="General">
                  <c:v>8.08</c:v>
                </c:pt>
                <c:pt idx="16" formatCode="General">
                  <c:v>8.1300000000000008</c:v>
                </c:pt>
                <c:pt idx="17" formatCode="General">
                  <c:v>8.49</c:v>
                </c:pt>
                <c:pt idx="18" formatCode="General">
                  <c:v>8.2799999999999994</c:v>
                </c:pt>
                <c:pt idx="19" formatCode="General">
                  <c:v>8.3800000000000008</c:v>
                </c:pt>
                <c:pt idx="20" formatCode="General">
                  <c:v>8.2799999999999994</c:v>
                </c:pt>
                <c:pt idx="21" formatCode="General">
                  <c:v>8.3800000000000008</c:v>
                </c:pt>
                <c:pt idx="22" formatCode="General">
                  <c:v>8.2100000000000009</c:v>
                </c:pt>
                <c:pt idx="23" formatCode="General">
                  <c:v>8.09</c:v>
                </c:pt>
                <c:pt idx="24" formatCode="General">
                  <c:v>8.31</c:v>
                </c:pt>
                <c:pt idx="25" formatCode="General">
                  <c:v>8.19</c:v>
                </c:pt>
                <c:pt idx="27" formatCode="General">
                  <c:v>8.43</c:v>
                </c:pt>
                <c:pt idx="28" formatCode="General">
                  <c:v>8.32</c:v>
                </c:pt>
                <c:pt idx="29" formatCode="General">
                  <c:v>8.32</c:v>
                </c:pt>
                <c:pt idx="30" formatCode="General">
                  <c:v>8.2799999999999994</c:v>
                </c:pt>
                <c:pt idx="31" formatCode="General">
                  <c:v>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DF-4D5A-942E-B616DE4A0089}"/>
            </c:ext>
          </c:extLst>
        </c:ser>
        <c:ser>
          <c:idx val="2"/>
          <c:order val="2"/>
          <c:tx>
            <c:v>Abiotic 1</c:v>
          </c:tx>
          <c:xVal>
            <c:numRef>
              <c:f>pH!$F$3:$AK$3</c:f>
              <c:numCache>
                <c:formatCode>General</c:formatCode>
                <c:ptCount val="32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70</c:v>
                </c:pt>
                <c:pt idx="17">
                  <c:v>82</c:v>
                </c:pt>
                <c:pt idx="18">
                  <c:v>88</c:v>
                </c:pt>
                <c:pt idx="19">
                  <c:v>96</c:v>
                </c:pt>
                <c:pt idx="20">
                  <c:v>102</c:v>
                </c:pt>
                <c:pt idx="21">
                  <c:v>109</c:v>
                </c:pt>
                <c:pt idx="22">
                  <c:v>117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146</c:v>
                </c:pt>
                <c:pt idx="27">
                  <c:v>167</c:v>
                </c:pt>
                <c:pt idx="28">
                  <c:v>200</c:v>
                </c:pt>
                <c:pt idx="29">
                  <c:v>230</c:v>
                </c:pt>
                <c:pt idx="30">
                  <c:v>260</c:v>
                </c:pt>
                <c:pt idx="31">
                  <c:v>273</c:v>
                </c:pt>
              </c:numCache>
            </c:numRef>
          </c:xVal>
          <c:yVal>
            <c:numRef>
              <c:f>pH!$F$7:$AK$7</c:f>
              <c:numCache>
                <c:formatCode>0.00</c:formatCode>
                <c:ptCount val="32"/>
                <c:pt idx="0">
                  <c:v>4.6900000000000004</c:v>
                </c:pt>
                <c:pt idx="1">
                  <c:v>4.72</c:v>
                </c:pt>
                <c:pt idx="2">
                  <c:v>4.78</c:v>
                </c:pt>
                <c:pt idx="3">
                  <c:v>5.33</c:v>
                </c:pt>
                <c:pt idx="4">
                  <c:v>5.64</c:v>
                </c:pt>
                <c:pt idx="5">
                  <c:v>5.49</c:v>
                </c:pt>
                <c:pt idx="7">
                  <c:v>5.56</c:v>
                </c:pt>
                <c:pt idx="8" formatCode="General">
                  <c:v>5.56</c:v>
                </c:pt>
                <c:pt idx="10" formatCode="General">
                  <c:v>5.55</c:v>
                </c:pt>
                <c:pt idx="13" formatCode="General">
                  <c:v>5.6</c:v>
                </c:pt>
                <c:pt idx="16" formatCode="General">
                  <c:v>5.66</c:v>
                </c:pt>
                <c:pt idx="21" formatCode="General">
                  <c:v>5.95</c:v>
                </c:pt>
                <c:pt idx="26" formatCode="General">
                  <c:v>6.05</c:v>
                </c:pt>
                <c:pt idx="27" formatCode="General">
                  <c:v>6.24</c:v>
                </c:pt>
                <c:pt idx="28" formatCode="General">
                  <c:v>6.11</c:v>
                </c:pt>
                <c:pt idx="29" formatCode="General">
                  <c:v>6.5</c:v>
                </c:pt>
                <c:pt idx="31" formatCode="General">
                  <c:v>6.36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DF-4D5A-942E-B616DE4A0089}"/>
            </c:ext>
          </c:extLst>
        </c:ser>
        <c:ser>
          <c:idx val="3"/>
          <c:order val="3"/>
          <c:tx>
            <c:v>Abiotic 2</c:v>
          </c:tx>
          <c:xVal>
            <c:numRef>
              <c:f>pH!$F$3:$AK$3</c:f>
              <c:numCache>
                <c:formatCode>General</c:formatCode>
                <c:ptCount val="32"/>
                <c:pt idx="0">
                  <c:v>6</c:v>
                </c:pt>
                <c:pt idx="1">
                  <c:v>11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26</c:v>
                </c:pt>
                <c:pt idx="6">
                  <c:v>27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  <c:pt idx="10">
                  <c:v>41</c:v>
                </c:pt>
                <c:pt idx="11">
                  <c:v>48</c:v>
                </c:pt>
                <c:pt idx="12">
                  <c:v>49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70</c:v>
                </c:pt>
                <c:pt idx="17">
                  <c:v>82</c:v>
                </c:pt>
                <c:pt idx="18">
                  <c:v>88</c:v>
                </c:pt>
                <c:pt idx="19">
                  <c:v>96</c:v>
                </c:pt>
                <c:pt idx="20">
                  <c:v>102</c:v>
                </c:pt>
                <c:pt idx="21">
                  <c:v>109</c:v>
                </c:pt>
                <c:pt idx="22">
                  <c:v>117</c:v>
                </c:pt>
                <c:pt idx="23">
                  <c:v>123</c:v>
                </c:pt>
                <c:pt idx="24">
                  <c:v>132</c:v>
                </c:pt>
                <c:pt idx="25">
                  <c:v>139</c:v>
                </c:pt>
                <c:pt idx="26">
                  <c:v>146</c:v>
                </c:pt>
                <c:pt idx="27">
                  <c:v>167</c:v>
                </c:pt>
                <c:pt idx="28">
                  <c:v>200</c:v>
                </c:pt>
                <c:pt idx="29">
                  <c:v>230</c:v>
                </c:pt>
                <c:pt idx="30">
                  <c:v>260</c:v>
                </c:pt>
                <c:pt idx="31">
                  <c:v>273</c:v>
                </c:pt>
              </c:numCache>
            </c:numRef>
          </c:xVal>
          <c:yVal>
            <c:numRef>
              <c:f>pH!$F$8:$AK$8</c:f>
              <c:numCache>
                <c:formatCode>0.00</c:formatCode>
                <c:ptCount val="32"/>
                <c:pt idx="0">
                  <c:v>4.6500000000000004</c:v>
                </c:pt>
                <c:pt idx="1">
                  <c:v>4.7300000000000004</c:v>
                </c:pt>
                <c:pt idx="2">
                  <c:v>4.75</c:v>
                </c:pt>
                <c:pt idx="3">
                  <c:v>4.9800000000000004</c:v>
                </c:pt>
                <c:pt idx="4">
                  <c:v>5.31</c:v>
                </c:pt>
                <c:pt idx="5">
                  <c:v>5.25</c:v>
                </c:pt>
                <c:pt idx="7">
                  <c:v>5.28</c:v>
                </c:pt>
                <c:pt idx="8" formatCode="General">
                  <c:v>5.25</c:v>
                </c:pt>
                <c:pt idx="10" formatCode="General">
                  <c:v>5.25</c:v>
                </c:pt>
                <c:pt idx="13" formatCode="General">
                  <c:v>5.36</c:v>
                </c:pt>
                <c:pt idx="16" formatCode="General">
                  <c:v>5.45</c:v>
                </c:pt>
                <c:pt idx="21" formatCode="General">
                  <c:v>5.53</c:v>
                </c:pt>
                <c:pt idx="26" formatCode="General">
                  <c:v>5.51</c:v>
                </c:pt>
                <c:pt idx="27" formatCode="General">
                  <c:v>5.61</c:v>
                </c:pt>
                <c:pt idx="28" formatCode="General">
                  <c:v>5.74</c:v>
                </c:pt>
                <c:pt idx="29" formatCode="General">
                  <c:v>5.89</c:v>
                </c:pt>
                <c:pt idx="30" formatCode="General">
                  <c:v>5.85</c:v>
                </c:pt>
                <c:pt idx="31" formatCode="General">
                  <c:v>5.96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9DF-4D5A-942E-B616DE4A0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716288"/>
        <c:axId val="554716680"/>
      </c:scatterChart>
      <c:valAx>
        <c:axId val="5547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4716680"/>
        <c:crosses val="autoZero"/>
        <c:crossBetween val="midCat"/>
      </c:valAx>
      <c:valAx>
        <c:axId val="554716680"/>
        <c:scaling>
          <c:orientation val="minMax"/>
          <c:max val="8.5"/>
          <c:min val="4.5"/>
        </c:scaling>
        <c:delete val="0"/>
        <c:axPos val="l"/>
        <c:numFmt formatCode="0.0" sourceLinked="0"/>
        <c:majorTickMark val="out"/>
        <c:minorTickMark val="none"/>
        <c:tickLblPos val="nextTo"/>
        <c:crossAx val="554716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78416972326386"/>
          <c:y val="0.2198853432794585"/>
          <c:w val="0.27883447731494143"/>
          <c:h val="0.25935586176727921"/>
        </c:manualLayout>
      </c:layout>
      <c:overlay val="0"/>
      <c:spPr>
        <a:solidFill>
          <a:schemeClr val="lt1"/>
        </a:solidFill>
        <a:ln w="3175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000000000000866" l="0.70000000000000062" r="0.70000000000000062" t="0.750000000000008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Fall Refuse</a:t>
            </a:r>
          </a:p>
        </c:rich>
      </c:tx>
      <c:layout>
        <c:manualLayout>
          <c:xMode val="edge"/>
          <c:yMode val="edge"/>
          <c:x val="0.29827077865268026"/>
          <c:y val="9.259259259259647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137251573837182"/>
          <c:y val="0.17354010903648076"/>
          <c:w val="0.5573281060687606"/>
          <c:h val="0.6575668893947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COD!$C$6</c:f>
              <c:strCache>
                <c:ptCount val="1"/>
                <c:pt idx="0">
                  <c:v>P2</c:v>
                </c:pt>
              </c:strCache>
            </c:strRef>
          </c:tx>
          <c:xVal>
            <c:numRef>
              <c:f>COD!$D$4:$AE$4</c:f>
              <c:numCache>
                <c:formatCode>General</c:formatCode>
                <c:ptCount val="28"/>
                <c:pt idx="0">
                  <c:v>5</c:v>
                </c:pt>
                <c:pt idx="1">
                  <c:v>12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47</c:v>
                </c:pt>
                <c:pt idx="6">
                  <c:v>60</c:v>
                </c:pt>
                <c:pt idx="7">
                  <c:v>74</c:v>
                </c:pt>
                <c:pt idx="8">
                  <c:v>88</c:v>
                </c:pt>
                <c:pt idx="9">
                  <c:v>102</c:v>
                </c:pt>
                <c:pt idx="10">
                  <c:v>116</c:v>
                </c:pt>
                <c:pt idx="11">
                  <c:v>137</c:v>
                </c:pt>
                <c:pt idx="12">
                  <c:v>151</c:v>
                </c:pt>
                <c:pt idx="13">
                  <c:v>165</c:v>
                </c:pt>
                <c:pt idx="14">
                  <c:v>179</c:v>
                </c:pt>
                <c:pt idx="15">
                  <c:v>194</c:v>
                </c:pt>
                <c:pt idx="16">
                  <c:v>206</c:v>
                </c:pt>
                <c:pt idx="17">
                  <c:v>220</c:v>
                </c:pt>
                <c:pt idx="18">
                  <c:v>236</c:v>
                </c:pt>
                <c:pt idx="19">
                  <c:v>249</c:v>
                </c:pt>
                <c:pt idx="20">
                  <c:v>263</c:v>
                </c:pt>
                <c:pt idx="21">
                  <c:v>277</c:v>
                </c:pt>
                <c:pt idx="22">
                  <c:v>291</c:v>
                </c:pt>
                <c:pt idx="23">
                  <c:v>319</c:v>
                </c:pt>
                <c:pt idx="24">
                  <c:v>335</c:v>
                </c:pt>
                <c:pt idx="25">
                  <c:v>349</c:v>
                </c:pt>
                <c:pt idx="26">
                  <c:v>384</c:v>
                </c:pt>
                <c:pt idx="27">
                  <c:v>389</c:v>
                </c:pt>
              </c:numCache>
            </c:numRef>
          </c:xVal>
          <c:yVal>
            <c:numRef>
              <c:f>COD!$D$6:$AE$6</c:f>
              <c:numCache>
                <c:formatCode>0</c:formatCode>
                <c:ptCount val="28"/>
                <c:pt idx="0">
                  <c:v>36800</c:v>
                </c:pt>
                <c:pt idx="1">
                  <c:v>41900</c:v>
                </c:pt>
                <c:pt idx="2">
                  <c:v>41100</c:v>
                </c:pt>
                <c:pt idx="3">
                  <c:v>42800</c:v>
                </c:pt>
                <c:pt idx="4">
                  <c:v>46150</c:v>
                </c:pt>
                <c:pt idx="5">
                  <c:v>48200</c:v>
                </c:pt>
                <c:pt idx="6">
                  <c:v>48200</c:v>
                </c:pt>
                <c:pt idx="7">
                  <c:v>41450</c:v>
                </c:pt>
                <c:pt idx="8">
                  <c:v>39050</c:v>
                </c:pt>
                <c:pt idx="9">
                  <c:v>33320</c:v>
                </c:pt>
                <c:pt idx="10">
                  <c:v>19280</c:v>
                </c:pt>
                <c:pt idx="11">
                  <c:v>18880</c:v>
                </c:pt>
                <c:pt idx="12">
                  <c:v>16320</c:v>
                </c:pt>
                <c:pt idx="13">
                  <c:v>8500</c:v>
                </c:pt>
                <c:pt idx="14">
                  <c:v>10690</c:v>
                </c:pt>
                <c:pt idx="15">
                  <c:v>3390</c:v>
                </c:pt>
                <c:pt idx="16">
                  <c:v>3560</c:v>
                </c:pt>
                <c:pt idx="17">
                  <c:v>4910</c:v>
                </c:pt>
                <c:pt idx="18">
                  <c:v>2440</c:v>
                </c:pt>
                <c:pt idx="19">
                  <c:v>2600</c:v>
                </c:pt>
                <c:pt idx="20">
                  <c:v>2790</c:v>
                </c:pt>
                <c:pt idx="21">
                  <c:v>2960</c:v>
                </c:pt>
                <c:pt idx="22">
                  <c:v>3230</c:v>
                </c:pt>
                <c:pt idx="23">
                  <c:v>2840</c:v>
                </c:pt>
                <c:pt idx="24">
                  <c:v>4210</c:v>
                </c:pt>
                <c:pt idx="27">
                  <c:v>2960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2-45BB-9CF2-3AF4BEE6B24D}"/>
            </c:ext>
          </c:extLst>
        </c:ser>
        <c:ser>
          <c:idx val="1"/>
          <c:order val="1"/>
          <c:tx>
            <c:strRef>
              <c:f>COD!$C$7</c:f>
              <c:strCache>
                <c:ptCount val="1"/>
                <c:pt idx="0">
                  <c:v>P3</c:v>
                </c:pt>
              </c:strCache>
            </c:strRef>
          </c:tx>
          <c:xVal>
            <c:numRef>
              <c:f>COD!$D$4:$AE$4</c:f>
              <c:numCache>
                <c:formatCode>General</c:formatCode>
                <c:ptCount val="28"/>
                <c:pt idx="0">
                  <c:v>5</c:v>
                </c:pt>
                <c:pt idx="1">
                  <c:v>12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47</c:v>
                </c:pt>
                <c:pt idx="6">
                  <c:v>60</c:v>
                </c:pt>
                <c:pt idx="7">
                  <c:v>74</c:v>
                </c:pt>
                <c:pt idx="8">
                  <c:v>88</c:v>
                </c:pt>
                <c:pt idx="9">
                  <c:v>102</c:v>
                </c:pt>
                <c:pt idx="10">
                  <c:v>116</c:v>
                </c:pt>
                <c:pt idx="11">
                  <c:v>137</c:v>
                </c:pt>
                <c:pt idx="12">
                  <c:v>151</c:v>
                </c:pt>
                <c:pt idx="13">
                  <c:v>165</c:v>
                </c:pt>
                <c:pt idx="14">
                  <c:v>179</c:v>
                </c:pt>
                <c:pt idx="15">
                  <c:v>194</c:v>
                </c:pt>
                <c:pt idx="16">
                  <c:v>206</c:v>
                </c:pt>
                <c:pt idx="17">
                  <c:v>220</c:v>
                </c:pt>
                <c:pt idx="18">
                  <c:v>236</c:v>
                </c:pt>
                <c:pt idx="19">
                  <c:v>249</c:v>
                </c:pt>
                <c:pt idx="20">
                  <c:v>263</c:v>
                </c:pt>
                <c:pt idx="21">
                  <c:v>277</c:v>
                </c:pt>
                <c:pt idx="22">
                  <c:v>291</c:v>
                </c:pt>
                <c:pt idx="23">
                  <c:v>319</c:v>
                </c:pt>
                <c:pt idx="24">
                  <c:v>335</c:v>
                </c:pt>
                <c:pt idx="25">
                  <c:v>349</c:v>
                </c:pt>
                <c:pt idx="26">
                  <c:v>384</c:v>
                </c:pt>
                <c:pt idx="27">
                  <c:v>389</c:v>
                </c:pt>
              </c:numCache>
            </c:numRef>
          </c:xVal>
          <c:yVal>
            <c:numRef>
              <c:f>COD!$D$7:$AE$7</c:f>
              <c:numCache>
                <c:formatCode>0</c:formatCode>
                <c:ptCount val="28"/>
                <c:pt idx="0">
                  <c:v>36200</c:v>
                </c:pt>
                <c:pt idx="1">
                  <c:v>44300</c:v>
                </c:pt>
                <c:pt idx="2">
                  <c:v>41700</c:v>
                </c:pt>
                <c:pt idx="3">
                  <c:v>44500</c:v>
                </c:pt>
                <c:pt idx="4">
                  <c:v>47250</c:v>
                </c:pt>
                <c:pt idx="5">
                  <c:v>48950</c:v>
                </c:pt>
                <c:pt idx="6">
                  <c:v>48900</c:v>
                </c:pt>
                <c:pt idx="7">
                  <c:v>43400</c:v>
                </c:pt>
                <c:pt idx="8">
                  <c:v>43200</c:v>
                </c:pt>
                <c:pt idx="9">
                  <c:v>42880</c:v>
                </c:pt>
                <c:pt idx="10">
                  <c:v>45040</c:v>
                </c:pt>
                <c:pt idx="11">
                  <c:v>44720</c:v>
                </c:pt>
                <c:pt idx="12">
                  <c:v>42720</c:v>
                </c:pt>
                <c:pt idx="13">
                  <c:v>46550</c:v>
                </c:pt>
                <c:pt idx="14">
                  <c:v>45700</c:v>
                </c:pt>
                <c:pt idx="15">
                  <c:v>40250</c:v>
                </c:pt>
                <c:pt idx="16">
                  <c:v>42250</c:v>
                </c:pt>
                <c:pt idx="17">
                  <c:v>44000</c:v>
                </c:pt>
                <c:pt idx="18">
                  <c:v>34450</c:v>
                </c:pt>
                <c:pt idx="19" formatCode="General">
                  <c:v>39250</c:v>
                </c:pt>
                <c:pt idx="20" formatCode="General">
                  <c:v>43800</c:v>
                </c:pt>
                <c:pt idx="21" formatCode="General">
                  <c:v>41050</c:v>
                </c:pt>
                <c:pt idx="22" formatCode="General">
                  <c:v>38300</c:v>
                </c:pt>
                <c:pt idx="23" formatCode="General">
                  <c:v>33550</c:v>
                </c:pt>
                <c:pt idx="25" formatCode="General">
                  <c:v>18000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A2-45BB-9CF2-3AF4BEE6B24D}"/>
            </c:ext>
          </c:extLst>
        </c:ser>
        <c:ser>
          <c:idx val="2"/>
          <c:order val="2"/>
          <c:tx>
            <c:strRef>
              <c:f>COD!$C$8</c:f>
              <c:strCache>
                <c:ptCount val="1"/>
                <c:pt idx="0">
                  <c:v>P4</c:v>
                </c:pt>
              </c:strCache>
            </c:strRef>
          </c:tx>
          <c:xVal>
            <c:numRef>
              <c:f>COD!$D$4:$AE$4</c:f>
              <c:numCache>
                <c:formatCode>General</c:formatCode>
                <c:ptCount val="28"/>
                <c:pt idx="0">
                  <c:v>5</c:v>
                </c:pt>
                <c:pt idx="1">
                  <c:v>12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47</c:v>
                </c:pt>
                <c:pt idx="6">
                  <c:v>60</c:v>
                </c:pt>
                <c:pt idx="7">
                  <c:v>74</c:v>
                </c:pt>
                <c:pt idx="8">
                  <c:v>88</c:v>
                </c:pt>
                <c:pt idx="9">
                  <c:v>102</c:v>
                </c:pt>
                <c:pt idx="10">
                  <c:v>116</c:v>
                </c:pt>
                <c:pt idx="11">
                  <c:v>137</c:v>
                </c:pt>
                <c:pt idx="12">
                  <c:v>151</c:v>
                </c:pt>
                <c:pt idx="13">
                  <c:v>165</c:v>
                </c:pt>
                <c:pt idx="14">
                  <c:v>179</c:v>
                </c:pt>
                <c:pt idx="15">
                  <c:v>194</c:v>
                </c:pt>
                <c:pt idx="16">
                  <c:v>206</c:v>
                </c:pt>
                <c:pt idx="17">
                  <c:v>220</c:v>
                </c:pt>
                <c:pt idx="18">
                  <c:v>236</c:v>
                </c:pt>
                <c:pt idx="19">
                  <c:v>249</c:v>
                </c:pt>
                <c:pt idx="20">
                  <c:v>263</c:v>
                </c:pt>
                <c:pt idx="21">
                  <c:v>277</c:v>
                </c:pt>
                <c:pt idx="22">
                  <c:v>291</c:v>
                </c:pt>
                <c:pt idx="23">
                  <c:v>319</c:v>
                </c:pt>
                <c:pt idx="24">
                  <c:v>335</c:v>
                </c:pt>
                <c:pt idx="25">
                  <c:v>349</c:v>
                </c:pt>
                <c:pt idx="26">
                  <c:v>384</c:v>
                </c:pt>
                <c:pt idx="27">
                  <c:v>389</c:v>
                </c:pt>
              </c:numCache>
            </c:numRef>
          </c:xVal>
          <c:yVal>
            <c:numRef>
              <c:f>COD!$D$8:$AE$8</c:f>
              <c:numCache>
                <c:formatCode>0</c:formatCode>
                <c:ptCount val="28"/>
                <c:pt idx="0">
                  <c:v>40600</c:v>
                </c:pt>
                <c:pt idx="1">
                  <c:v>46000</c:v>
                </c:pt>
                <c:pt idx="2">
                  <c:v>39100</c:v>
                </c:pt>
                <c:pt idx="3">
                  <c:v>51300</c:v>
                </c:pt>
                <c:pt idx="4">
                  <c:v>44950</c:v>
                </c:pt>
                <c:pt idx="5">
                  <c:v>50700</c:v>
                </c:pt>
                <c:pt idx="6">
                  <c:v>51950</c:v>
                </c:pt>
                <c:pt idx="7">
                  <c:v>49850</c:v>
                </c:pt>
                <c:pt idx="8">
                  <c:v>56250</c:v>
                </c:pt>
                <c:pt idx="9">
                  <c:v>53560</c:v>
                </c:pt>
                <c:pt idx="10">
                  <c:v>55240</c:v>
                </c:pt>
                <c:pt idx="11">
                  <c:v>55520</c:v>
                </c:pt>
                <c:pt idx="12">
                  <c:v>54400</c:v>
                </c:pt>
                <c:pt idx="13">
                  <c:v>58900</c:v>
                </c:pt>
                <c:pt idx="14">
                  <c:v>43500</c:v>
                </c:pt>
                <c:pt idx="15">
                  <c:v>51350</c:v>
                </c:pt>
                <c:pt idx="16">
                  <c:v>45550</c:v>
                </c:pt>
                <c:pt idx="17">
                  <c:v>49500</c:v>
                </c:pt>
                <c:pt idx="18">
                  <c:v>33150</c:v>
                </c:pt>
                <c:pt idx="19" formatCode="General">
                  <c:v>37050</c:v>
                </c:pt>
                <c:pt idx="20" formatCode="General">
                  <c:v>37800</c:v>
                </c:pt>
                <c:pt idx="21" formatCode="General">
                  <c:v>37000</c:v>
                </c:pt>
                <c:pt idx="23" formatCode="General">
                  <c:v>54850</c:v>
                </c:pt>
                <c:pt idx="27" formatCode="General">
                  <c:v>48500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A2-45BB-9CF2-3AF4BEE6B24D}"/>
            </c:ext>
          </c:extLst>
        </c:ser>
        <c:ser>
          <c:idx val="3"/>
          <c:order val="3"/>
          <c:tx>
            <c:strRef>
              <c:f>COD!$C$9</c:f>
              <c:strCache>
                <c:ptCount val="1"/>
                <c:pt idx="0">
                  <c:v>P5</c:v>
                </c:pt>
              </c:strCache>
            </c:strRef>
          </c:tx>
          <c:xVal>
            <c:numRef>
              <c:f>COD!$D$4:$AE$4</c:f>
              <c:numCache>
                <c:formatCode>General</c:formatCode>
                <c:ptCount val="28"/>
                <c:pt idx="0">
                  <c:v>5</c:v>
                </c:pt>
                <c:pt idx="1">
                  <c:v>12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47</c:v>
                </c:pt>
                <c:pt idx="6">
                  <c:v>60</c:v>
                </c:pt>
                <c:pt idx="7">
                  <c:v>74</c:v>
                </c:pt>
                <c:pt idx="8">
                  <c:v>88</c:v>
                </c:pt>
                <c:pt idx="9">
                  <c:v>102</c:v>
                </c:pt>
                <c:pt idx="10">
                  <c:v>116</c:v>
                </c:pt>
                <c:pt idx="11">
                  <c:v>137</c:v>
                </c:pt>
                <c:pt idx="12">
                  <c:v>151</c:v>
                </c:pt>
                <c:pt idx="13">
                  <c:v>165</c:v>
                </c:pt>
                <c:pt idx="14">
                  <c:v>179</c:v>
                </c:pt>
                <c:pt idx="15">
                  <c:v>194</c:v>
                </c:pt>
                <c:pt idx="16">
                  <c:v>206</c:v>
                </c:pt>
                <c:pt idx="17">
                  <c:v>220</c:v>
                </c:pt>
                <c:pt idx="18">
                  <c:v>236</c:v>
                </c:pt>
                <c:pt idx="19">
                  <c:v>249</c:v>
                </c:pt>
                <c:pt idx="20">
                  <c:v>263</c:v>
                </c:pt>
                <c:pt idx="21">
                  <c:v>277</c:v>
                </c:pt>
                <c:pt idx="22">
                  <c:v>291</c:v>
                </c:pt>
                <c:pt idx="23">
                  <c:v>319</c:v>
                </c:pt>
                <c:pt idx="24">
                  <c:v>335</c:v>
                </c:pt>
                <c:pt idx="25">
                  <c:v>349</c:v>
                </c:pt>
                <c:pt idx="26">
                  <c:v>384</c:v>
                </c:pt>
                <c:pt idx="27">
                  <c:v>389</c:v>
                </c:pt>
              </c:numCache>
            </c:numRef>
          </c:xVal>
          <c:yVal>
            <c:numRef>
              <c:f>COD!$D$9:$AD$9</c:f>
              <c:numCache>
                <c:formatCode>0</c:formatCode>
                <c:ptCount val="27"/>
                <c:pt idx="0">
                  <c:v>34800</c:v>
                </c:pt>
                <c:pt idx="1">
                  <c:v>38500</c:v>
                </c:pt>
                <c:pt idx="2">
                  <c:v>48400</c:v>
                </c:pt>
                <c:pt idx="3">
                  <c:v>48100</c:v>
                </c:pt>
                <c:pt idx="4">
                  <c:v>35350</c:v>
                </c:pt>
                <c:pt idx="5">
                  <c:v>45350</c:v>
                </c:pt>
                <c:pt idx="6">
                  <c:v>44850</c:v>
                </c:pt>
                <c:pt idx="7">
                  <c:v>45650</c:v>
                </c:pt>
                <c:pt idx="8">
                  <c:v>45850</c:v>
                </c:pt>
                <c:pt idx="9">
                  <c:v>45280</c:v>
                </c:pt>
                <c:pt idx="10">
                  <c:v>42120</c:v>
                </c:pt>
                <c:pt idx="11">
                  <c:v>46720</c:v>
                </c:pt>
                <c:pt idx="12">
                  <c:v>40840</c:v>
                </c:pt>
                <c:pt idx="13">
                  <c:v>47050</c:v>
                </c:pt>
                <c:pt idx="14">
                  <c:v>39400</c:v>
                </c:pt>
                <c:pt idx="15">
                  <c:v>34450</c:v>
                </c:pt>
                <c:pt idx="16">
                  <c:v>32850</c:v>
                </c:pt>
                <c:pt idx="17">
                  <c:v>33100</c:v>
                </c:pt>
                <c:pt idx="18">
                  <c:v>26250</c:v>
                </c:pt>
                <c:pt idx="19" formatCode="General">
                  <c:v>26950</c:v>
                </c:pt>
                <c:pt idx="20" formatCode="General">
                  <c:v>29350</c:v>
                </c:pt>
                <c:pt idx="21" formatCode="General">
                  <c:v>30000</c:v>
                </c:pt>
                <c:pt idx="22" formatCode="General">
                  <c:v>33200</c:v>
                </c:pt>
                <c:pt idx="23" formatCode="General">
                  <c:v>36250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A2-45BB-9CF2-3AF4BEE6B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01496"/>
        <c:axId val="346101888"/>
      </c:scatterChart>
      <c:valAx>
        <c:axId val="346101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2283792650918639"/>
              <c:y val="0.920347039953339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6101888"/>
        <c:crosses val="autoZero"/>
        <c:crossBetween val="midCat"/>
      </c:valAx>
      <c:valAx>
        <c:axId val="34610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COD (mg/L)</a:t>
                </a:r>
              </a:p>
            </c:rich>
          </c:tx>
          <c:layout>
            <c:manualLayout>
              <c:xMode val="edge"/>
              <c:yMode val="edge"/>
              <c:x val="1.6338651674849801E-3"/>
              <c:y val="0.33684078062701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346101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64852303556843"/>
          <c:y val="0.2739588832938798"/>
          <c:w val="0.17628390891201692"/>
          <c:h val="0.4345809513536853"/>
        </c:manualLayout>
      </c:layout>
      <c:overlay val="0"/>
    </c:legend>
    <c:plotVisOnly val="1"/>
    <c:dispBlanksAs val="span"/>
    <c:showDLblsOverMax val="0"/>
  </c:chart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Carpet</a:t>
            </a:r>
          </a:p>
        </c:rich>
      </c:tx>
      <c:layout>
        <c:manualLayout>
          <c:xMode val="edge"/>
          <c:yMode val="edge"/>
          <c:x val="0.29827077865268026"/>
          <c:y val="9.259259259259647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934380442192382"/>
          <c:y val="0.20358096460004502"/>
          <c:w val="0.56170945903055536"/>
          <c:h val="0.62752603383120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COD!$C$60</c:f>
              <c:strCache>
                <c:ptCount val="1"/>
                <c:pt idx="0">
                  <c:v>P10</c:v>
                </c:pt>
              </c:strCache>
            </c:strRef>
          </c:tx>
          <c:xVal>
            <c:numRef>
              <c:f>COD!$D$58:$Q$58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34</c:v>
                </c:pt>
                <c:pt idx="6">
                  <c:v>56</c:v>
                </c:pt>
                <c:pt idx="7">
                  <c:v>82</c:v>
                </c:pt>
                <c:pt idx="8">
                  <c:v>111</c:v>
                </c:pt>
                <c:pt idx="9">
                  <c:v>139</c:v>
                </c:pt>
                <c:pt idx="10">
                  <c:v>167</c:v>
                </c:pt>
                <c:pt idx="11">
                  <c:v>197</c:v>
                </c:pt>
                <c:pt idx="12">
                  <c:v>211</c:v>
                </c:pt>
                <c:pt idx="13">
                  <c:v>251</c:v>
                </c:pt>
              </c:numCache>
            </c:numRef>
          </c:xVal>
          <c:yVal>
            <c:numRef>
              <c:f>COD!$D$60:$Q$60</c:f>
              <c:numCache>
                <c:formatCode>0.00</c:formatCode>
                <c:ptCount val="14"/>
                <c:pt idx="0">
                  <c:v>2640</c:v>
                </c:pt>
                <c:pt idx="1">
                  <c:v>12030</c:v>
                </c:pt>
                <c:pt idx="2">
                  <c:v>14910</c:v>
                </c:pt>
                <c:pt idx="4">
                  <c:v>17550</c:v>
                </c:pt>
                <c:pt idx="5">
                  <c:v>15360</c:v>
                </c:pt>
                <c:pt idx="6">
                  <c:v>4140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5-406F-A5DE-7BFD73A7B5E5}"/>
            </c:ext>
          </c:extLst>
        </c:ser>
        <c:ser>
          <c:idx val="1"/>
          <c:order val="1"/>
          <c:tx>
            <c:strRef>
              <c:f>COD!$C$61</c:f>
              <c:strCache>
                <c:ptCount val="1"/>
                <c:pt idx="0">
                  <c:v>P11</c:v>
                </c:pt>
              </c:strCache>
            </c:strRef>
          </c:tx>
          <c:xVal>
            <c:numRef>
              <c:f>COD!$D$58:$Q$58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34</c:v>
                </c:pt>
                <c:pt idx="6">
                  <c:v>56</c:v>
                </c:pt>
                <c:pt idx="7">
                  <c:v>82</c:v>
                </c:pt>
                <c:pt idx="8">
                  <c:v>111</c:v>
                </c:pt>
                <c:pt idx="9">
                  <c:v>139</c:v>
                </c:pt>
                <c:pt idx="10">
                  <c:v>167</c:v>
                </c:pt>
                <c:pt idx="11">
                  <c:v>197</c:v>
                </c:pt>
                <c:pt idx="12">
                  <c:v>211</c:v>
                </c:pt>
                <c:pt idx="13">
                  <c:v>251</c:v>
                </c:pt>
              </c:numCache>
            </c:numRef>
          </c:xVal>
          <c:yVal>
            <c:numRef>
              <c:f>COD!$D$61:$Q$61</c:f>
              <c:numCache>
                <c:formatCode>0.00</c:formatCode>
                <c:ptCount val="14"/>
                <c:pt idx="0">
                  <c:v>2940</c:v>
                </c:pt>
                <c:pt idx="1">
                  <c:v>7680</c:v>
                </c:pt>
                <c:pt idx="2">
                  <c:v>12090</c:v>
                </c:pt>
                <c:pt idx="4">
                  <c:v>10170</c:v>
                </c:pt>
                <c:pt idx="5">
                  <c:v>7160</c:v>
                </c:pt>
                <c:pt idx="6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65-406F-A5DE-7BFD73A7B5E5}"/>
            </c:ext>
          </c:extLst>
        </c:ser>
        <c:ser>
          <c:idx val="2"/>
          <c:order val="2"/>
          <c:tx>
            <c:strRef>
              <c:f>COD!$C$62</c:f>
              <c:strCache>
                <c:ptCount val="1"/>
                <c:pt idx="0">
                  <c:v>P12</c:v>
                </c:pt>
              </c:strCache>
            </c:strRef>
          </c:tx>
          <c:xVal>
            <c:numRef>
              <c:f>COD!$D$58:$Q$58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34</c:v>
                </c:pt>
                <c:pt idx="6">
                  <c:v>56</c:v>
                </c:pt>
                <c:pt idx="7">
                  <c:v>82</c:v>
                </c:pt>
                <c:pt idx="8">
                  <c:v>111</c:v>
                </c:pt>
                <c:pt idx="9">
                  <c:v>139</c:v>
                </c:pt>
                <c:pt idx="10">
                  <c:v>167</c:v>
                </c:pt>
                <c:pt idx="11">
                  <c:v>197</c:v>
                </c:pt>
                <c:pt idx="12">
                  <c:v>211</c:v>
                </c:pt>
                <c:pt idx="13">
                  <c:v>251</c:v>
                </c:pt>
              </c:numCache>
            </c:numRef>
          </c:xVal>
          <c:yVal>
            <c:numRef>
              <c:f>COD!$D$62:$Q$62</c:f>
              <c:numCache>
                <c:formatCode>0.00</c:formatCode>
                <c:ptCount val="14"/>
                <c:pt idx="0">
                  <c:v>4920</c:v>
                </c:pt>
                <c:pt idx="1">
                  <c:v>5190</c:v>
                </c:pt>
                <c:pt idx="2">
                  <c:v>6510</c:v>
                </c:pt>
                <c:pt idx="4">
                  <c:v>8580</c:v>
                </c:pt>
                <c:pt idx="6" formatCode="General">
                  <c:v>6840</c:v>
                </c:pt>
                <c:pt idx="7">
                  <c:v>6600</c:v>
                </c:pt>
                <c:pt idx="8" formatCode="General">
                  <c:v>8080</c:v>
                </c:pt>
                <c:pt idx="10" formatCode="General">
                  <c:v>7100</c:v>
                </c:pt>
                <c:pt idx="12" formatCode="General">
                  <c:v>2540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65-406F-A5DE-7BFD73A7B5E5}"/>
            </c:ext>
          </c:extLst>
        </c:ser>
        <c:ser>
          <c:idx val="3"/>
          <c:order val="3"/>
          <c:tx>
            <c:strRef>
              <c:f>COD!$C$63</c:f>
              <c:strCache>
                <c:ptCount val="1"/>
                <c:pt idx="0">
                  <c:v>P13</c:v>
                </c:pt>
              </c:strCache>
            </c:strRef>
          </c:tx>
          <c:xVal>
            <c:numRef>
              <c:f>COD!$D$58:$Q$58</c:f>
              <c:numCache>
                <c:formatCode>General</c:formatCode>
                <c:ptCount val="14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20</c:v>
                </c:pt>
                <c:pt idx="4">
                  <c:v>27</c:v>
                </c:pt>
                <c:pt idx="5">
                  <c:v>34</c:v>
                </c:pt>
                <c:pt idx="6">
                  <c:v>56</c:v>
                </c:pt>
                <c:pt idx="7">
                  <c:v>82</c:v>
                </c:pt>
                <c:pt idx="8">
                  <c:v>111</c:v>
                </c:pt>
                <c:pt idx="9">
                  <c:v>139</c:v>
                </c:pt>
                <c:pt idx="10">
                  <c:v>167</c:v>
                </c:pt>
                <c:pt idx="11">
                  <c:v>197</c:v>
                </c:pt>
                <c:pt idx="12">
                  <c:v>211</c:v>
                </c:pt>
                <c:pt idx="13">
                  <c:v>251</c:v>
                </c:pt>
              </c:numCache>
            </c:numRef>
          </c:xVal>
          <c:yVal>
            <c:numRef>
              <c:f>COD!$D$63:$Q$63</c:f>
              <c:numCache>
                <c:formatCode>0.00</c:formatCode>
                <c:ptCount val="14"/>
                <c:pt idx="0">
                  <c:v>3720</c:v>
                </c:pt>
                <c:pt idx="1">
                  <c:v>4770</c:v>
                </c:pt>
                <c:pt idx="2">
                  <c:v>5760</c:v>
                </c:pt>
                <c:pt idx="4">
                  <c:v>6540</c:v>
                </c:pt>
                <c:pt idx="6">
                  <c:v>7920</c:v>
                </c:pt>
                <c:pt idx="7">
                  <c:v>4890</c:v>
                </c:pt>
                <c:pt idx="8" formatCode="General">
                  <c:v>9660</c:v>
                </c:pt>
                <c:pt idx="10" formatCode="General">
                  <c:v>6420</c:v>
                </c:pt>
                <c:pt idx="12" formatCode="General">
                  <c:v>3410</c:v>
                </c:pt>
                <c:pt idx="13" formatCode="General">
                  <c:v>4480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65-406F-A5DE-7BFD73A7B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66728"/>
        <c:axId val="345926672"/>
      </c:scatterChart>
      <c:valAx>
        <c:axId val="40646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2283792650918639"/>
              <c:y val="0.920347039953339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45926672"/>
        <c:crosses val="autoZero"/>
        <c:crossBetween val="midCat"/>
      </c:valAx>
      <c:valAx>
        <c:axId val="34592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COD (mg/L)</a:t>
                </a:r>
              </a:p>
            </c:rich>
          </c:tx>
          <c:layout>
            <c:manualLayout>
              <c:xMode val="edge"/>
              <c:yMode val="edge"/>
              <c:x val="1.0396571091074181E-2"/>
              <c:y val="0.408938833979566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4064667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45364045582663"/>
          <c:y val="0.16581180326503889"/>
          <c:w val="0.19849736842831572"/>
          <c:h val="0.43458095135368413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Textile</a:t>
            </a:r>
          </a:p>
        </c:rich>
      </c:tx>
      <c:layout>
        <c:manualLayout>
          <c:xMode val="edge"/>
          <c:yMode val="edge"/>
          <c:x val="0.29827077865268026"/>
          <c:y val="9.259259259259647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934380442192382"/>
          <c:y val="0.20358096460004502"/>
          <c:w val="0.56170945903055536"/>
          <c:h val="0.62752603383120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COD!$C$86</c:f>
              <c:strCache>
                <c:ptCount val="1"/>
                <c:pt idx="0">
                  <c:v>P14</c:v>
                </c:pt>
              </c:strCache>
            </c:strRef>
          </c:tx>
          <c:xVal>
            <c:numRef>
              <c:f>COD!$D$84:$N$84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43</c:v>
                </c:pt>
                <c:pt idx="5">
                  <c:v>57</c:v>
                </c:pt>
                <c:pt idx="6">
                  <c:v>83</c:v>
                </c:pt>
                <c:pt idx="7">
                  <c:v>111</c:v>
                </c:pt>
                <c:pt idx="8">
                  <c:v>169</c:v>
                </c:pt>
              </c:numCache>
            </c:numRef>
          </c:xVal>
          <c:yVal>
            <c:numRef>
              <c:f>COD!$D$86:$N$86</c:f>
              <c:numCache>
                <c:formatCode>0.00</c:formatCode>
                <c:ptCount val="11"/>
                <c:pt idx="0">
                  <c:v>940</c:v>
                </c:pt>
                <c:pt idx="1">
                  <c:v>8160</c:v>
                </c:pt>
                <c:pt idx="2">
                  <c:v>1590</c:v>
                </c:pt>
                <c:pt idx="3">
                  <c:v>21560</c:v>
                </c:pt>
                <c:pt idx="4">
                  <c:v>27550</c:v>
                </c:pt>
                <c:pt idx="5">
                  <c:v>24800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B6-490D-B179-EE4B58155E29}"/>
            </c:ext>
          </c:extLst>
        </c:ser>
        <c:ser>
          <c:idx val="1"/>
          <c:order val="1"/>
          <c:tx>
            <c:strRef>
              <c:f>COD!$C$87</c:f>
              <c:strCache>
                <c:ptCount val="1"/>
                <c:pt idx="0">
                  <c:v>P15</c:v>
                </c:pt>
              </c:strCache>
            </c:strRef>
          </c:tx>
          <c:xVal>
            <c:numRef>
              <c:f>COD!$D$84:$N$84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43</c:v>
                </c:pt>
                <c:pt idx="5">
                  <c:v>57</c:v>
                </c:pt>
                <c:pt idx="6">
                  <c:v>83</c:v>
                </c:pt>
                <c:pt idx="7">
                  <c:v>111</c:v>
                </c:pt>
                <c:pt idx="8">
                  <c:v>169</c:v>
                </c:pt>
              </c:numCache>
            </c:numRef>
          </c:xVal>
          <c:yVal>
            <c:numRef>
              <c:f>COD!$D$87:$N$87</c:f>
              <c:numCache>
                <c:formatCode>0.00</c:formatCode>
                <c:ptCount val="11"/>
                <c:pt idx="0">
                  <c:v>660</c:v>
                </c:pt>
                <c:pt idx="1">
                  <c:v>10880</c:v>
                </c:pt>
                <c:pt idx="2">
                  <c:v>10200</c:v>
                </c:pt>
                <c:pt idx="3">
                  <c:v>21440</c:v>
                </c:pt>
                <c:pt idx="4">
                  <c:v>31400</c:v>
                </c:pt>
                <c:pt idx="5">
                  <c:v>32700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B6-490D-B179-EE4B58155E29}"/>
            </c:ext>
          </c:extLst>
        </c:ser>
        <c:ser>
          <c:idx val="2"/>
          <c:order val="2"/>
          <c:tx>
            <c:strRef>
              <c:f>COD!$C$88</c:f>
              <c:strCache>
                <c:ptCount val="1"/>
                <c:pt idx="0">
                  <c:v>P16</c:v>
                </c:pt>
              </c:strCache>
            </c:strRef>
          </c:tx>
          <c:xVal>
            <c:numRef>
              <c:f>COD!$D$84:$N$84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43</c:v>
                </c:pt>
                <c:pt idx="5">
                  <c:v>57</c:v>
                </c:pt>
                <c:pt idx="6">
                  <c:v>83</c:v>
                </c:pt>
                <c:pt idx="7">
                  <c:v>111</c:v>
                </c:pt>
                <c:pt idx="8">
                  <c:v>169</c:v>
                </c:pt>
              </c:numCache>
            </c:numRef>
          </c:xVal>
          <c:yVal>
            <c:numRef>
              <c:f>COD!$D$88:$N$88</c:f>
              <c:numCache>
                <c:formatCode>0.00</c:formatCode>
                <c:ptCount val="11"/>
                <c:pt idx="0">
                  <c:v>1360</c:v>
                </c:pt>
                <c:pt idx="1">
                  <c:v>3380</c:v>
                </c:pt>
                <c:pt idx="3">
                  <c:v>2880</c:v>
                </c:pt>
                <c:pt idx="5">
                  <c:v>6940</c:v>
                </c:pt>
                <c:pt idx="7">
                  <c:v>4910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B6-490D-B179-EE4B58155E29}"/>
            </c:ext>
          </c:extLst>
        </c:ser>
        <c:ser>
          <c:idx val="3"/>
          <c:order val="3"/>
          <c:tx>
            <c:strRef>
              <c:f>COD!$C$89</c:f>
              <c:strCache>
                <c:ptCount val="1"/>
                <c:pt idx="0">
                  <c:v>p17</c:v>
                </c:pt>
              </c:strCache>
            </c:strRef>
          </c:tx>
          <c:xVal>
            <c:numRef>
              <c:f>COD!$D$84:$N$84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28</c:v>
                </c:pt>
                <c:pt idx="4">
                  <c:v>43</c:v>
                </c:pt>
                <c:pt idx="5">
                  <c:v>57</c:v>
                </c:pt>
                <c:pt idx="6">
                  <c:v>83</c:v>
                </c:pt>
                <c:pt idx="7">
                  <c:v>111</c:v>
                </c:pt>
                <c:pt idx="8">
                  <c:v>169</c:v>
                </c:pt>
              </c:numCache>
            </c:numRef>
          </c:xVal>
          <c:yVal>
            <c:numRef>
              <c:f>COD!$D$89:$N$89</c:f>
              <c:numCache>
                <c:formatCode>0.00</c:formatCode>
                <c:ptCount val="11"/>
                <c:pt idx="0">
                  <c:v>2140</c:v>
                </c:pt>
                <c:pt idx="1">
                  <c:v>3300</c:v>
                </c:pt>
                <c:pt idx="2">
                  <c:v>4020</c:v>
                </c:pt>
                <c:pt idx="3">
                  <c:v>3400</c:v>
                </c:pt>
                <c:pt idx="5">
                  <c:v>5940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B6-490D-B179-EE4B5815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15424"/>
        <c:axId val="536013072"/>
      </c:scatterChart>
      <c:valAx>
        <c:axId val="53601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2283792650918639"/>
              <c:y val="0.920347039953339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6013072"/>
        <c:crosses val="autoZero"/>
        <c:crossBetween val="midCat"/>
      </c:valAx>
      <c:valAx>
        <c:axId val="53601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COD (mg/L)</a:t>
                </a:r>
              </a:p>
            </c:rich>
          </c:tx>
          <c:layout>
            <c:manualLayout>
              <c:xMode val="edge"/>
              <c:yMode val="edge"/>
              <c:x val="1.0396571091074181E-2"/>
              <c:y val="0.408938833979566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3601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45364045582663"/>
          <c:y val="0.16581180326503889"/>
          <c:w val="0.19849736842831572"/>
          <c:h val="0.43458095135368413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Fall Refuse Reactor</a:t>
            </a:r>
          </a:p>
        </c:rich>
      </c:tx>
      <c:layout>
        <c:manualLayout>
          <c:xMode val="edge"/>
          <c:yMode val="edge"/>
          <c:x val="0.29827077865268026"/>
          <c:y val="9.259259259259647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4791678823137933"/>
          <c:y val="0.15551559569833875"/>
          <c:w val="0.56018934581700597"/>
          <c:h val="0.6575668893947737"/>
        </c:manualLayout>
      </c:layout>
      <c:scatterChart>
        <c:scatterStyle val="smoothMarker"/>
        <c:varyColors val="0"/>
        <c:ser>
          <c:idx val="0"/>
          <c:order val="0"/>
          <c:tx>
            <c:v>Biotic COD</c:v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COD!$D$4:$T$4</c:f>
              <c:numCache>
                <c:formatCode>General</c:formatCode>
                <c:ptCount val="17"/>
                <c:pt idx="0">
                  <c:v>5</c:v>
                </c:pt>
                <c:pt idx="1">
                  <c:v>12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47</c:v>
                </c:pt>
                <c:pt idx="6">
                  <c:v>60</c:v>
                </c:pt>
                <c:pt idx="7">
                  <c:v>74</c:v>
                </c:pt>
                <c:pt idx="8">
                  <c:v>88</c:v>
                </c:pt>
                <c:pt idx="9">
                  <c:v>102</c:v>
                </c:pt>
                <c:pt idx="10">
                  <c:v>116</c:v>
                </c:pt>
                <c:pt idx="11">
                  <c:v>137</c:v>
                </c:pt>
                <c:pt idx="12">
                  <c:v>151</c:v>
                </c:pt>
                <c:pt idx="13">
                  <c:v>165</c:v>
                </c:pt>
                <c:pt idx="14">
                  <c:v>179</c:v>
                </c:pt>
                <c:pt idx="15">
                  <c:v>194</c:v>
                </c:pt>
                <c:pt idx="16">
                  <c:v>206</c:v>
                </c:pt>
              </c:numCache>
            </c:numRef>
          </c:xVal>
          <c:yVal>
            <c:numRef>
              <c:f>COD!$D$12:$T$12</c:f>
              <c:numCache>
                <c:formatCode>0.0</c:formatCode>
                <c:ptCount val="17"/>
                <c:pt idx="0">
                  <c:v>36.799999999999997</c:v>
                </c:pt>
                <c:pt idx="1">
                  <c:v>41.9</c:v>
                </c:pt>
                <c:pt idx="2">
                  <c:v>41.1</c:v>
                </c:pt>
                <c:pt idx="3">
                  <c:v>42.8</c:v>
                </c:pt>
                <c:pt idx="4">
                  <c:v>46.15</c:v>
                </c:pt>
                <c:pt idx="5">
                  <c:v>48.2</c:v>
                </c:pt>
                <c:pt idx="6">
                  <c:v>48.2</c:v>
                </c:pt>
                <c:pt idx="7">
                  <c:v>41.45</c:v>
                </c:pt>
                <c:pt idx="8">
                  <c:v>39.049999999999997</c:v>
                </c:pt>
                <c:pt idx="9">
                  <c:v>33.32</c:v>
                </c:pt>
                <c:pt idx="10">
                  <c:v>19.28</c:v>
                </c:pt>
                <c:pt idx="11">
                  <c:v>18.88</c:v>
                </c:pt>
                <c:pt idx="12">
                  <c:v>16.32</c:v>
                </c:pt>
                <c:pt idx="13">
                  <c:v>8.5</c:v>
                </c:pt>
                <c:pt idx="14">
                  <c:v>10.69</c:v>
                </c:pt>
                <c:pt idx="15">
                  <c:v>3.39</c:v>
                </c:pt>
                <c:pt idx="16">
                  <c:v>3.56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9-473E-AB79-BADE569772B1}"/>
            </c:ext>
          </c:extLst>
        </c:ser>
        <c:ser>
          <c:idx val="3"/>
          <c:order val="1"/>
          <c:tx>
            <c:v>Abiotic COD</c:v>
          </c:tx>
          <c:spPr>
            <a:ln>
              <a:solidFill>
                <a:srgbClr val="0070C0"/>
              </a:solidFill>
            </a:ln>
          </c:spPr>
          <c:marker>
            <c:symbol val="triangle"/>
            <c:size val="7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COD!$D$4:$T$4</c:f>
              <c:numCache>
                <c:formatCode>General</c:formatCode>
                <c:ptCount val="17"/>
                <c:pt idx="0">
                  <c:v>5</c:v>
                </c:pt>
                <c:pt idx="1">
                  <c:v>12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47</c:v>
                </c:pt>
                <c:pt idx="6">
                  <c:v>60</c:v>
                </c:pt>
                <c:pt idx="7">
                  <c:v>74</c:v>
                </c:pt>
                <c:pt idx="8">
                  <c:v>88</c:v>
                </c:pt>
                <c:pt idx="9">
                  <c:v>102</c:v>
                </c:pt>
                <c:pt idx="10">
                  <c:v>116</c:v>
                </c:pt>
                <c:pt idx="11">
                  <c:v>137</c:v>
                </c:pt>
                <c:pt idx="12">
                  <c:v>151</c:v>
                </c:pt>
                <c:pt idx="13">
                  <c:v>165</c:v>
                </c:pt>
                <c:pt idx="14">
                  <c:v>179</c:v>
                </c:pt>
                <c:pt idx="15">
                  <c:v>194</c:v>
                </c:pt>
                <c:pt idx="16">
                  <c:v>206</c:v>
                </c:pt>
              </c:numCache>
            </c:numRef>
          </c:xVal>
          <c:yVal>
            <c:numRef>
              <c:f>COD!$D$15:$T$15</c:f>
              <c:numCache>
                <c:formatCode>0.0</c:formatCode>
                <c:ptCount val="17"/>
                <c:pt idx="0">
                  <c:v>34.799999999999997</c:v>
                </c:pt>
                <c:pt idx="1">
                  <c:v>38.5</c:v>
                </c:pt>
                <c:pt idx="2">
                  <c:v>48.4</c:v>
                </c:pt>
                <c:pt idx="3">
                  <c:v>48.1</c:v>
                </c:pt>
                <c:pt idx="4">
                  <c:v>35.35</c:v>
                </c:pt>
                <c:pt idx="5">
                  <c:v>45.35</c:v>
                </c:pt>
                <c:pt idx="6">
                  <c:v>44.85</c:v>
                </c:pt>
                <c:pt idx="7">
                  <c:v>45.65</c:v>
                </c:pt>
                <c:pt idx="8">
                  <c:v>45.85</c:v>
                </c:pt>
                <c:pt idx="9">
                  <c:v>45.28</c:v>
                </c:pt>
                <c:pt idx="10">
                  <c:v>42.12</c:v>
                </c:pt>
                <c:pt idx="11">
                  <c:v>46.72</c:v>
                </c:pt>
                <c:pt idx="12">
                  <c:v>40.840000000000003</c:v>
                </c:pt>
                <c:pt idx="13">
                  <c:v>47.05</c:v>
                </c:pt>
                <c:pt idx="14">
                  <c:v>39.4</c:v>
                </c:pt>
                <c:pt idx="15">
                  <c:v>34.450000000000003</c:v>
                </c:pt>
                <c:pt idx="16">
                  <c:v>32.85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F9-473E-AB79-BADE5697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12288"/>
        <c:axId val="536014640"/>
      </c:scatterChart>
      <c:scatterChart>
        <c:scatterStyle val="smoothMarker"/>
        <c:varyColors val="0"/>
        <c:ser>
          <c:idx val="1"/>
          <c:order val="2"/>
          <c:tx>
            <c:v>Biotic pH</c:v>
          </c:tx>
          <c:spPr>
            <a:ln>
              <a:solidFill>
                <a:srgbClr val="C00000"/>
              </a:solidFill>
            </a:ln>
          </c:spPr>
          <c:marker>
            <c:symbol val="x"/>
            <c:size val="7"/>
            <c:spPr>
              <a:ln>
                <a:solidFill>
                  <a:srgbClr val="C00000"/>
                </a:solidFill>
              </a:ln>
            </c:spPr>
          </c:marker>
          <c:xVal>
            <c:numRef>
              <c:f>[1]pH!$F$25:$AU$25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39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65</c:v>
                </c:pt>
                <c:pt idx="25">
                  <c:v>69</c:v>
                </c:pt>
                <c:pt idx="26">
                  <c:v>73</c:v>
                </c:pt>
                <c:pt idx="27">
                  <c:v>81</c:v>
                </c:pt>
                <c:pt idx="28">
                  <c:v>86</c:v>
                </c:pt>
                <c:pt idx="29">
                  <c:v>93</c:v>
                </c:pt>
                <c:pt idx="30">
                  <c:v>101</c:v>
                </c:pt>
                <c:pt idx="31">
                  <c:v>102</c:v>
                </c:pt>
                <c:pt idx="32">
                  <c:v>109</c:v>
                </c:pt>
                <c:pt idx="33">
                  <c:v>114</c:v>
                </c:pt>
                <c:pt idx="34">
                  <c:v>116</c:v>
                </c:pt>
                <c:pt idx="35">
                  <c:v>129</c:v>
                </c:pt>
                <c:pt idx="36">
                  <c:v>145</c:v>
                </c:pt>
                <c:pt idx="37">
                  <c:v>157</c:v>
                </c:pt>
                <c:pt idx="38">
                  <c:v>171</c:v>
                </c:pt>
                <c:pt idx="39">
                  <c:v>184</c:v>
                </c:pt>
                <c:pt idx="40">
                  <c:v>198</c:v>
                </c:pt>
                <c:pt idx="41">
                  <c:v>213</c:v>
                </c:pt>
              </c:numCache>
            </c:numRef>
          </c:xVal>
          <c:yVal>
            <c:numRef>
              <c:f>[1]pH!$F$27:$AU$27</c:f>
              <c:numCache>
                <c:formatCode>General</c:formatCode>
                <c:ptCount val="42"/>
                <c:pt idx="0">
                  <c:v>5.38</c:v>
                </c:pt>
                <c:pt idx="1">
                  <c:v>6</c:v>
                </c:pt>
                <c:pt idx="2">
                  <c:v>5.9700000000000006</c:v>
                </c:pt>
                <c:pt idx="3">
                  <c:v>5.9700000000000006</c:v>
                </c:pt>
                <c:pt idx="4">
                  <c:v>5.9300000000000006</c:v>
                </c:pt>
                <c:pt idx="5">
                  <c:v>6.05</c:v>
                </c:pt>
                <c:pt idx="6">
                  <c:v>6.13</c:v>
                </c:pt>
                <c:pt idx="7">
                  <c:v>6.24</c:v>
                </c:pt>
                <c:pt idx="8">
                  <c:v>6.3599999999999994</c:v>
                </c:pt>
                <c:pt idx="9">
                  <c:v>6.29</c:v>
                </c:pt>
                <c:pt idx="10">
                  <c:v>6.4</c:v>
                </c:pt>
                <c:pt idx="11">
                  <c:v>6.39</c:v>
                </c:pt>
                <c:pt idx="12">
                  <c:v>6.3</c:v>
                </c:pt>
                <c:pt idx="13">
                  <c:v>6.4</c:v>
                </c:pt>
                <c:pt idx="14">
                  <c:v>6.67</c:v>
                </c:pt>
                <c:pt idx="15">
                  <c:v>6.38</c:v>
                </c:pt>
                <c:pt idx="16">
                  <c:v>6.4700000000000006</c:v>
                </c:pt>
                <c:pt idx="17">
                  <c:v>6.38</c:v>
                </c:pt>
                <c:pt idx="18">
                  <c:v>6.58</c:v>
                </c:pt>
                <c:pt idx="19">
                  <c:v>6.64</c:v>
                </c:pt>
                <c:pt idx="20">
                  <c:v>6.45</c:v>
                </c:pt>
                <c:pt idx="21">
                  <c:v>6.59</c:v>
                </c:pt>
                <c:pt idx="22">
                  <c:v>6.63</c:v>
                </c:pt>
                <c:pt idx="23">
                  <c:v>6.79</c:v>
                </c:pt>
                <c:pt idx="24">
                  <c:v>6.79</c:v>
                </c:pt>
                <c:pt idx="25">
                  <c:v>6.85</c:v>
                </c:pt>
                <c:pt idx="26">
                  <c:v>6.7</c:v>
                </c:pt>
                <c:pt idx="27">
                  <c:v>6.6</c:v>
                </c:pt>
                <c:pt idx="28">
                  <c:v>6.67</c:v>
                </c:pt>
                <c:pt idx="29">
                  <c:v>7.06</c:v>
                </c:pt>
                <c:pt idx="30">
                  <c:v>7.3</c:v>
                </c:pt>
                <c:pt idx="31">
                  <c:v>7.2700000000000005</c:v>
                </c:pt>
                <c:pt idx="32">
                  <c:v>7.44</c:v>
                </c:pt>
                <c:pt idx="33">
                  <c:v>7.84</c:v>
                </c:pt>
                <c:pt idx="34">
                  <c:v>7.78</c:v>
                </c:pt>
                <c:pt idx="35">
                  <c:v>7.68</c:v>
                </c:pt>
                <c:pt idx="36">
                  <c:v>7.95</c:v>
                </c:pt>
                <c:pt idx="37">
                  <c:v>8.1399999999999988</c:v>
                </c:pt>
                <c:pt idx="38">
                  <c:v>7.98</c:v>
                </c:pt>
                <c:pt idx="39">
                  <c:v>8</c:v>
                </c:pt>
                <c:pt idx="40">
                  <c:v>7.9700000000000006</c:v>
                </c:pt>
                <c:pt idx="41">
                  <c:v>8.02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7F9-473E-AB79-BADE569772B1}"/>
            </c:ext>
          </c:extLst>
        </c:ser>
        <c:ser>
          <c:idx val="2"/>
          <c:order val="3"/>
          <c:tx>
            <c:v>Abiotic pH</c:v>
          </c:tx>
          <c:spPr>
            <a:ln>
              <a:solidFill>
                <a:srgbClr val="0070C0"/>
              </a:solidFill>
            </a:ln>
          </c:spPr>
          <c:marker>
            <c:symbol val="x"/>
            <c:size val="7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[1]pH!$F$25:$AU$25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39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55</c:v>
                </c:pt>
                <c:pt idx="21">
                  <c:v>58</c:v>
                </c:pt>
                <c:pt idx="22">
                  <c:v>60</c:v>
                </c:pt>
                <c:pt idx="23">
                  <c:v>62</c:v>
                </c:pt>
                <c:pt idx="24">
                  <c:v>65</c:v>
                </c:pt>
                <c:pt idx="25">
                  <c:v>69</c:v>
                </c:pt>
                <c:pt idx="26">
                  <c:v>73</c:v>
                </c:pt>
                <c:pt idx="27">
                  <c:v>81</c:v>
                </c:pt>
                <c:pt idx="28">
                  <c:v>86</c:v>
                </c:pt>
                <c:pt idx="29">
                  <c:v>93</c:v>
                </c:pt>
                <c:pt idx="30">
                  <c:v>101</c:v>
                </c:pt>
                <c:pt idx="31">
                  <c:v>102</c:v>
                </c:pt>
                <c:pt idx="32">
                  <c:v>109</c:v>
                </c:pt>
                <c:pt idx="33">
                  <c:v>114</c:v>
                </c:pt>
                <c:pt idx="34">
                  <c:v>116</c:v>
                </c:pt>
                <c:pt idx="35">
                  <c:v>129</c:v>
                </c:pt>
                <c:pt idx="36">
                  <c:v>145</c:v>
                </c:pt>
                <c:pt idx="37">
                  <c:v>157</c:v>
                </c:pt>
                <c:pt idx="38">
                  <c:v>171</c:v>
                </c:pt>
                <c:pt idx="39">
                  <c:v>184</c:v>
                </c:pt>
                <c:pt idx="40">
                  <c:v>198</c:v>
                </c:pt>
                <c:pt idx="41">
                  <c:v>213</c:v>
                </c:pt>
              </c:numCache>
            </c:numRef>
          </c:xVal>
          <c:yVal>
            <c:numRef>
              <c:f>[1]pH!$F$30:$AU$30</c:f>
              <c:numCache>
                <c:formatCode>General</c:formatCode>
                <c:ptCount val="42"/>
                <c:pt idx="1">
                  <c:v>4.99</c:v>
                </c:pt>
                <c:pt idx="2">
                  <c:v>4.79</c:v>
                </c:pt>
                <c:pt idx="3">
                  <c:v>5.22</c:v>
                </c:pt>
                <c:pt idx="6">
                  <c:v>5.21</c:v>
                </c:pt>
                <c:pt idx="10">
                  <c:v>6.24</c:v>
                </c:pt>
                <c:pt idx="12">
                  <c:v>6.2</c:v>
                </c:pt>
                <c:pt idx="15">
                  <c:v>6.3199999999999994</c:v>
                </c:pt>
                <c:pt idx="17">
                  <c:v>6.18</c:v>
                </c:pt>
                <c:pt idx="20">
                  <c:v>6.13</c:v>
                </c:pt>
                <c:pt idx="21">
                  <c:v>6.14</c:v>
                </c:pt>
                <c:pt idx="24">
                  <c:v>6.1</c:v>
                </c:pt>
                <c:pt idx="26">
                  <c:v>6.05</c:v>
                </c:pt>
                <c:pt idx="27">
                  <c:v>6.03</c:v>
                </c:pt>
                <c:pt idx="28">
                  <c:v>6.03</c:v>
                </c:pt>
                <c:pt idx="29">
                  <c:v>6.02</c:v>
                </c:pt>
                <c:pt idx="30">
                  <c:v>6</c:v>
                </c:pt>
                <c:pt idx="32">
                  <c:v>6.03</c:v>
                </c:pt>
                <c:pt idx="33">
                  <c:v>6.04</c:v>
                </c:pt>
                <c:pt idx="35">
                  <c:v>6.07</c:v>
                </c:pt>
                <c:pt idx="36">
                  <c:v>6.04</c:v>
                </c:pt>
                <c:pt idx="39">
                  <c:v>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7F9-473E-AB79-BADE56977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12680"/>
        <c:axId val="536014248"/>
      </c:scatterChart>
      <c:valAx>
        <c:axId val="53601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2283792650918639"/>
              <c:y val="0.920347039953339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6014640"/>
        <c:crosses val="autoZero"/>
        <c:crossBetween val="midCat"/>
      </c:valAx>
      <c:valAx>
        <c:axId val="536014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COD (g/L)</a:t>
                </a:r>
              </a:p>
            </c:rich>
          </c:tx>
          <c:layout>
            <c:manualLayout>
              <c:xMode val="edge"/>
              <c:yMode val="edge"/>
              <c:x val="1.6338297379091078E-3"/>
              <c:y val="0.288775411725300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36012288"/>
        <c:crosses val="autoZero"/>
        <c:crossBetween val="midCat"/>
      </c:valAx>
      <c:valAx>
        <c:axId val="536014248"/>
        <c:scaling>
          <c:orientation val="minMax"/>
          <c:max val="8.5"/>
          <c:min val="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pH</a:t>
                </a:r>
              </a:p>
            </c:rich>
          </c:tx>
          <c:layout>
            <c:manualLayout>
              <c:xMode val="edge"/>
              <c:yMode val="edge"/>
              <c:x val="0.7723146063973042"/>
              <c:y val="0.4312017099160370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536012680"/>
        <c:crosses val="max"/>
        <c:crossBetween val="midCat"/>
      </c:valAx>
      <c:valAx>
        <c:axId val="536012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6014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567710549894568"/>
          <c:y val="0.21387717216674521"/>
          <c:w val="0.17628390891201692"/>
          <c:h val="0.57877705805880275"/>
        </c:manualLayout>
      </c:layout>
      <c:overlay val="0"/>
    </c:legend>
    <c:plotVisOnly val="1"/>
    <c:dispBlanksAs val="span"/>
    <c:showDLblsOverMax val="0"/>
  </c:chart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Spring</a:t>
            </a:r>
          </a:p>
        </c:rich>
      </c:tx>
      <c:layout>
        <c:manualLayout>
          <c:xMode val="edge"/>
          <c:yMode val="edge"/>
          <c:x val="0.29827077865268026"/>
          <c:y val="9.259259259259647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934380442192382"/>
          <c:y val="0.20358096460004502"/>
          <c:w val="0.56170945903055536"/>
          <c:h val="0.62752603383120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COD!$C$111</c:f>
              <c:strCache>
                <c:ptCount val="1"/>
                <c:pt idx="0">
                  <c:v>P20</c:v>
                </c:pt>
              </c:strCache>
            </c:strRef>
          </c:tx>
          <c:xVal>
            <c:numRef>
              <c:f>COD!$D$109:$N$109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COD!$D$111:$N$111</c:f>
              <c:numCache>
                <c:formatCode>0.00</c:formatCode>
                <c:ptCount val="11"/>
                <c:pt idx="0">
                  <c:v>1450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C-4662-ADB4-247C4E60C719}"/>
            </c:ext>
          </c:extLst>
        </c:ser>
        <c:ser>
          <c:idx val="1"/>
          <c:order val="1"/>
          <c:tx>
            <c:strRef>
              <c:f>COD!$C$112</c:f>
              <c:strCache>
                <c:ptCount val="1"/>
                <c:pt idx="0">
                  <c:v>P21</c:v>
                </c:pt>
              </c:strCache>
            </c:strRef>
          </c:tx>
          <c:xVal>
            <c:numRef>
              <c:f>COD!$D$109:$N$109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COD!$D$112:$N$112</c:f>
              <c:numCache>
                <c:formatCode>0.00</c:formatCode>
                <c:ptCount val="11"/>
                <c:pt idx="0">
                  <c:v>5850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CC-4662-ADB4-247C4E60C719}"/>
            </c:ext>
          </c:extLst>
        </c:ser>
        <c:ser>
          <c:idx val="2"/>
          <c:order val="2"/>
          <c:tx>
            <c:strRef>
              <c:f>COD!$C$113</c:f>
              <c:strCache>
                <c:ptCount val="1"/>
                <c:pt idx="0">
                  <c:v>P22</c:v>
                </c:pt>
              </c:strCache>
            </c:strRef>
          </c:tx>
          <c:xVal>
            <c:numRef>
              <c:f>COD!$D$109:$N$109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COD!$D$113:$N$113</c:f>
              <c:numCache>
                <c:formatCode>0.00</c:formatCode>
                <c:ptCount val="11"/>
                <c:pt idx="0">
                  <c:v>10200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CC-4662-ADB4-247C4E60C719}"/>
            </c:ext>
          </c:extLst>
        </c:ser>
        <c:ser>
          <c:idx val="3"/>
          <c:order val="3"/>
          <c:tx>
            <c:strRef>
              <c:f>COD!$C$114</c:f>
              <c:strCache>
                <c:ptCount val="1"/>
                <c:pt idx="0">
                  <c:v>P23</c:v>
                </c:pt>
              </c:strCache>
            </c:strRef>
          </c:tx>
          <c:xVal>
            <c:numRef>
              <c:f>COD!$D$109:$N$109</c:f>
              <c:numCache>
                <c:formatCode>General</c:formatCode>
                <c:ptCount val="11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COD!$D$114:$N$114</c:f>
              <c:numCache>
                <c:formatCode>0.00</c:formatCode>
                <c:ptCount val="11"/>
                <c:pt idx="0">
                  <c:v>9150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CC-4662-ADB4-247C4E60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13856"/>
        <c:axId val="573870792"/>
      </c:scatterChart>
      <c:valAx>
        <c:axId val="53601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2283792650918639"/>
              <c:y val="0.920347039953339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3870792"/>
        <c:crosses val="autoZero"/>
        <c:crossBetween val="midCat"/>
      </c:valAx>
      <c:valAx>
        <c:axId val="573870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COD (mg/L)</a:t>
                </a:r>
              </a:p>
            </c:rich>
          </c:tx>
          <c:layout>
            <c:manualLayout>
              <c:xMode val="edge"/>
              <c:yMode val="edge"/>
              <c:x val="1.0396571091074181E-2"/>
              <c:y val="0.408938833979566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36013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45364045582663"/>
          <c:y val="0.16581180326503889"/>
          <c:w val="0.19849736842831572"/>
          <c:h val="0.43458095135368413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Summer</a:t>
            </a:r>
          </a:p>
        </c:rich>
      </c:tx>
      <c:layout>
        <c:manualLayout>
          <c:xMode val="edge"/>
          <c:yMode val="edge"/>
          <c:x val="0.29827077865268026"/>
          <c:y val="9.259259259259647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20934380442192382"/>
          <c:y val="0.20358096460004502"/>
          <c:w val="0.56170945903055536"/>
          <c:h val="0.62752603383120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COD!$C$137</c:f>
              <c:strCache>
                <c:ptCount val="1"/>
                <c:pt idx="0">
                  <c:v>P24</c:v>
                </c:pt>
              </c:strCache>
            </c:strRef>
          </c:tx>
          <c:xVal>
            <c:numRef>
              <c:f>COD!$D$135:$N$135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28</c:v>
                </c:pt>
              </c:numCache>
            </c:numRef>
          </c:xVal>
          <c:yVal>
            <c:numRef>
              <c:f>COD!$D$137:$N$137</c:f>
              <c:numCache>
                <c:formatCode>0.00</c:formatCode>
                <c:ptCount val="11"/>
                <c:pt idx="0">
                  <c:v>4950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E-4A4F-B287-694054AA26F9}"/>
            </c:ext>
          </c:extLst>
        </c:ser>
        <c:ser>
          <c:idx val="1"/>
          <c:order val="1"/>
          <c:tx>
            <c:strRef>
              <c:f>COD!$C$138</c:f>
              <c:strCache>
                <c:ptCount val="1"/>
                <c:pt idx="0">
                  <c:v>P25</c:v>
                </c:pt>
              </c:strCache>
            </c:strRef>
          </c:tx>
          <c:xVal>
            <c:numRef>
              <c:f>COD!$D$135:$N$135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28</c:v>
                </c:pt>
              </c:numCache>
            </c:numRef>
          </c:xVal>
          <c:yVal>
            <c:numRef>
              <c:f>COD!$D$138:$N$138</c:f>
              <c:numCache>
                <c:formatCode>0.00</c:formatCode>
                <c:ptCount val="11"/>
                <c:pt idx="0">
                  <c:v>7750</c:v>
                </c:pt>
                <c:pt idx="1">
                  <c:v>35500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E-4A4F-B287-694054AA26F9}"/>
            </c:ext>
          </c:extLst>
        </c:ser>
        <c:ser>
          <c:idx val="2"/>
          <c:order val="2"/>
          <c:tx>
            <c:strRef>
              <c:f>COD!$C$139</c:f>
              <c:strCache>
                <c:ptCount val="1"/>
                <c:pt idx="0">
                  <c:v>P26</c:v>
                </c:pt>
              </c:strCache>
            </c:strRef>
          </c:tx>
          <c:xVal>
            <c:numRef>
              <c:f>COD!$D$135:$N$135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28</c:v>
                </c:pt>
              </c:numCache>
            </c:numRef>
          </c:xVal>
          <c:yVal>
            <c:numRef>
              <c:f>COD!$D$139:$N$139</c:f>
              <c:numCache>
                <c:formatCode>0.00</c:formatCode>
                <c:ptCount val="11"/>
                <c:pt idx="0">
                  <c:v>11200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CE-4A4F-B287-694054AA26F9}"/>
            </c:ext>
          </c:extLst>
        </c:ser>
        <c:ser>
          <c:idx val="3"/>
          <c:order val="3"/>
          <c:tx>
            <c:strRef>
              <c:f>COD!$C$140</c:f>
              <c:strCache>
                <c:ptCount val="1"/>
                <c:pt idx="0">
                  <c:v>P27</c:v>
                </c:pt>
              </c:strCache>
            </c:strRef>
          </c:tx>
          <c:xVal>
            <c:numRef>
              <c:f>COD!$D$135:$N$135</c:f>
              <c:numCache>
                <c:formatCode>General</c:formatCode>
                <c:ptCount val="11"/>
                <c:pt idx="0">
                  <c:v>0</c:v>
                </c:pt>
                <c:pt idx="1">
                  <c:v>13</c:v>
                </c:pt>
                <c:pt idx="2">
                  <c:v>28</c:v>
                </c:pt>
              </c:numCache>
            </c:numRef>
          </c:xVal>
          <c:yVal>
            <c:numRef>
              <c:f>COD!$D$140:$N$140</c:f>
              <c:numCache>
                <c:formatCode>0.00</c:formatCode>
                <c:ptCount val="11"/>
                <c:pt idx="0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CE-4A4F-B287-694054AA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7264"/>
        <c:axId val="573868832"/>
      </c:scatterChart>
      <c:valAx>
        <c:axId val="57386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2283792650918639"/>
              <c:y val="0.9203470399533392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73868832"/>
        <c:crosses val="autoZero"/>
        <c:crossBetween val="midCat"/>
      </c:valAx>
      <c:valAx>
        <c:axId val="573868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COD (mg/L)</a:t>
                </a:r>
              </a:p>
            </c:rich>
          </c:tx>
          <c:layout>
            <c:manualLayout>
              <c:xMode val="edge"/>
              <c:yMode val="edge"/>
              <c:x val="1.0396571091074181E-2"/>
              <c:y val="0.4089388339795669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573867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745364045582663"/>
          <c:y val="0.16581180326503889"/>
          <c:w val="0.19849736842831572"/>
          <c:h val="0.43458095135368413"/>
        </c:manualLayout>
      </c:layout>
      <c:overlay val="0"/>
    </c:legend>
    <c:plotVisOnly val="1"/>
    <c:dispBlanksAs val="span"/>
    <c:showDLblsOverMax val="0"/>
  </c:chart>
  <c:printSettings>
    <c:headerFooter/>
    <c:pageMargins b="0.75000000000000888" l="0.70000000000000062" r="0.70000000000000062" t="0.750000000000008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2</xdr:col>
      <xdr:colOff>850773</xdr:colOff>
      <xdr:row>23</xdr:row>
      <xdr:rowOff>8763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10</xdr:row>
      <xdr:rowOff>152400</xdr:rowOff>
    </xdr:from>
    <xdr:to>
      <xdr:col>8</xdr:col>
      <xdr:colOff>97155</xdr:colOff>
      <xdr:row>26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1D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15</xdr:row>
      <xdr:rowOff>152400</xdr:rowOff>
    </xdr:from>
    <xdr:to>
      <xdr:col>3</xdr:col>
      <xdr:colOff>69723</xdr:colOff>
      <xdr:row>28</xdr:row>
      <xdr:rowOff>161163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2</xdr:col>
      <xdr:colOff>850773</xdr:colOff>
      <xdr:row>78</xdr:row>
      <xdr:rowOff>8763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2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2</xdr:col>
      <xdr:colOff>850773</xdr:colOff>
      <xdr:row>104</xdr:row>
      <xdr:rowOff>8763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2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876299</xdr:colOff>
      <xdr:row>16</xdr:row>
      <xdr:rowOff>47625</xdr:rowOff>
    </xdr:from>
    <xdr:to>
      <xdr:col>10</xdr:col>
      <xdr:colOff>381000</xdr:colOff>
      <xdr:row>29</xdr:row>
      <xdr:rowOff>56388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2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116</xdr:row>
      <xdr:rowOff>0</xdr:rowOff>
    </xdr:from>
    <xdr:to>
      <xdr:col>2</xdr:col>
      <xdr:colOff>850773</xdr:colOff>
      <xdr:row>129</xdr:row>
      <xdr:rowOff>8763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2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2</xdr:col>
      <xdr:colOff>850773</xdr:colOff>
      <xdr:row>155</xdr:row>
      <xdr:rowOff>8763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2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lredb/Dropbox/OSU_NCSU_Data/PFC%20Reactors%2012_4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Paper"/>
      <sheetName val="Fall MSW"/>
      <sheetName val="Winter MSW"/>
      <sheetName val="Carpet"/>
      <sheetName val="Textile"/>
      <sheetName val="Spring MSW"/>
      <sheetName val="Summer MSW"/>
      <sheetName val="Trays"/>
      <sheetName val="pH"/>
      <sheetName val="COD"/>
      <sheetName val="TOC"/>
      <sheetName val="Abiotic"/>
      <sheetName val="Salt"/>
      <sheetName val="Raw Gas Comp"/>
      <sheetName val="Set-Up"/>
      <sheetName val="Take-Down"/>
      <sheetName val="Vapor Press"/>
      <sheetName val="Fall Volume"/>
      <sheetName val="Winter Volume"/>
      <sheetName val="Carpet Volume"/>
      <sheetName val="Textile Volume"/>
      <sheetName val="Spring Volume"/>
      <sheetName val="N"/>
      <sheetName val="P"/>
      <sheetName val="Sugars"/>
      <sheetName val="P4 pH Exp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5">
          <cell r="F25">
            <v>1</v>
          </cell>
          <cell r="G25">
            <v>2</v>
          </cell>
          <cell r="H25">
            <v>3</v>
          </cell>
          <cell r="I25">
            <v>4</v>
          </cell>
          <cell r="J25">
            <v>6</v>
          </cell>
          <cell r="K25">
            <v>9</v>
          </cell>
          <cell r="L25">
            <v>11</v>
          </cell>
          <cell r="M25">
            <v>13</v>
          </cell>
          <cell r="N25">
            <v>16</v>
          </cell>
          <cell r="O25">
            <v>18</v>
          </cell>
          <cell r="P25">
            <v>23</v>
          </cell>
          <cell r="Q25">
            <v>27</v>
          </cell>
          <cell r="R25">
            <v>30</v>
          </cell>
          <cell r="S25">
            <v>32</v>
          </cell>
          <cell r="T25">
            <v>34</v>
          </cell>
          <cell r="U25">
            <v>37</v>
          </cell>
          <cell r="V25">
            <v>39</v>
          </cell>
          <cell r="W25">
            <v>44</v>
          </cell>
          <cell r="X25">
            <v>46</v>
          </cell>
          <cell r="Y25">
            <v>48</v>
          </cell>
          <cell r="Z25">
            <v>55</v>
          </cell>
          <cell r="AA25">
            <v>58</v>
          </cell>
          <cell r="AB25">
            <v>60</v>
          </cell>
          <cell r="AC25">
            <v>62</v>
          </cell>
          <cell r="AD25">
            <v>65</v>
          </cell>
          <cell r="AE25">
            <v>69</v>
          </cell>
          <cell r="AF25">
            <v>73</v>
          </cell>
          <cell r="AG25">
            <v>81</v>
          </cell>
          <cell r="AH25">
            <v>86</v>
          </cell>
          <cell r="AI25">
            <v>93</v>
          </cell>
          <cell r="AJ25">
            <v>101</v>
          </cell>
          <cell r="AK25">
            <v>102</v>
          </cell>
          <cell r="AL25">
            <v>109</v>
          </cell>
          <cell r="AM25">
            <v>114</v>
          </cell>
          <cell r="AN25">
            <v>116</v>
          </cell>
          <cell r="AO25">
            <v>129</v>
          </cell>
          <cell r="AP25">
            <v>145</v>
          </cell>
          <cell r="AQ25">
            <v>157</v>
          </cell>
          <cell r="AR25">
            <v>171</v>
          </cell>
          <cell r="AS25">
            <v>184</v>
          </cell>
          <cell r="AT25">
            <v>198</v>
          </cell>
          <cell r="AU25">
            <v>213</v>
          </cell>
        </row>
        <row r="27">
          <cell r="F27">
            <v>5.38</v>
          </cell>
          <cell r="G27">
            <v>6</v>
          </cell>
          <cell r="H27">
            <v>5.97</v>
          </cell>
          <cell r="I27">
            <v>5.97</v>
          </cell>
          <cell r="J27">
            <v>5.93</v>
          </cell>
          <cell r="K27">
            <v>6.05</v>
          </cell>
          <cell r="L27">
            <v>6.13</v>
          </cell>
          <cell r="M27">
            <v>6.24</v>
          </cell>
          <cell r="N27">
            <v>6.36</v>
          </cell>
          <cell r="O27">
            <v>6.29</v>
          </cell>
          <cell r="P27">
            <v>6.4</v>
          </cell>
          <cell r="Q27">
            <v>6.39</v>
          </cell>
          <cell r="R27">
            <v>6.3</v>
          </cell>
          <cell r="S27">
            <v>6.4</v>
          </cell>
          <cell r="T27">
            <v>6.67</v>
          </cell>
          <cell r="U27">
            <v>6.38</v>
          </cell>
          <cell r="V27">
            <v>6.47</v>
          </cell>
          <cell r="W27">
            <v>6.38</v>
          </cell>
          <cell r="X27">
            <v>6.58</v>
          </cell>
          <cell r="Y27">
            <v>6.64</v>
          </cell>
          <cell r="Z27">
            <v>6.45</v>
          </cell>
          <cell r="AA27">
            <v>6.59</v>
          </cell>
          <cell r="AB27">
            <v>6.63</v>
          </cell>
          <cell r="AC27">
            <v>6.79</v>
          </cell>
          <cell r="AD27">
            <v>6.79</v>
          </cell>
          <cell r="AE27">
            <v>6.85</v>
          </cell>
          <cell r="AF27">
            <v>6.7</v>
          </cell>
          <cell r="AG27">
            <v>6.6</v>
          </cell>
          <cell r="AH27">
            <v>6.67</v>
          </cell>
          <cell r="AI27">
            <v>7.06</v>
          </cell>
          <cell r="AJ27">
            <v>7.3</v>
          </cell>
          <cell r="AK27">
            <v>7.27</v>
          </cell>
          <cell r="AL27">
            <v>7.44</v>
          </cell>
          <cell r="AM27">
            <v>7.84</v>
          </cell>
          <cell r="AN27">
            <v>7.78</v>
          </cell>
          <cell r="AO27">
            <v>7.68</v>
          </cell>
          <cell r="AP27">
            <v>7.95</v>
          </cell>
          <cell r="AQ27">
            <v>8.14</v>
          </cell>
          <cell r="AR27">
            <v>7.98</v>
          </cell>
          <cell r="AS27">
            <v>8</v>
          </cell>
          <cell r="AT27">
            <v>7.97</v>
          </cell>
          <cell r="AU27">
            <v>8.02</v>
          </cell>
        </row>
        <row r="30">
          <cell r="G30">
            <v>4.99</v>
          </cell>
          <cell r="H30">
            <v>4.79</v>
          </cell>
          <cell r="I30">
            <v>5.22</v>
          </cell>
          <cell r="L30">
            <v>5.21</v>
          </cell>
          <cell r="P30">
            <v>6.24</v>
          </cell>
          <cell r="R30">
            <v>6.2</v>
          </cell>
          <cell r="U30">
            <v>6.32</v>
          </cell>
          <cell r="W30">
            <v>6.18</v>
          </cell>
          <cell r="Z30">
            <v>6.13</v>
          </cell>
          <cell r="AA30">
            <v>6.14</v>
          </cell>
          <cell r="AD30">
            <v>6.1</v>
          </cell>
          <cell r="AF30">
            <v>6.05</v>
          </cell>
          <cell r="AG30">
            <v>6.03</v>
          </cell>
          <cell r="AH30">
            <v>6.03</v>
          </cell>
          <cell r="AI30">
            <v>6.02</v>
          </cell>
          <cell r="AJ30">
            <v>6</v>
          </cell>
          <cell r="AL30">
            <v>6.03</v>
          </cell>
          <cell r="AM30">
            <v>6.04</v>
          </cell>
          <cell r="AO30">
            <v>6.07</v>
          </cell>
          <cell r="AP30">
            <v>6.04</v>
          </cell>
          <cell r="AS30">
            <v>6.21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65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RowHeight="15" x14ac:dyDescent="0.25"/>
  <cols>
    <col min="1" max="1" width="12.140625" bestFit="1" customWidth="1"/>
    <col min="2" max="2" width="27.85546875" customWidth="1"/>
    <col min="3" max="3" width="20.7109375" customWidth="1"/>
    <col min="4" max="4" width="20.7109375" style="162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3" t="s">
        <v>3</v>
      </c>
      <c r="B1" s="4" t="s">
        <v>151</v>
      </c>
      <c r="C1" s="5" t="s">
        <v>155</v>
      </c>
      <c r="D1" s="5"/>
      <c r="E1" s="6" t="s">
        <v>4</v>
      </c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4" x14ac:dyDescent="0.25">
      <c r="A2" s="3" t="s">
        <v>5</v>
      </c>
      <c r="B2" s="7">
        <v>41291</v>
      </c>
      <c r="C2" s="8"/>
      <c r="D2" s="8"/>
      <c r="E2" s="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4" ht="28.5" customHeight="1" x14ac:dyDescent="0.25">
      <c r="A3" s="3" t="s">
        <v>6</v>
      </c>
      <c r="B3" s="10" t="s">
        <v>7</v>
      </c>
      <c r="C3" s="1" t="s">
        <v>8</v>
      </c>
      <c r="D3" s="1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4" x14ac:dyDescent="0.25">
      <c r="A4" s="3" t="s">
        <v>9</v>
      </c>
      <c r="B4" s="11" t="s">
        <v>10</v>
      </c>
      <c r="C4" s="1" t="s">
        <v>11</v>
      </c>
      <c r="D4" s="12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4" ht="15" customHeight="1" x14ac:dyDescent="0.25">
      <c r="A5" s="3" t="s">
        <v>12</v>
      </c>
      <c r="B5" s="11" t="s">
        <v>13</v>
      </c>
      <c r="C5" s="17" t="s">
        <v>14</v>
      </c>
      <c r="D5" s="110"/>
      <c r="E5" s="1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4" x14ac:dyDescent="0.25">
      <c r="A6" s="1" t="s">
        <v>150</v>
      </c>
      <c r="B6" s="12"/>
      <c r="C6" s="19"/>
      <c r="D6" s="1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s="1"/>
      <c r="B7" s="1"/>
      <c r="C7" s="1"/>
      <c r="D7" s="124"/>
      <c r="E7" s="1" t="s">
        <v>15</v>
      </c>
      <c r="F7" s="14" t="s">
        <v>16</v>
      </c>
      <c r="G7" s="14" t="s">
        <v>17</v>
      </c>
      <c r="H7" s="1" t="s">
        <v>18</v>
      </c>
      <c r="I7" s="1" t="s">
        <v>19</v>
      </c>
      <c r="J7" s="1" t="s">
        <v>20</v>
      </c>
      <c r="K7" s="1" t="s">
        <v>21</v>
      </c>
      <c r="L7" s="1" t="s">
        <v>22</v>
      </c>
      <c r="M7" s="1" t="s">
        <v>23</v>
      </c>
      <c r="N7" s="1" t="s">
        <v>24</v>
      </c>
      <c r="O7" s="1" t="s">
        <v>25</v>
      </c>
      <c r="P7" s="1" t="s">
        <v>26</v>
      </c>
      <c r="Q7" s="1" t="s">
        <v>27</v>
      </c>
      <c r="R7" s="1" t="s">
        <v>28</v>
      </c>
      <c r="S7" s="1" t="s">
        <v>29</v>
      </c>
      <c r="T7" s="1" t="s">
        <v>30</v>
      </c>
      <c r="U7" s="1" t="s">
        <v>31</v>
      </c>
      <c r="V7" s="1" t="s">
        <v>32</v>
      </c>
      <c r="W7" s="1" t="s">
        <v>33</v>
      </c>
      <c r="X7" s="1" t="s">
        <v>34</v>
      </c>
      <c r="Y7" s="1" t="s">
        <v>35</v>
      </c>
      <c r="Z7" s="1" t="s">
        <v>36</v>
      </c>
      <c r="AA7" s="1" t="s">
        <v>37</v>
      </c>
      <c r="AB7" s="1" t="s">
        <v>38</v>
      </c>
      <c r="AC7" s="1" t="s">
        <v>39</v>
      </c>
      <c r="AD7" s="1" t="s">
        <v>40</v>
      </c>
      <c r="AE7" s="1" t="s">
        <v>41</v>
      </c>
      <c r="AF7" s="1" t="s">
        <v>42</v>
      </c>
      <c r="AG7" s="1" t="s">
        <v>43</v>
      </c>
      <c r="AH7" s="1" t="s">
        <v>44</v>
      </c>
      <c r="AI7" s="1" t="s">
        <v>45</v>
      </c>
      <c r="AJ7" s="1" t="s">
        <v>46</v>
      </c>
      <c r="AK7" s="1" t="s">
        <v>47</v>
      </c>
      <c r="AL7" s="1" t="s">
        <v>48</v>
      </c>
      <c r="AM7" s="124" t="s">
        <v>190</v>
      </c>
      <c r="AN7" s="124" t="s">
        <v>191</v>
      </c>
      <c r="AO7" s="124" t="s">
        <v>192</v>
      </c>
      <c r="AP7" s="124" t="s">
        <v>49</v>
      </c>
      <c r="AQ7" s="124" t="s">
        <v>50</v>
      </c>
      <c r="AR7" s="124" t="s">
        <v>51</v>
      </c>
      <c r="AS7" s="124" t="s">
        <v>52</v>
      </c>
      <c r="AT7" s="124" t="s">
        <v>53</v>
      </c>
      <c r="AU7" s="124" t="s">
        <v>54</v>
      </c>
      <c r="AV7" s="124" t="s">
        <v>55</v>
      </c>
      <c r="AW7" s="124" t="s">
        <v>56</v>
      </c>
      <c r="AX7" s="124" t="s">
        <v>57</v>
      </c>
      <c r="AY7" s="124" t="s">
        <v>58</v>
      </c>
      <c r="AZ7" s="124" t="s">
        <v>59</v>
      </c>
      <c r="BA7" s="124" t="s">
        <v>60</v>
      </c>
      <c r="BB7" s="124" t="s">
        <v>61</v>
      </c>
      <c r="BC7" s="124" t="s">
        <v>62</v>
      </c>
      <c r="BD7" s="124" t="s">
        <v>63</v>
      </c>
      <c r="BE7" s="124" t="s">
        <v>193</v>
      </c>
      <c r="BF7" s="124" t="s">
        <v>194</v>
      </c>
      <c r="BG7" s="124" t="s">
        <v>195</v>
      </c>
      <c r="BH7" s="124" t="s">
        <v>196</v>
      </c>
      <c r="BI7" s="124" t="s">
        <v>197</v>
      </c>
      <c r="BJ7" s="1" t="s">
        <v>64</v>
      </c>
      <c r="BK7" s="1" t="s">
        <v>65</v>
      </c>
      <c r="BL7" s="1" t="s">
        <v>66</v>
      </c>
      <c r="BM7" s="1" t="s">
        <v>67</v>
      </c>
      <c r="BN7" s="1" t="s">
        <v>68</v>
      </c>
      <c r="BO7" s="1" t="s">
        <v>69</v>
      </c>
      <c r="BP7" s="1" t="s">
        <v>70</v>
      </c>
      <c r="BQ7" s="1" t="s">
        <v>71</v>
      </c>
      <c r="BR7" s="1" t="s">
        <v>72</v>
      </c>
      <c r="BS7" s="1" t="s">
        <v>73</v>
      </c>
      <c r="BT7" s="1" t="s">
        <v>74</v>
      </c>
      <c r="BU7" s="1" t="s">
        <v>75</v>
      </c>
      <c r="BV7" s="1" t="s">
        <v>76</v>
      </c>
    </row>
    <row r="8" spans="1:74" s="13" customFormat="1" x14ac:dyDescent="0.25">
      <c r="A8" s="8" t="s">
        <v>77</v>
      </c>
      <c r="B8" s="16" t="s">
        <v>1</v>
      </c>
      <c r="C8" s="8" t="s">
        <v>148</v>
      </c>
      <c r="D8" s="8" t="s">
        <v>2</v>
      </c>
      <c r="E8" s="8" t="s">
        <v>78</v>
      </c>
      <c r="F8" s="15" t="s">
        <v>79</v>
      </c>
      <c r="G8" s="8" t="s">
        <v>80</v>
      </c>
      <c r="H8" s="8" t="s">
        <v>81</v>
      </c>
      <c r="I8" s="8" t="s">
        <v>82</v>
      </c>
      <c r="J8" s="8" t="s">
        <v>83</v>
      </c>
      <c r="K8" s="8" t="s">
        <v>84</v>
      </c>
      <c r="L8" s="8" t="s">
        <v>85</v>
      </c>
      <c r="M8" s="8" t="s">
        <v>86</v>
      </c>
      <c r="N8" s="8" t="s">
        <v>87</v>
      </c>
      <c r="O8" s="8" t="s">
        <v>88</v>
      </c>
      <c r="P8" s="8" t="s">
        <v>89</v>
      </c>
      <c r="Q8" s="8" t="s">
        <v>90</v>
      </c>
      <c r="R8" s="8" t="s">
        <v>91</v>
      </c>
      <c r="S8" s="8" t="s">
        <v>92</v>
      </c>
      <c r="T8" s="8" t="s">
        <v>93</v>
      </c>
      <c r="U8" s="8" t="s">
        <v>94</v>
      </c>
      <c r="V8" s="8" t="s">
        <v>95</v>
      </c>
      <c r="W8" s="8" t="s">
        <v>96</v>
      </c>
      <c r="X8" s="8" t="s">
        <v>97</v>
      </c>
      <c r="Y8" s="8" t="s">
        <v>98</v>
      </c>
      <c r="Z8" s="8" t="s">
        <v>99</v>
      </c>
      <c r="AA8" s="8" t="s">
        <v>100</v>
      </c>
      <c r="AB8" s="8" t="s">
        <v>101</v>
      </c>
      <c r="AC8" s="8" t="s">
        <v>102</v>
      </c>
      <c r="AD8" s="8" t="s">
        <v>103</v>
      </c>
      <c r="AE8" s="8" t="s">
        <v>104</v>
      </c>
      <c r="AF8" s="8" t="s">
        <v>105</v>
      </c>
      <c r="AG8" s="8" t="s">
        <v>106</v>
      </c>
      <c r="AH8" s="8" t="s">
        <v>107</v>
      </c>
      <c r="AI8" s="8" t="s">
        <v>108</v>
      </c>
      <c r="AJ8" s="8" t="s">
        <v>109</v>
      </c>
      <c r="AK8" s="8" t="s">
        <v>110</v>
      </c>
      <c r="AL8" s="8" t="s">
        <v>111</v>
      </c>
      <c r="AM8" s="8" t="s">
        <v>112</v>
      </c>
      <c r="AN8" s="8" t="s">
        <v>113</v>
      </c>
      <c r="AO8" s="8" t="s">
        <v>114</v>
      </c>
      <c r="AP8" s="8" t="s">
        <v>115</v>
      </c>
      <c r="AQ8" s="8" t="s">
        <v>116</v>
      </c>
      <c r="AR8" s="8" t="s">
        <v>117</v>
      </c>
      <c r="AS8" s="8" t="s">
        <v>118</v>
      </c>
      <c r="AT8" s="8" t="s">
        <v>119</v>
      </c>
      <c r="AU8" s="8" t="s">
        <v>120</v>
      </c>
      <c r="AV8" s="8" t="s">
        <v>121</v>
      </c>
      <c r="AW8" s="8" t="s">
        <v>122</v>
      </c>
      <c r="AX8" s="8" t="s">
        <v>123</v>
      </c>
      <c r="AY8" s="8" t="s">
        <v>124</v>
      </c>
      <c r="AZ8" s="8" t="s">
        <v>125</v>
      </c>
      <c r="BA8" s="8" t="s">
        <v>126</v>
      </c>
      <c r="BB8" s="8" t="s">
        <v>127</v>
      </c>
      <c r="BC8" s="8" t="s">
        <v>128</v>
      </c>
      <c r="BD8" s="8" t="s">
        <v>129</v>
      </c>
      <c r="BE8" s="8" t="s">
        <v>130</v>
      </c>
      <c r="BF8" s="8" t="s">
        <v>131</v>
      </c>
      <c r="BG8" s="8" t="s">
        <v>132</v>
      </c>
      <c r="BH8" s="8" t="s">
        <v>133</v>
      </c>
      <c r="BI8" s="8" t="s">
        <v>134</v>
      </c>
      <c r="BJ8" s="8" t="s">
        <v>135</v>
      </c>
      <c r="BK8" s="8" t="s">
        <v>136</v>
      </c>
      <c r="BL8" s="8" t="s">
        <v>137</v>
      </c>
      <c r="BM8" s="8" t="s">
        <v>138</v>
      </c>
      <c r="BN8" s="8" t="s">
        <v>139</v>
      </c>
      <c r="BO8" s="8" t="s">
        <v>140</v>
      </c>
      <c r="BP8" s="8" t="s">
        <v>141</v>
      </c>
      <c r="BQ8" s="8" t="s">
        <v>142</v>
      </c>
      <c r="BR8" s="8" t="s">
        <v>143</v>
      </c>
      <c r="BS8" s="8" t="s">
        <v>144</v>
      </c>
      <c r="BT8" s="8" t="s">
        <v>145</v>
      </c>
      <c r="BU8" s="8" t="s">
        <v>146</v>
      </c>
      <c r="BV8" s="8" t="s">
        <v>147</v>
      </c>
    </row>
    <row r="9" spans="1:74" s="18" customFormat="1" x14ac:dyDescent="0.25">
      <c r="A9" s="20">
        <v>41291</v>
      </c>
      <c r="B9" s="14">
        <f>A9-$B$2</f>
        <v>0</v>
      </c>
      <c r="C9" s="30" t="s">
        <v>160</v>
      </c>
      <c r="D9" s="2">
        <v>1</v>
      </c>
      <c r="E9" s="29">
        <v>32.943199999999997</v>
      </c>
      <c r="F9" s="29">
        <v>16.044</v>
      </c>
      <c r="G9" s="29">
        <v>41.763400000000004</v>
      </c>
      <c r="H9" s="29">
        <v>41.168799999999997</v>
      </c>
      <c r="I9" s="29">
        <v>63.734799999999993</v>
      </c>
      <c r="J9" s="29">
        <v>3.2479999999999993</v>
      </c>
      <c r="K9" s="29">
        <v>3.4024000000000001</v>
      </c>
      <c r="L9" s="29" t="s">
        <v>158</v>
      </c>
      <c r="M9" s="29" t="s">
        <v>158</v>
      </c>
      <c r="N9" s="29" t="s">
        <v>157</v>
      </c>
      <c r="O9" s="29" t="s">
        <v>157</v>
      </c>
      <c r="P9" s="29" t="s">
        <v>157</v>
      </c>
      <c r="Q9" s="29" t="s">
        <v>157</v>
      </c>
      <c r="R9" s="29" t="s">
        <v>157</v>
      </c>
      <c r="S9" s="29" t="s">
        <v>157</v>
      </c>
      <c r="T9" s="29" t="s">
        <v>157</v>
      </c>
      <c r="U9" s="29" t="s">
        <v>158</v>
      </c>
      <c r="V9" s="29" t="s">
        <v>157</v>
      </c>
      <c r="W9" s="29" t="s">
        <v>157</v>
      </c>
      <c r="X9" s="29" t="s">
        <v>157</v>
      </c>
      <c r="Y9" s="29">
        <v>29.4192</v>
      </c>
      <c r="Z9" s="29" t="s">
        <v>158</v>
      </c>
      <c r="AA9" s="29" t="s">
        <v>157</v>
      </c>
      <c r="AB9" s="29" t="s">
        <v>157</v>
      </c>
      <c r="AC9" s="29">
        <v>19.188000000000002</v>
      </c>
      <c r="AD9" s="29" t="s">
        <v>157</v>
      </c>
      <c r="AE9" s="29" t="s">
        <v>157</v>
      </c>
      <c r="AF9" s="29" t="s">
        <v>158</v>
      </c>
      <c r="AG9" s="29" t="s">
        <v>157</v>
      </c>
      <c r="AH9" s="29">
        <v>4.7681999999999993</v>
      </c>
      <c r="AI9" s="29" t="s">
        <v>157</v>
      </c>
      <c r="AJ9" s="29">
        <v>14.0242</v>
      </c>
      <c r="AK9" s="29" t="s">
        <v>157</v>
      </c>
      <c r="AL9" s="29" t="s">
        <v>157</v>
      </c>
      <c r="AM9" s="29" t="s">
        <v>157</v>
      </c>
      <c r="AN9" s="29">
        <v>3.2731999999999997</v>
      </c>
      <c r="AO9" s="29" t="s">
        <v>158</v>
      </c>
      <c r="AP9" s="29" t="s">
        <v>157</v>
      </c>
      <c r="AQ9" s="29" t="s">
        <v>157</v>
      </c>
      <c r="AR9" s="29" t="s">
        <v>157</v>
      </c>
      <c r="AS9" s="29" t="s">
        <v>157</v>
      </c>
      <c r="AT9" s="29" t="s">
        <v>157</v>
      </c>
      <c r="AU9" s="29">
        <v>2.1415999999999999</v>
      </c>
      <c r="AV9" s="29" t="s">
        <v>158</v>
      </c>
      <c r="AW9" s="29" t="s">
        <v>157</v>
      </c>
      <c r="AX9" s="29" t="s">
        <v>157</v>
      </c>
      <c r="AY9" s="29" t="s">
        <v>158</v>
      </c>
      <c r="AZ9" s="29" t="s">
        <v>158</v>
      </c>
      <c r="BA9" s="29" t="s">
        <v>158</v>
      </c>
      <c r="BB9" s="29" t="s">
        <v>158</v>
      </c>
      <c r="BC9" s="29" t="s">
        <v>157</v>
      </c>
      <c r="BD9" s="29" t="s">
        <v>158</v>
      </c>
      <c r="BE9" s="29" t="s">
        <v>157</v>
      </c>
      <c r="BF9" s="29" t="s">
        <v>157</v>
      </c>
      <c r="BG9" s="29" t="s">
        <v>157</v>
      </c>
      <c r="BH9" s="29" t="s">
        <v>157</v>
      </c>
      <c r="BI9" s="29" t="s">
        <v>157</v>
      </c>
      <c r="BJ9" s="29" t="s">
        <v>157</v>
      </c>
      <c r="BK9" s="29" t="s">
        <v>157</v>
      </c>
      <c r="BL9" s="29">
        <v>64.629799999999989</v>
      </c>
      <c r="BM9" s="29">
        <v>24.491799999999998</v>
      </c>
      <c r="BN9" s="29">
        <v>7.4596000000000009</v>
      </c>
      <c r="BO9" s="29" t="s">
        <v>158</v>
      </c>
      <c r="BP9" s="29" t="s">
        <v>157</v>
      </c>
      <c r="BQ9" s="29" t="s">
        <v>157</v>
      </c>
      <c r="BR9" s="29" t="s">
        <v>157</v>
      </c>
      <c r="BS9" s="29" t="s">
        <v>157</v>
      </c>
      <c r="BT9" s="29" t="s">
        <v>157</v>
      </c>
      <c r="BU9" s="29" t="s">
        <v>157</v>
      </c>
      <c r="BV9" s="29" t="s">
        <v>158</v>
      </c>
    </row>
    <row r="10" spans="1:74" s="18" customFormat="1" x14ac:dyDescent="0.25">
      <c r="A10" s="20">
        <v>41298</v>
      </c>
      <c r="B10" s="14">
        <f t="shared" ref="B10:B32" si="0">A10-$B$2</f>
        <v>7</v>
      </c>
      <c r="C10" s="27"/>
      <c r="D10" s="2">
        <v>1.0134435438960971</v>
      </c>
      <c r="E10" s="27"/>
      <c r="F10" s="28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</row>
    <row r="11" spans="1:74" x14ac:dyDescent="0.25">
      <c r="A11" s="21">
        <v>41305</v>
      </c>
      <c r="B11" s="14">
        <f t="shared" si="0"/>
        <v>14</v>
      </c>
      <c r="C11" s="30" t="s">
        <v>160</v>
      </c>
      <c r="D11" s="2">
        <v>1.0239228506474412</v>
      </c>
      <c r="E11" s="29">
        <v>20.314799999999998</v>
      </c>
      <c r="F11" s="29">
        <v>12.3352</v>
      </c>
      <c r="G11" s="29">
        <v>62.461799999999997</v>
      </c>
      <c r="H11" s="29">
        <v>52.556600000000003</v>
      </c>
      <c r="I11" s="29">
        <v>52.868600000000001</v>
      </c>
      <c r="J11" s="29" t="s">
        <v>158</v>
      </c>
      <c r="K11" s="29" t="s">
        <v>158</v>
      </c>
      <c r="L11" s="29" t="s">
        <v>157</v>
      </c>
      <c r="M11" s="29" t="s">
        <v>158</v>
      </c>
      <c r="N11" s="29" t="s">
        <v>157</v>
      </c>
      <c r="O11" s="29" t="s">
        <v>157</v>
      </c>
      <c r="P11" s="29" t="s">
        <v>157</v>
      </c>
      <c r="Q11" s="29" t="s">
        <v>157</v>
      </c>
      <c r="R11" s="29" t="s">
        <v>157</v>
      </c>
      <c r="S11" s="29" t="s">
        <v>157</v>
      </c>
      <c r="T11" s="29" t="s">
        <v>157</v>
      </c>
      <c r="U11" s="29" t="s">
        <v>158</v>
      </c>
      <c r="V11" s="29" t="s">
        <v>157</v>
      </c>
      <c r="W11" s="29" t="s">
        <v>157</v>
      </c>
      <c r="X11" s="29" t="s">
        <v>157</v>
      </c>
      <c r="Y11" s="29" t="s">
        <v>157</v>
      </c>
      <c r="Z11" s="29" t="s">
        <v>157</v>
      </c>
      <c r="AA11" s="29" t="s">
        <v>157</v>
      </c>
      <c r="AB11" s="29" t="s">
        <v>157</v>
      </c>
      <c r="AC11" s="29">
        <v>24.745799999999996</v>
      </c>
      <c r="AD11" s="29" t="s">
        <v>157</v>
      </c>
      <c r="AE11" s="29" t="s">
        <v>157</v>
      </c>
      <c r="AF11" s="29">
        <v>2.8115999999999999</v>
      </c>
      <c r="AG11" s="29" t="s">
        <v>157</v>
      </c>
      <c r="AH11" s="29">
        <v>3.9987999999999997</v>
      </c>
      <c r="AI11" s="29" t="s">
        <v>157</v>
      </c>
      <c r="AJ11" s="29">
        <v>4.2881999999999998</v>
      </c>
      <c r="AK11" s="29" t="s">
        <v>157</v>
      </c>
      <c r="AL11" s="29" t="s">
        <v>157</v>
      </c>
      <c r="AM11" s="29" t="s">
        <v>157</v>
      </c>
      <c r="AN11" s="29" t="s">
        <v>158</v>
      </c>
      <c r="AO11" s="29" t="s">
        <v>158</v>
      </c>
      <c r="AP11" s="29" t="s">
        <v>157</v>
      </c>
      <c r="AQ11" s="29" t="s">
        <v>157</v>
      </c>
      <c r="AR11" s="29" t="s">
        <v>157</v>
      </c>
      <c r="AS11" s="29" t="s">
        <v>157</v>
      </c>
      <c r="AT11" s="29" t="s">
        <v>157</v>
      </c>
      <c r="AU11" s="29">
        <v>5.4147999999999996</v>
      </c>
      <c r="AV11" s="29" t="s">
        <v>158</v>
      </c>
      <c r="AW11" s="29" t="s">
        <v>157</v>
      </c>
      <c r="AX11" s="29" t="s">
        <v>157</v>
      </c>
      <c r="AY11" s="29" t="s">
        <v>157</v>
      </c>
      <c r="AZ11" s="29" t="s">
        <v>157</v>
      </c>
      <c r="BA11" s="29" t="s">
        <v>157</v>
      </c>
      <c r="BB11" s="29" t="s">
        <v>157</v>
      </c>
      <c r="BC11" s="29" t="s">
        <v>157</v>
      </c>
      <c r="BD11" s="29" t="s">
        <v>157</v>
      </c>
      <c r="BE11" s="29" t="s">
        <v>157</v>
      </c>
      <c r="BF11" s="29" t="s">
        <v>157</v>
      </c>
      <c r="BG11" s="29" t="s">
        <v>157</v>
      </c>
      <c r="BH11" s="29" t="s">
        <v>157</v>
      </c>
      <c r="BI11" s="29" t="s">
        <v>157</v>
      </c>
      <c r="BJ11" s="29" t="s">
        <v>157</v>
      </c>
      <c r="BK11" s="29" t="s">
        <v>157</v>
      </c>
      <c r="BL11" s="29">
        <v>20.238</v>
      </c>
      <c r="BM11" s="29">
        <v>17.711400000000001</v>
      </c>
      <c r="BN11" s="29">
        <v>14.462199999999999</v>
      </c>
      <c r="BO11" s="29" t="s">
        <v>157</v>
      </c>
      <c r="BP11" s="29" t="s">
        <v>157</v>
      </c>
      <c r="BQ11" s="29" t="s">
        <v>157</v>
      </c>
      <c r="BR11" s="29" t="s">
        <v>157</v>
      </c>
      <c r="BS11" s="29" t="s">
        <v>157</v>
      </c>
      <c r="BT11" s="29" t="s">
        <v>157</v>
      </c>
      <c r="BU11" s="29" t="s">
        <v>157</v>
      </c>
      <c r="BV11" s="29" t="s">
        <v>158</v>
      </c>
    </row>
    <row r="12" spans="1:74" x14ac:dyDescent="0.25">
      <c r="A12" s="21">
        <v>41311</v>
      </c>
      <c r="B12" s="14">
        <f t="shared" si="0"/>
        <v>20</v>
      </c>
      <c r="C12" s="26"/>
      <c r="D12" s="2">
        <v>1.0354303153717297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</row>
    <row r="13" spans="1:74" x14ac:dyDescent="0.25">
      <c r="A13" s="21">
        <v>41318</v>
      </c>
      <c r="B13" s="14">
        <f t="shared" si="0"/>
        <v>27</v>
      </c>
      <c r="C13" s="30" t="s">
        <v>160</v>
      </c>
      <c r="D13" s="2">
        <v>1.0530799615043029</v>
      </c>
      <c r="E13" s="29" t="s">
        <v>158</v>
      </c>
      <c r="F13" s="29">
        <v>13.045199999999999</v>
      </c>
      <c r="G13" s="29">
        <v>63.287199999999999</v>
      </c>
      <c r="H13" s="29">
        <v>49.945399999999999</v>
      </c>
      <c r="I13" s="29">
        <v>58.419399999999996</v>
      </c>
      <c r="J13" s="29" t="s">
        <v>158</v>
      </c>
      <c r="K13" s="29" t="s">
        <v>157</v>
      </c>
      <c r="L13" s="29" t="s">
        <v>157</v>
      </c>
      <c r="M13" s="29" t="s">
        <v>157</v>
      </c>
      <c r="N13" s="29" t="s">
        <v>157</v>
      </c>
      <c r="O13" s="29" t="s">
        <v>157</v>
      </c>
      <c r="P13" s="29" t="s">
        <v>157</v>
      </c>
      <c r="Q13" s="29" t="s">
        <v>157</v>
      </c>
      <c r="R13" s="29" t="s">
        <v>157</v>
      </c>
      <c r="S13" s="29" t="s">
        <v>157</v>
      </c>
      <c r="T13" s="29" t="s">
        <v>157</v>
      </c>
      <c r="U13" s="29" t="s">
        <v>158</v>
      </c>
      <c r="V13" s="29" t="s">
        <v>157</v>
      </c>
      <c r="W13" s="29" t="s">
        <v>157</v>
      </c>
      <c r="X13" s="29" t="s">
        <v>157</v>
      </c>
      <c r="Y13" s="29" t="s">
        <v>157</v>
      </c>
      <c r="Z13" s="29" t="s">
        <v>157</v>
      </c>
      <c r="AA13" s="29" t="s">
        <v>157</v>
      </c>
      <c r="AB13" s="29" t="s">
        <v>157</v>
      </c>
      <c r="AC13" s="29">
        <v>19.1494</v>
      </c>
      <c r="AD13" s="29" t="s">
        <v>157</v>
      </c>
      <c r="AE13" s="29" t="s">
        <v>157</v>
      </c>
      <c r="AF13" s="29" t="s">
        <v>158</v>
      </c>
      <c r="AG13" s="29" t="s">
        <v>157</v>
      </c>
      <c r="AH13" s="29">
        <v>5.2587999999999999</v>
      </c>
      <c r="AI13" s="29" t="s">
        <v>157</v>
      </c>
      <c r="AJ13" s="29">
        <v>3.6160000000000001</v>
      </c>
      <c r="AK13" s="29" t="s">
        <v>157</v>
      </c>
      <c r="AL13" s="29" t="s">
        <v>157</v>
      </c>
      <c r="AM13" s="29" t="s">
        <v>157</v>
      </c>
      <c r="AN13" s="29" t="s">
        <v>158</v>
      </c>
      <c r="AO13" s="29" t="s">
        <v>157</v>
      </c>
      <c r="AP13" s="29" t="s">
        <v>157</v>
      </c>
      <c r="AQ13" s="29" t="s">
        <v>157</v>
      </c>
      <c r="AR13" s="29" t="s">
        <v>157</v>
      </c>
      <c r="AS13" s="29" t="s">
        <v>157</v>
      </c>
      <c r="AT13" s="29" t="s">
        <v>157</v>
      </c>
      <c r="AU13" s="29">
        <v>5.4791999999999996</v>
      </c>
      <c r="AV13" s="29" t="s">
        <v>158</v>
      </c>
      <c r="AW13" s="29" t="s">
        <v>157</v>
      </c>
      <c r="AX13" s="29" t="s">
        <v>157</v>
      </c>
      <c r="AY13" s="29" t="s">
        <v>157</v>
      </c>
      <c r="AZ13" s="29" t="s">
        <v>157</v>
      </c>
      <c r="BA13" s="29" t="s">
        <v>157</v>
      </c>
      <c r="BB13" s="29" t="s">
        <v>157</v>
      </c>
      <c r="BC13" s="29" t="s">
        <v>157</v>
      </c>
      <c r="BD13" s="29" t="s">
        <v>157</v>
      </c>
      <c r="BE13" s="29" t="s">
        <v>157</v>
      </c>
      <c r="BF13" s="29" t="s">
        <v>157</v>
      </c>
      <c r="BG13" s="29" t="s">
        <v>157</v>
      </c>
      <c r="BH13" s="29" t="s">
        <v>157</v>
      </c>
      <c r="BI13" s="29" t="s">
        <v>157</v>
      </c>
      <c r="BJ13" s="29" t="s">
        <v>157</v>
      </c>
      <c r="BK13" s="29" t="s">
        <v>157</v>
      </c>
      <c r="BL13" s="29">
        <v>18.0822</v>
      </c>
      <c r="BM13" s="29">
        <v>16.180199999999999</v>
      </c>
      <c r="BN13" s="29">
        <v>12.518999999999998</v>
      </c>
      <c r="BO13" s="29" t="s">
        <v>158</v>
      </c>
      <c r="BP13" s="29" t="s">
        <v>157</v>
      </c>
      <c r="BQ13" s="29" t="s">
        <v>157</v>
      </c>
      <c r="BR13" s="29" t="s">
        <v>157</v>
      </c>
      <c r="BS13" s="29" t="s">
        <v>157</v>
      </c>
      <c r="BT13" s="29" t="s">
        <v>157</v>
      </c>
      <c r="BU13" s="29" t="s">
        <v>157</v>
      </c>
      <c r="BV13" s="29" t="s">
        <v>157</v>
      </c>
    </row>
    <row r="14" spans="1:74" x14ac:dyDescent="0.25">
      <c r="A14" s="21">
        <v>41326</v>
      </c>
      <c r="B14" s="14">
        <f t="shared" si="0"/>
        <v>35</v>
      </c>
      <c r="C14" s="26"/>
      <c r="D14" s="2">
        <v>1.0622184382780677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</row>
    <row r="15" spans="1:74" x14ac:dyDescent="0.25">
      <c r="A15" s="21">
        <v>41332</v>
      </c>
      <c r="B15" s="14">
        <f t="shared" si="0"/>
        <v>41</v>
      </c>
      <c r="C15" s="30" t="s">
        <v>160</v>
      </c>
      <c r="D15" s="2">
        <v>1.082852050643941</v>
      </c>
      <c r="E15" s="29" t="s">
        <v>158</v>
      </c>
      <c r="F15" s="29" t="s">
        <v>158</v>
      </c>
      <c r="G15" s="29">
        <v>95.494199999999992</v>
      </c>
      <c r="H15" s="29">
        <v>41.2258</v>
      </c>
      <c r="I15" s="29">
        <v>43.223399999999998</v>
      </c>
      <c r="J15" s="29" t="s">
        <v>158</v>
      </c>
      <c r="K15" s="29" t="s">
        <v>157</v>
      </c>
      <c r="L15" s="29" t="s">
        <v>157</v>
      </c>
      <c r="M15" s="29" t="s">
        <v>157</v>
      </c>
      <c r="N15" s="29" t="s">
        <v>157</v>
      </c>
      <c r="O15" s="29" t="s">
        <v>157</v>
      </c>
      <c r="P15" s="29" t="s">
        <v>157</v>
      </c>
      <c r="Q15" s="29" t="s">
        <v>157</v>
      </c>
      <c r="R15" s="29" t="s">
        <v>157</v>
      </c>
      <c r="S15" s="29" t="s">
        <v>157</v>
      </c>
      <c r="T15" s="29" t="s">
        <v>157</v>
      </c>
      <c r="U15" s="29" t="s">
        <v>157</v>
      </c>
      <c r="V15" s="29" t="s">
        <v>157</v>
      </c>
      <c r="W15" s="29" t="s">
        <v>157</v>
      </c>
      <c r="X15" s="29" t="s">
        <v>157</v>
      </c>
      <c r="Y15" s="29" t="s">
        <v>157</v>
      </c>
      <c r="Z15" s="29" t="s">
        <v>157</v>
      </c>
      <c r="AA15" s="29" t="s">
        <v>157</v>
      </c>
      <c r="AB15" s="29" t="s">
        <v>157</v>
      </c>
      <c r="AC15" s="29">
        <v>15.446400000000001</v>
      </c>
      <c r="AD15" s="29" t="s">
        <v>157</v>
      </c>
      <c r="AE15" s="29" t="s">
        <v>157</v>
      </c>
      <c r="AF15" s="29" t="s">
        <v>158</v>
      </c>
      <c r="AG15" s="29" t="s">
        <v>157</v>
      </c>
      <c r="AH15" s="29" t="s">
        <v>158</v>
      </c>
      <c r="AI15" s="29" t="s">
        <v>157</v>
      </c>
      <c r="AJ15" s="29">
        <v>6.6016000000000004</v>
      </c>
      <c r="AK15" s="29" t="s">
        <v>157</v>
      </c>
      <c r="AL15" s="29" t="s">
        <v>157</v>
      </c>
      <c r="AM15" s="29" t="s">
        <v>157</v>
      </c>
      <c r="AN15" s="29" t="s">
        <v>158</v>
      </c>
      <c r="AO15" s="29" t="s">
        <v>157</v>
      </c>
      <c r="AP15" s="29" t="s">
        <v>157</v>
      </c>
      <c r="AQ15" s="29" t="s">
        <v>157</v>
      </c>
      <c r="AR15" s="29" t="s">
        <v>157</v>
      </c>
      <c r="AS15" s="29" t="s">
        <v>157</v>
      </c>
      <c r="AT15" s="29" t="s">
        <v>157</v>
      </c>
      <c r="AU15" s="29">
        <v>3.7951999999999995</v>
      </c>
      <c r="AV15" s="29" t="s">
        <v>157</v>
      </c>
      <c r="AW15" s="29" t="s">
        <v>157</v>
      </c>
      <c r="AX15" s="29" t="s">
        <v>157</v>
      </c>
      <c r="AY15" s="29" t="s">
        <v>157</v>
      </c>
      <c r="AZ15" s="29" t="s">
        <v>157</v>
      </c>
      <c r="BA15" s="29" t="s">
        <v>157</v>
      </c>
      <c r="BB15" s="29" t="s">
        <v>157</v>
      </c>
      <c r="BC15" s="29" t="s">
        <v>157</v>
      </c>
      <c r="BD15" s="29" t="s">
        <v>157</v>
      </c>
      <c r="BE15" s="29" t="s">
        <v>157</v>
      </c>
      <c r="BF15" s="29" t="s">
        <v>157</v>
      </c>
      <c r="BG15" s="29" t="s">
        <v>157</v>
      </c>
      <c r="BH15" s="29" t="s">
        <v>157</v>
      </c>
      <c r="BI15" s="29" t="s">
        <v>157</v>
      </c>
      <c r="BJ15" s="29" t="s">
        <v>157</v>
      </c>
      <c r="BK15" s="29" t="s">
        <v>157</v>
      </c>
      <c r="BL15" s="29">
        <v>8.4105999999999987</v>
      </c>
      <c r="BM15" s="29">
        <v>6.8086000000000002</v>
      </c>
      <c r="BN15" s="29">
        <v>15.394399999999997</v>
      </c>
      <c r="BO15" s="29" t="s">
        <v>158</v>
      </c>
      <c r="BP15" s="29" t="s">
        <v>157</v>
      </c>
      <c r="BQ15" s="29" t="s">
        <v>157</v>
      </c>
      <c r="BR15" s="29" t="s">
        <v>157</v>
      </c>
      <c r="BS15" s="29" t="s">
        <v>157</v>
      </c>
      <c r="BT15" s="29" t="s">
        <v>157</v>
      </c>
      <c r="BU15" s="29" t="s">
        <v>157</v>
      </c>
      <c r="BV15" s="29" t="s">
        <v>157</v>
      </c>
    </row>
    <row r="16" spans="1:74" x14ac:dyDescent="0.25">
      <c r="A16" s="21">
        <v>41339</v>
      </c>
      <c r="B16" s="14">
        <f t="shared" si="0"/>
        <v>48</v>
      </c>
      <c r="C16" s="26"/>
      <c r="D16" s="2">
        <v>1.082852050643941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</row>
    <row r="17" spans="1:74" x14ac:dyDescent="0.25">
      <c r="A17" s="21">
        <v>41353</v>
      </c>
      <c r="B17" s="14">
        <f t="shared" si="0"/>
        <v>62</v>
      </c>
      <c r="C17" s="30" t="s">
        <v>160</v>
      </c>
      <c r="D17" s="2">
        <v>1.1027809345726363</v>
      </c>
      <c r="E17" s="29" t="s">
        <v>158</v>
      </c>
      <c r="F17" s="29">
        <v>22.552000000000003</v>
      </c>
      <c r="G17" s="29">
        <v>86.304399999999987</v>
      </c>
      <c r="H17" s="29">
        <v>44.151200000000003</v>
      </c>
      <c r="I17" s="29">
        <v>56.201999999999998</v>
      </c>
      <c r="J17" s="29" t="s">
        <v>158</v>
      </c>
      <c r="K17" s="29" t="s">
        <v>157</v>
      </c>
      <c r="L17" s="29" t="s">
        <v>157</v>
      </c>
      <c r="M17" s="29" t="s">
        <v>157</v>
      </c>
      <c r="N17" s="29" t="s">
        <v>157</v>
      </c>
      <c r="O17" s="29" t="s">
        <v>157</v>
      </c>
      <c r="P17" s="29" t="s">
        <v>157</v>
      </c>
      <c r="Q17" s="29" t="s">
        <v>157</v>
      </c>
      <c r="R17" s="29" t="s">
        <v>157</v>
      </c>
      <c r="S17" s="29" t="s">
        <v>157</v>
      </c>
      <c r="T17" s="29" t="s">
        <v>157</v>
      </c>
      <c r="U17" s="29" t="s">
        <v>157</v>
      </c>
      <c r="V17" s="29" t="s">
        <v>157</v>
      </c>
      <c r="W17" s="29" t="s">
        <v>157</v>
      </c>
      <c r="X17" s="29" t="s">
        <v>157</v>
      </c>
      <c r="Y17" s="29" t="s">
        <v>157</v>
      </c>
      <c r="Z17" s="29" t="s">
        <v>157</v>
      </c>
      <c r="AA17" s="29" t="s">
        <v>157</v>
      </c>
      <c r="AB17" s="29" t="s">
        <v>157</v>
      </c>
      <c r="AC17" s="29">
        <v>10.1996</v>
      </c>
      <c r="AD17" s="29" t="s">
        <v>157</v>
      </c>
      <c r="AE17" s="29" t="s">
        <v>157</v>
      </c>
      <c r="AF17" s="29">
        <v>4.9996</v>
      </c>
      <c r="AG17" s="29" t="s">
        <v>157</v>
      </c>
      <c r="AH17" s="29" t="s">
        <v>158</v>
      </c>
      <c r="AI17" s="29" t="s">
        <v>157</v>
      </c>
      <c r="AJ17" s="29">
        <v>5.2332000000000001</v>
      </c>
      <c r="AK17" s="29" t="s">
        <v>157</v>
      </c>
      <c r="AL17" s="29" t="s">
        <v>157</v>
      </c>
      <c r="AM17" s="29" t="s">
        <v>157</v>
      </c>
      <c r="AN17" s="29">
        <v>5.8688000000000002</v>
      </c>
      <c r="AO17" s="29" t="s">
        <v>157</v>
      </c>
      <c r="AP17" s="29" t="s">
        <v>157</v>
      </c>
      <c r="AQ17" s="29" t="s">
        <v>157</v>
      </c>
      <c r="AR17" s="29" t="s">
        <v>157</v>
      </c>
      <c r="AS17" s="29" t="s">
        <v>157</v>
      </c>
      <c r="AT17" s="29" t="s">
        <v>157</v>
      </c>
      <c r="AU17" s="29">
        <v>4.5235999999999992</v>
      </c>
      <c r="AV17" s="29" t="s">
        <v>158</v>
      </c>
      <c r="AW17" s="29" t="s">
        <v>157</v>
      </c>
      <c r="AX17" s="29" t="s">
        <v>157</v>
      </c>
      <c r="AY17" s="29" t="s">
        <v>157</v>
      </c>
      <c r="AZ17" s="29" t="s">
        <v>157</v>
      </c>
      <c r="BA17" s="29" t="s">
        <v>157</v>
      </c>
      <c r="BB17" s="29" t="s">
        <v>157</v>
      </c>
      <c r="BC17" s="29" t="s">
        <v>157</v>
      </c>
      <c r="BD17" s="29" t="s">
        <v>157</v>
      </c>
      <c r="BE17" s="29" t="s">
        <v>157</v>
      </c>
      <c r="BF17" s="29" t="s">
        <v>157</v>
      </c>
      <c r="BG17" s="29" t="s">
        <v>157</v>
      </c>
      <c r="BH17" s="29" t="s">
        <v>157</v>
      </c>
      <c r="BI17" s="29" t="s">
        <v>157</v>
      </c>
      <c r="BJ17" s="29" t="s">
        <v>157</v>
      </c>
      <c r="BK17" s="29" t="s">
        <v>157</v>
      </c>
      <c r="BL17" s="29">
        <v>10.760999999999999</v>
      </c>
      <c r="BM17" s="29">
        <v>15.7014</v>
      </c>
      <c r="BN17" s="29">
        <v>18.1998</v>
      </c>
      <c r="BO17" s="29">
        <v>2.3164000000000002</v>
      </c>
      <c r="BP17" s="29" t="s">
        <v>157</v>
      </c>
      <c r="BQ17" s="29" t="s">
        <v>157</v>
      </c>
      <c r="BR17" s="29" t="s">
        <v>157</v>
      </c>
      <c r="BS17" s="29" t="s">
        <v>157</v>
      </c>
      <c r="BT17" s="29" t="s">
        <v>157</v>
      </c>
      <c r="BU17" s="29" t="s">
        <v>157</v>
      </c>
      <c r="BV17" s="29" t="s">
        <v>158</v>
      </c>
    </row>
    <row r="18" spans="1:74" x14ac:dyDescent="0.25">
      <c r="A18" s="21">
        <v>41367</v>
      </c>
      <c r="B18" s="14">
        <f t="shared" si="0"/>
        <v>76</v>
      </c>
      <c r="C18" s="26"/>
      <c r="D18" s="2">
        <v>1.1027809345726363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</row>
    <row r="19" spans="1:74" x14ac:dyDescent="0.25">
      <c r="A19" s="21">
        <v>41381</v>
      </c>
      <c r="B19" s="14">
        <f t="shared" si="0"/>
        <v>90</v>
      </c>
      <c r="C19" s="30" t="s">
        <v>161</v>
      </c>
      <c r="D19" s="2">
        <v>1.1027809345726363</v>
      </c>
      <c r="E19" s="29" t="s">
        <v>158</v>
      </c>
      <c r="F19" s="29" t="s">
        <v>158</v>
      </c>
      <c r="G19" s="29">
        <v>98.419866666666664</v>
      </c>
      <c r="H19" s="29">
        <v>67.850133333333332</v>
      </c>
      <c r="I19" s="29">
        <v>104.34973333333333</v>
      </c>
      <c r="J19" s="29">
        <v>7.2884000000000002</v>
      </c>
      <c r="K19" s="29">
        <v>2.5266000000000002</v>
      </c>
      <c r="L19" s="29">
        <v>4.6086</v>
      </c>
      <c r="M19" s="29">
        <v>2.528</v>
      </c>
      <c r="N19" s="29" t="s">
        <v>157</v>
      </c>
      <c r="O19" s="29" t="s">
        <v>157</v>
      </c>
      <c r="P19" s="29" t="s">
        <v>157</v>
      </c>
      <c r="Q19" s="29" t="s">
        <v>157</v>
      </c>
      <c r="R19" s="29" t="s">
        <v>157</v>
      </c>
      <c r="S19" s="29" t="s">
        <v>157</v>
      </c>
      <c r="T19" s="29" t="s">
        <v>157</v>
      </c>
      <c r="U19" s="29" t="s">
        <v>157</v>
      </c>
      <c r="V19" s="29" t="s">
        <v>157</v>
      </c>
      <c r="W19" s="29" t="s">
        <v>157</v>
      </c>
      <c r="X19" s="29" t="s">
        <v>157</v>
      </c>
      <c r="Y19" s="29" t="s">
        <v>157</v>
      </c>
      <c r="Z19" s="29" t="s">
        <v>157</v>
      </c>
      <c r="AA19" s="29" t="s">
        <v>157</v>
      </c>
      <c r="AB19" s="29" t="s">
        <v>157</v>
      </c>
      <c r="AC19" s="29">
        <v>63.763066666666667</v>
      </c>
      <c r="AD19" s="29" t="s">
        <v>157</v>
      </c>
      <c r="AE19" s="29" t="s">
        <v>157</v>
      </c>
      <c r="AF19" s="29">
        <v>4.7417333333333334</v>
      </c>
      <c r="AG19" s="29" t="s">
        <v>157</v>
      </c>
      <c r="AH19" s="29">
        <v>8.1586700000000008</v>
      </c>
      <c r="AI19" s="29" t="s">
        <v>157</v>
      </c>
      <c r="AJ19" s="29">
        <v>14.815199999999999</v>
      </c>
      <c r="AK19" s="29" t="s">
        <v>157</v>
      </c>
      <c r="AL19" s="29" t="s">
        <v>157</v>
      </c>
      <c r="AM19" s="29" t="s">
        <v>157</v>
      </c>
      <c r="AN19" s="29">
        <v>4.5056000000000003</v>
      </c>
      <c r="AO19" s="29" t="s">
        <v>158</v>
      </c>
      <c r="AP19" s="29" t="s">
        <v>157</v>
      </c>
      <c r="AQ19" s="29" t="s">
        <v>157</v>
      </c>
      <c r="AR19" s="29" t="s">
        <v>157</v>
      </c>
      <c r="AS19" s="29" t="s">
        <v>157</v>
      </c>
      <c r="AT19" s="29" t="s">
        <v>157</v>
      </c>
      <c r="AU19" s="29">
        <v>4.3188999999999993</v>
      </c>
      <c r="AV19" s="29">
        <v>3.0587999999999997</v>
      </c>
      <c r="AW19" s="29" t="s">
        <v>157</v>
      </c>
      <c r="AX19" s="29" t="s">
        <v>157</v>
      </c>
      <c r="AY19" s="29">
        <v>3.8111999999999999</v>
      </c>
      <c r="AZ19" s="29" t="s">
        <v>157</v>
      </c>
      <c r="BA19" s="29" t="s">
        <v>157</v>
      </c>
      <c r="BB19" s="29" t="s">
        <v>157</v>
      </c>
      <c r="BC19" s="29" t="s">
        <v>157</v>
      </c>
      <c r="BD19" s="29">
        <v>4.0834000000000001</v>
      </c>
      <c r="BE19" s="29" t="s">
        <v>157</v>
      </c>
      <c r="BF19" s="29" t="s">
        <v>157</v>
      </c>
      <c r="BG19" s="29" t="s">
        <v>157</v>
      </c>
      <c r="BH19" s="29" t="s">
        <v>157</v>
      </c>
      <c r="BI19" s="29" t="s">
        <v>157</v>
      </c>
      <c r="BJ19" s="29" t="s">
        <v>157</v>
      </c>
      <c r="BK19" s="29" t="s">
        <v>157</v>
      </c>
      <c r="BL19" s="29">
        <v>37.151899999999998</v>
      </c>
      <c r="BM19" s="29">
        <v>34.471600000000002</v>
      </c>
      <c r="BN19" s="29">
        <v>65.935599999999994</v>
      </c>
      <c r="BO19" s="29">
        <v>10.448399999999999</v>
      </c>
      <c r="BP19" s="29">
        <v>5.6789999999999994</v>
      </c>
      <c r="BQ19" s="29" t="s">
        <v>157</v>
      </c>
      <c r="BR19" s="29" t="s">
        <v>157</v>
      </c>
      <c r="BS19" s="29" t="s">
        <v>157</v>
      </c>
      <c r="BT19" s="29" t="s">
        <v>157</v>
      </c>
      <c r="BU19" s="29" t="s">
        <v>157</v>
      </c>
      <c r="BV19" s="29">
        <v>7.8840000000000003</v>
      </c>
    </row>
    <row r="20" spans="1:74" x14ac:dyDescent="0.25">
      <c r="A20" s="21">
        <v>41395</v>
      </c>
      <c r="B20" s="14">
        <f t="shared" si="0"/>
        <v>104</v>
      </c>
      <c r="C20" s="26"/>
      <c r="D20" s="2">
        <v>1.1027809345726363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</row>
    <row r="21" spans="1:74" x14ac:dyDescent="0.25">
      <c r="A21" s="21">
        <v>41410</v>
      </c>
      <c r="B21" s="14">
        <f t="shared" si="0"/>
        <v>119</v>
      </c>
      <c r="C21" s="30" t="s">
        <v>160</v>
      </c>
      <c r="D21" s="2">
        <v>1.1027809345726363</v>
      </c>
      <c r="E21" s="29" t="s">
        <v>158</v>
      </c>
      <c r="F21" s="29" t="s">
        <v>158</v>
      </c>
      <c r="G21" s="29">
        <v>104.4602</v>
      </c>
      <c r="H21" s="29">
        <v>73.569000000000003</v>
      </c>
      <c r="I21" s="29">
        <v>117.1884</v>
      </c>
      <c r="J21" s="29">
        <v>6.9592000000000001</v>
      </c>
      <c r="K21" s="29">
        <v>4.1859999999999999</v>
      </c>
      <c r="L21" s="29">
        <v>2.2791999999999999</v>
      </c>
      <c r="M21" s="29" t="s">
        <v>158</v>
      </c>
      <c r="N21" s="29" t="s">
        <v>158</v>
      </c>
      <c r="O21" s="29" t="s">
        <v>157</v>
      </c>
      <c r="P21" s="29" t="s">
        <v>157</v>
      </c>
      <c r="Q21" s="29">
        <v>3.0495999999999999</v>
      </c>
      <c r="R21" s="29" t="s">
        <v>157</v>
      </c>
      <c r="S21" s="29" t="s">
        <v>157</v>
      </c>
      <c r="T21" s="29" t="s">
        <v>157</v>
      </c>
      <c r="U21" s="29" t="s">
        <v>158</v>
      </c>
      <c r="V21" s="29" t="s">
        <v>157</v>
      </c>
      <c r="W21" s="29" t="s">
        <v>157</v>
      </c>
      <c r="X21" s="29" t="s">
        <v>157</v>
      </c>
      <c r="Y21" s="29" t="s">
        <v>157</v>
      </c>
      <c r="Z21" s="29" t="s">
        <v>157</v>
      </c>
      <c r="AA21" s="29" t="s">
        <v>157</v>
      </c>
      <c r="AB21" s="29" t="s">
        <v>157</v>
      </c>
      <c r="AC21" s="29">
        <v>107.8664</v>
      </c>
      <c r="AD21" s="29">
        <v>2.4992000000000001</v>
      </c>
      <c r="AE21" s="29" t="s">
        <v>157</v>
      </c>
      <c r="AF21" s="29">
        <v>4.6075999999999997</v>
      </c>
      <c r="AG21" s="29" t="s">
        <v>157</v>
      </c>
      <c r="AH21" s="29">
        <v>5.9825999999999997</v>
      </c>
      <c r="AI21" s="29" t="s">
        <v>157</v>
      </c>
      <c r="AJ21" s="29">
        <v>17.089600000000001</v>
      </c>
      <c r="AK21" s="29" t="s">
        <v>157</v>
      </c>
      <c r="AL21" s="29" t="s">
        <v>157</v>
      </c>
      <c r="AM21" s="29" t="s">
        <v>157</v>
      </c>
      <c r="AN21" s="29">
        <v>9.4403999999999986</v>
      </c>
      <c r="AO21" s="29" t="s">
        <v>158</v>
      </c>
      <c r="AP21" s="29" t="s">
        <v>157</v>
      </c>
      <c r="AQ21" s="29" t="s">
        <v>157</v>
      </c>
      <c r="AR21" s="29" t="s">
        <v>157</v>
      </c>
      <c r="AS21" s="29" t="s">
        <v>157</v>
      </c>
      <c r="AT21" s="29" t="s">
        <v>157</v>
      </c>
      <c r="AU21" s="29">
        <v>2.6315999999999997</v>
      </c>
      <c r="AV21" s="29" t="s">
        <v>157</v>
      </c>
      <c r="AW21" s="29" t="s">
        <v>157</v>
      </c>
      <c r="AX21" s="29" t="s">
        <v>157</v>
      </c>
      <c r="AY21" s="29" t="s">
        <v>158</v>
      </c>
      <c r="AZ21" s="29" t="s">
        <v>157</v>
      </c>
      <c r="BA21" s="29" t="s">
        <v>157</v>
      </c>
      <c r="BB21" s="29" t="s">
        <v>157</v>
      </c>
      <c r="BC21" s="29" t="s">
        <v>157</v>
      </c>
      <c r="BD21" s="29">
        <v>2.2747999999999999</v>
      </c>
      <c r="BE21" s="29" t="s">
        <v>157</v>
      </c>
      <c r="BF21" s="29" t="s">
        <v>157</v>
      </c>
      <c r="BG21" s="29" t="s">
        <v>157</v>
      </c>
      <c r="BH21" s="29" t="s">
        <v>157</v>
      </c>
      <c r="BI21" s="29" t="s">
        <v>157</v>
      </c>
      <c r="BJ21" s="29" t="s">
        <v>157</v>
      </c>
      <c r="BK21" s="29" t="s">
        <v>157</v>
      </c>
      <c r="BL21" s="29">
        <v>22.004399999999997</v>
      </c>
      <c r="BM21" s="29">
        <v>65.575000000000003</v>
      </c>
      <c r="BN21" s="29">
        <v>72.305800000000005</v>
      </c>
      <c r="BO21" s="29">
        <v>30.633199999999995</v>
      </c>
      <c r="BP21" s="29">
        <v>7.9272</v>
      </c>
      <c r="BQ21" s="29" t="s">
        <v>157</v>
      </c>
      <c r="BR21" s="29" t="s">
        <v>157</v>
      </c>
      <c r="BS21" s="29" t="s">
        <v>157</v>
      </c>
      <c r="BT21" s="29" t="s">
        <v>157</v>
      </c>
      <c r="BU21" s="29" t="s">
        <v>157</v>
      </c>
      <c r="BV21" s="138">
        <v>12.3314</v>
      </c>
    </row>
    <row r="22" spans="1:74" x14ac:dyDescent="0.25">
      <c r="A22" s="21">
        <v>41424</v>
      </c>
      <c r="B22" s="14">
        <f t="shared" si="0"/>
        <v>133</v>
      </c>
      <c r="C22" s="30">
        <v>41450</v>
      </c>
      <c r="D22" s="2">
        <v>1.1027809345726363</v>
      </c>
      <c r="E22" s="29" t="s">
        <v>158</v>
      </c>
      <c r="F22" s="29" t="s">
        <v>158</v>
      </c>
      <c r="G22" s="29">
        <v>116.489</v>
      </c>
      <c r="H22" s="29">
        <v>74.748999999999995</v>
      </c>
      <c r="I22" s="29">
        <v>129.45439999999999</v>
      </c>
      <c r="J22" s="29">
        <v>10.5184</v>
      </c>
      <c r="K22" s="29">
        <v>3.7282000000000002</v>
      </c>
      <c r="L22" s="29">
        <v>5.7923999999999998</v>
      </c>
      <c r="M22" s="29">
        <v>4.2637999999999998</v>
      </c>
      <c r="N22" s="29" t="s">
        <v>158</v>
      </c>
      <c r="O22" s="29" t="s">
        <v>158</v>
      </c>
      <c r="P22" s="29" t="s">
        <v>157</v>
      </c>
      <c r="Q22" s="29" t="s">
        <v>158</v>
      </c>
      <c r="R22" s="29" t="s">
        <v>157</v>
      </c>
      <c r="S22" s="29" t="s">
        <v>157</v>
      </c>
      <c r="T22" s="29" t="s">
        <v>157</v>
      </c>
      <c r="U22" s="29" t="s">
        <v>158</v>
      </c>
      <c r="V22" s="29" t="s">
        <v>157</v>
      </c>
      <c r="W22" s="29" t="s">
        <v>157</v>
      </c>
      <c r="X22" s="29" t="s">
        <v>157</v>
      </c>
      <c r="Y22" s="29" t="s">
        <v>157</v>
      </c>
      <c r="Z22" s="29" t="s">
        <v>157</v>
      </c>
      <c r="AA22" s="29" t="s">
        <v>157</v>
      </c>
      <c r="AB22" s="29" t="s">
        <v>157</v>
      </c>
      <c r="AC22" s="29">
        <v>127.9074</v>
      </c>
      <c r="AD22" s="29" t="s">
        <v>158</v>
      </c>
      <c r="AE22" s="29" t="s">
        <v>157</v>
      </c>
      <c r="AF22" s="29">
        <v>3.6547000000000001</v>
      </c>
      <c r="AG22" s="29" t="s">
        <v>157</v>
      </c>
      <c r="AH22" s="29">
        <v>5.0871000000000004</v>
      </c>
      <c r="AI22" s="29" t="s">
        <v>157</v>
      </c>
      <c r="AJ22" s="29">
        <v>20.992799999999999</v>
      </c>
      <c r="AK22" s="29" t="s">
        <v>157</v>
      </c>
      <c r="AL22" s="29" t="s">
        <v>157</v>
      </c>
      <c r="AM22" s="29" t="s">
        <v>157</v>
      </c>
      <c r="AN22" s="29">
        <v>9.9343999999999983</v>
      </c>
      <c r="AO22" s="29" t="s">
        <v>158</v>
      </c>
      <c r="AP22" s="29" t="s">
        <v>157</v>
      </c>
      <c r="AQ22" s="29" t="s">
        <v>157</v>
      </c>
      <c r="AR22" s="29" t="s">
        <v>157</v>
      </c>
      <c r="AS22" s="29" t="s">
        <v>157</v>
      </c>
      <c r="AT22" s="29" t="s">
        <v>157</v>
      </c>
      <c r="AU22" s="29" t="s">
        <v>158</v>
      </c>
      <c r="AV22" s="29">
        <v>4.5919999999999996</v>
      </c>
      <c r="AW22" s="29" t="s">
        <v>157</v>
      </c>
      <c r="AX22" s="29" t="s">
        <v>157</v>
      </c>
      <c r="AY22" s="29">
        <v>4.2256</v>
      </c>
      <c r="AZ22" s="29">
        <v>3.3748</v>
      </c>
      <c r="BA22" s="29" t="s">
        <v>157</v>
      </c>
      <c r="BB22" s="29" t="s">
        <v>157</v>
      </c>
      <c r="BC22" s="29" t="s">
        <v>157</v>
      </c>
      <c r="BD22" s="29">
        <v>7.4816000000000003</v>
      </c>
      <c r="BE22" s="29" t="s">
        <v>157</v>
      </c>
      <c r="BF22" s="29" t="s">
        <v>157</v>
      </c>
      <c r="BG22" s="29" t="s">
        <v>157</v>
      </c>
      <c r="BH22" s="29" t="s">
        <v>157</v>
      </c>
      <c r="BI22" s="29" t="s">
        <v>157</v>
      </c>
      <c r="BJ22" s="29" t="s">
        <v>157</v>
      </c>
      <c r="BK22" s="29" t="s">
        <v>157</v>
      </c>
      <c r="BL22" s="29">
        <v>20.433999999999997</v>
      </c>
      <c r="BM22" s="29">
        <v>35.266799999999996</v>
      </c>
      <c r="BN22" s="29">
        <v>91.733199999999997</v>
      </c>
      <c r="BO22" s="29">
        <v>20.999600000000001</v>
      </c>
      <c r="BP22" s="29">
        <v>5.1651999999999996</v>
      </c>
      <c r="BQ22" s="29" t="s">
        <v>157</v>
      </c>
      <c r="BR22" s="29" t="s">
        <v>157</v>
      </c>
      <c r="BS22" s="29" t="s">
        <v>157</v>
      </c>
      <c r="BT22" s="29" t="s">
        <v>157</v>
      </c>
      <c r="BU22" s="29" t="s">
        <v>157</v>
      </c>
      <c r="BV22" s="138">
        <v>16.476400000000002</v>
      </c>
    </row>
    <row r="23" spans="1:74" x14ac:dyDescent="0.25">
      <c r="A23" s="21">
        <v>41436</v>
      </c>
      <c r="B23" s="14">
        <f t="shared" si="0"/>
        <v>145</v>
      </c>
      <c r="C23" s="30" t="s">
        <v>160</v>
      </c>
      <c r="D23" s="2">
        <v>1.1027809345726363</v>
      </c>
      <c r="E23" s="29">
        <v>30.490399999999998</v>
      </c>
      <c r="F23" s="29">
        <v>16.208000000000002</v>
      </c>
      <c r="G23" s="29">
        <v>87.59859999999999</v>
      </c>
      <c r="H23" s="29">
        <v>75.052399999999992</v>
      </c>
      <c r="I23" s="29">
        <v>108.75999999999999</v>
      </c>
      <c r="J23" s="29">
        <v>6.2228000000000003</v>
      </c>
      <c r="K23" s="29">
        <v>2.1436000000000002</v>
      </c>
      <c r="L23" s="29">
        <v>2.1492</v>
      </c>
      <c r="M23" s="29" t="s">
        <v>158</v>
      </c>
      <c r="N23" s="29" t="s">
        <v>158</v>
      </c>
      <c r="O23" s="29" t="s">
        <v>158</v>
      </c>
      <c r="P23" s="29" t="s">
        <v>157</v>
      </c>
      <c r="Q23" s="29" t="s">
        <v>157</v>
      </c>
      <c r="R23" s="29" t="s">
        <v>157</v>
      </c>
      <c r="S23" s="29" t="s">
        <v>157</v>
      </c>
      <c r="T23" s="29" t="s">
        <v>157</v>
      </c>
      <c r="U23" s="29">
        <v>23.454800000000002</v>
      </c>
      <c r="V23" s="29" t="s">
        <v>157</v>
      </c>
      <c r="W23" s="29" t="s">
        <v>157</v>
      </c>
      <c r="X23" s="29" t="s">
        <v>157</v>
      </c>
      <c r="Y23" s="29" t="s">
        <v>157</v>
      </c>
      <c r="Z23" s="29" t="s">
        <v>157</v>
      </c>
      <c r="AA23" s="29" t="s">
        <v>157</v>
      </c>
      <c r="AB23" s="29" t="s">
        <v>157</v>
      </c>
      <c r="AC23" s="29">
        <v>212.1576</v>
      </c>
      <c r="AD23" s="29" t="s">
        <v>158</v>
      </c>
      <c r="AE23" s="29" t="s">
        <v>157</v>
      </c>
      <c r="AF23" s="29">
        <v>2.0979999999999999</v>
      </c>
      <c r="AG23" s="29" t="s">
        <v>157</v>
      </c>
      <c r="AH23" s="29">
        <v>5.9062000000000001</v>
      </c>
      <c r="AI23" s="29" t="s">
        <v>157</v>
      </c>
      <c r="AJ23" s="29">
        <v>12.3484</v>
      </c>
      <c r="AK23" s="29" t="s">
        <v>157</v>
      </c>
      <c r="AL23" s="29" t="s">
        <v>157</v>
      </c>
      <c r="AM23" s="29" t="s">
        <v>157</v>
      </c>
      <c r="AN23" s="29">
        <v>3.1547999999999998</v>
      </c>
      <c r="AO23" s="29" t="s">
        <v>158</v>
      </c>
      <c r="AP23" s="29" t="s">
        <v>157</v>
      </c>
      <c r="AQ23" s="29" t="s">
        <v>157</v>
      </c>
      <c r="AR23" s="29" t="s">
        <v>157</v>
      </c>
      <c r="AS23" s="29" t="s">
        <v>157</v>
      </c>
      <c r="AT23" s="29" t="s">
        <v>157</v>
      </c>
      <c r="AU23" s="29" t="s">
        <v>158</v>
      </c>
      <c r="AV23" s="29" t="s">
        <v>158</v>
      </c>
      <c r="AW23" s="29" t="s">
        <v>157</v>
      </c>
      <c r="AX23" s="29" t="s">
        <v>157</v>
      </c>
      <c r="AY23" s="29" t="s">
        <v>158</v>
      </c>
      <c r="AZ23" s="29" t="s">
        <v>158</v>
      </c>
      <c r="BA23" s="29" t="s">
        <v>158</v>
      </c>
      <c r="BB23" s="29" t="s">
        <v>157</v>
      </c>
      <c r="BC23" s="29" t="s">
        <v>157</v>
      </c>
      <c r="BD23" s="29">
        <v>3.1415999999999999</v>
      </c>
      <c r="BE23" s="29" t="s">
        <v>157</v>
      </c>
      <c r="BF23" s="29" t="s">
        <v>157</v>
      </c>
      <c r="BG23" s="29" t="s">
        <v>157</v>
      </c>
      <c r="BH23" s="29" t="s">
        <v>157</v>
      </c>
      <c r="BI23" s="29" t="s">
        <v>157</v>
      </c>
      <c r="BJ23" s="29" t="s">
        <v>157</v>
      </c>
      <c r="BK23" s="29" t="s">
        <v>157</v>
      </c>
      <c r="BL23" s="29">
        <v>5.4451999999999998</v>
      </c>
      <c r="BM23" s="29">
        <v>14.742799999999999</v>
      </c>
      <c r="BN23" s="29">
        <v>31.709600000000002</v>
      </c>
      <c r="BO23" s="29">
        <v>15.422799999999999</v>
      </c>
      <c r="BP23" s="29" t="s">
        <v>158</v>
      </c>
      <c r="BQ23" s="29" t="s">
        <v>157</v>
      </c>
      <c r="BR23" s="29" t="s">
        <v>157</v>
      </c>
      <c r="BS23" s="29" t="s">
        <v>157</v>
      </c>
      <c r="BT23" s="29" t="s">
        <v>157</v>
      </c>
      <c r="BU23" s="29" t="s">
        <v>157</v>
      </c>
      <c r="BV23" s="29">
        <v>6.2084000000000001</v>
      </c>
    </row>
    <row r="24" spans="1:74" x14ac:dyDescent="0.25">
      <c r="A24" s="21">
        <v>41452</v>
      </c>
      <c r="B24" s="14">
        <f t="shared" si="0"/>
        <v>161</v>
      </c>
      <c r="C24" s="26"/>
      <c r="D24" s="2">
        <v>1.1027809345726363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</row>
    <row r="25" spans="1:74" x14ac:dyDescent="0.25">
      <c r="A25" s="21">
        <v>41465</v>
      </c>
      <c r="B25" s="14">
        <f t="shared" si="0"/>
        <v>174</v>
      </c>
      <c r="C25" s="30" t="s">
        <v>160</v>
      </c>
      <c r="D25" s="2">
        <v>1.1027809345726363</v>
      </c>
      <c r="E25" s="29">
        <v>40.280799999999999</v>
      </c>
      <c r="F25" s="29">
        <v>19.7028</v>
      </c>
      <c r="G25" s="29">
        <v>118.471</v>
      </c>
      <c r="H25" s="29">
        <v>78.289000000000001</v>
      </c>
      <c r="I25" s="29">
        <v>122.33759999999999</v>
      </c>
      <c r="J25" s="29">
        <v>9.6549999999999994</v>
      </c>
      <c r="K25" s="29">
        <v>3.5535999999999999</v>
      </c>
      <c r="L25" s="29" t="s">
        <v>158</v>
      </c>
      <c r="M25" s="29" t="s">
        <v>158</v>
      </c>
      <c r="N25" s="29" t="s">
        <v>158</v>
      </c>
      <c r="O25" s="29" t="s">
        <v>158</v>
      </c>
      <c r="P25" s="29" t="s">
        <v>157</v>
      </c>
      <c r="Q25" s="29" t="s">
        <v>158</v>
      </c>
      <c r="R25" s="29" t="s">
        <v>157</v>
      </c>
      <c r="S25" s="29" t="s">
        <v>157</v>
      </c>
      <c r="T25" s="29" t="s">
        <v>157</v>
      </c>
      <c r="U25" s="29">
        <v>47.030999999999999</v>
      </c>
      <c r="V25" s="29" t="s">
        <v>157</v>
      </c>
      <c r="W25" s="29" t="s">
        <v>157</v>
      </c>
      <c r="X25" s="29" t="s">
        <v>157</v>
      </c>
      <c r="Y25" s="29" t="s">
        <v>158</v>
      </c>
      <c r="Z25" s="29" t="s">
        <v>157</v>
      </c>
      <c r="AA25" s="29" t="s">
        <v>157</v>
      </c>
      <c r="AB25" s="29" t="s">
        <v>157</v>
      </c>
      <c r="AC25" s="29">
        <v>294.48719999999997</v>
      </c>
      <c r="AD25" s="29">
        <v>5.7408000000000001</v>
      </c>
      <c r="AE25" s="29" t="s">
        <v>157</v>
      </c>
      <c r="AF25" s="29">
        <v>4.4383999999999997</v>
      </c>
      <c r="AG25" s="29" t="s">
        <v>157</v>
      </c>
      <c r="AH25" s="29">
        <v>7.2468000000000004</v>
      </c>
      <c r="AI25" s="29" t="s">
        <v>157</v>
      </c>
      <c r="AJ25" s="29">
        <v>17.0824</v>
      </c>
      <c r="AK25" s="29" t="s">
        <v>157</v>
      </c>
      <c r="AL25" s="29" t="s">
        <v>157</v>
      </c>
      <c r="AM25" s="29" t="s">
        <v>157</v>
      </c>
      <c r="AN25" s="29">
        <v>7.154399999999999</v>
      </c>
      <c r="AO25" s="29">
        <v>4.2767999999999997</v>
      </c>
      <c r="AP25" s="29" t="s">
        <v>157</v>
      </c>
      <c r="AQ25" s="29" t="s">
        <v>157</v>
      </c>
      <c r="AR25" s="29" t="s">
        <v>157</v>
      </c>
      <c r="AS25" s="29" t="s">
        <v>157</v>
      </c>
      <c r="AT25" s="29" t="s">
        <v>157</v>
      </c>
      <c r="AU25" s="29" t="s">
        <v>158</v>
      </c>
      <c r="AV25" s="29" t="s">
        <v>158</v>
      </c>
      <c r="AW25" s="29" t="s">
        <v>157</v>
      </c>
      <c r="AX25" s="29" t="s">
        <v>157</v>
      </c>
      <c r="AY25" s="29" t="s">
        <v>158</v>
      </c>
      <c r="AZ25" s="29" t="s">
        <v>158</v>
      </c>
      <c r="BA25" s="29" t="s">
        <v>157</v>
      </c>
      <c r="BB25" s="29" t="s">
        <v>157</v>
      </c>
      <c r="BC25" s="29" t="s">
        <v>157</v>
      </c>
      <c r="BD25" s="29">
        <v>3.7416</v>
      </c>
      <c r="BE25" s="29" t="s">
        <v>157</v>
      </c>
      <c r="BF25" s="29" t="s">
        <v>157</v>
      </c>
      <c r="BG25" s="29" t="s">
        <v>157</v>
      </c>
      <c r="BH25" s="29" t="s">
        <v>157</v>
      </c>
      <c r="BI25" s="29" t="s">
        <v>157</v>
      </c>
      <c r="BJ25" s="29" t="s">
        <v>157</v>
      </c>
      <c r="BK25" s="29" t="s">
        <v>157</v>
      </c>
      <c r="BL25" s="29">
        <v>2.8260000000000001</v>
      </c>
      <c r="BM25" s="29">
        <v>10.928599999999999</v>
      </c>
      <c r="BN25" s="29">
        <v>26.5702</v>
      </c>
      <c r="BO25" s="29">
        <v>25.626599999999996</v>
      </c>
      <c r="BP25" s="29">
        <v>2.9472</v>
      </c>
      <c r="BQ25" s="29" t="s">
        <v>157</v>
      </c>
      <c r="BR25" s="29" t="s">
        <v>157</v>
      </c>
      <c r="BS25" s="29" t="s">
        <v>157</v>
      </c>
      <c r="BT25" s="29" t="s">
        <v>157</v>
      </c>
      <c r="BU25" s="29" t="s">
        <v>157</v>
      </c>
      <c r="BV25" s="29">
        <v>10.074999999999999</v>
      </c>
    </row>
    <row r="26" spans="1:74" x14ac:dyDescent="0.25">
      <c r="A26" s="21">
        <v>41479</v>
      </c>
      <c r="B26" s="14">
        <f t="shared" si="0"/>
        <v>188</v>
      </c>
      <c r="C26" s="26"/>
      <c r="D26" s="2">
        <v>1.1027809345726363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x14ac:dyDescent="0.25">
      <c r="A27" s="21">
        <v>41493</v>
      </c>
      <c r="B27" s="14">
        <f t="shared" si="0"/>
        <v>202</v>
      </c>
      <c r="C27" s="30" t="s">
        <v>160</v>
      </c>
      <c r="D27" s="2">
        <v>1.1027809345726363</v>
      </c>
      <c r="E27" s="29" t="s">
        <v>158</v>
      </c>
      <c r="F27" s="29">
        <v>14.723199999999999</v>
      </c>
      <c r="G27" s="29">
        <v>110.14320000000001</v>
      </c>
      <c r="H27" s="29">
        <v>83.628799999999998</v>
      </c>
      <c r="I27" s="29">
        <v>125.2864</v>
      </c>
      <c r="J27" s="29">
        <v>8.4984000000000002</v>
      </c>
      <c r="K27" s="29">
        <v>2.5842000000000001</v>
      </c>
      <c r="L27" s="29" t="s">
        <v>158</v>
      </c>
      <c r="M27" s="29" t="s">
        <v>158</v>
      </c>
      <c r="N27" s="29" t="s">
        <v>158</v>
      </c>
      <c r="O27" s="29" t="s">
        <v>158</v>
      </c>
      <c r="P27" s="29" t="s">
        <v>157</v>
      </c>
      <c r="Q27" s="29" t="s">
        <v>158</v>
      </c>
      <c r="R27" s="29" t="s">
        <v>157</v>
      </c>
      <c r="S27" s="29" t="s">
        <v>157</v>
      </c>
      <c r="T27" s="29" t="s">
        <v>157</v>
      </c>
      <c r="U27" s="29">
        <v>93.916399999999996</v>
      </c>
      <c r="V27" s="29" t="s">
        <v>157</v>
      </c>
      <c r="W27" s="29" t="s">
        <v>157</v>
      </c>
      <c r="X27" s="29" t="s">
        <v>157</v>
      </c>
      <c r="Y27" s="29" t="s">
        <v>157</v>
      </c>
      <c r="Z27" s="29" t="s">
        <v>157</v>
      </c>
      <c r="AA27" s="29" t="s">
        <v>157</v>
      </c>
      <c r="AB27" s="29" t="s">
        <v>157</v>
      </c>
      <c r="AC27" s="29">
        <v>412.05359999999996</v>
      </c>
      <c r="AD27" s="29" t="s">
        <v>158</v>
      </c>
      <c r="AE27" s="29" t="s">
        <v>157</v>
      </c>
      <c r="AF27" s="29">
        <v>2.9011999999999998</v>
      </c>
      <c r="AG27" s="29" t="s">
        <v>157</v>
      </c>
      <c r="AH27" s="29">
        <v>6.2062000000000008</v>
      </c>
      <c r="AI27" s="29" t="s">
        <v>157</v>
      </c>
      <c r="AJ27" s="29">
        <v>12.8726</v>
      </c>
      <c r="AK27" s="29" t="s">
        <v>157</v>
      </c>
      <c r="AL27" s="29" t="s">
        <v>157</v>
      </c>
      <c r="AM27" s="29" t="s">
        <v>157</v>
      </c>
      <c r="AN27" s="29">
        <v>5.0335999999999999</v>
      </c>
      <c r="AO27" s="29" t="s">
        <v>158</v>
      </c>
      <c r="AP27" s="29" t="s">
        <v>157</v>
      </c>
      <c r="AQ27" s="29" t="s">
        <v>157</v>
      </c>
      <c r="AR27" s="29" t="s">
        <v>157</v>
      </c>
      <c r="AS27" s="29" t="s">
        <v>157</v>
      </c>
      <c r="AT27" s="29" t="s">
        <v>157</v>
      </c>
      <c r="AU27" s="29" t="s">
        <v>158</v>
      </c>
      <c r="AV27" s="29" t="s">
        <v>158</v>
      </c>
      <c r="AW27" s="29" t="s">
        <v>157</v>
      </c>
      <c r="AX27" s="29" t="s">
        <v>157</v>
      </c>
      <c r="AY27" s="29" t="s">
        <v>158</v>
      </c>
      <c r="AZ27" s="29" t="s">
        <v>158</v>
      </c>
      <c r="BA27" s="29" t="s">
        <v>158</v>
      </c>
      <c r="BB27" s="29" t="s">
        <v>157</v>
      </c>
      <c r="BC27" s="29" t="s">
        <v>157</v>
      </c>
      <c r="BD27" s="29">
        <v>6.0902000000000003</v>
      </c>
      <c r="BE27" s="29" t="s">
        <v>157</v>
      </c>
      <c r="BF27" s="29" t="s">
        <v>157</v>
      </c>
      <c r="BG27" s="29" t="s">
        <v>157</v>
      </c>
      <c r="BH27" s="29" t="s">
        <v>157</v>
      </c>
      <c r="BI27" s="29" t="s">
        <v>157</v>
      </c>
      <c r="BJ27" s="29" t="s">
        <v>157</v>
      </c>
      <c r="BK27" s="29" t="s">
        <v>157</v>
      </c>
      <c r="BL27" s="29" t="s">
        <v>158</v>
      </c>
      <c r="BM27" s="29">
        <v>6.8263999999999996</v>
      </c>
      <c r="BN27" s="29">
        <v>24.595000000000002</v>
      </c>
      <c r="BO27" s="29">
        <v>23.159199999999998</v>
      </c>
      <c r="BP27" s="138">
        <v>17.704799999999999</v>
      </c>
      <c r="BQ27" s="29" t="s">
        <v>157</v>
      </c>
      <c r="BR27" s="29" t="s">
        <v>157</v>
      </c>
      <c r="BS27" s="29" t="s">
        <v>157</v>
      </c>
      <c r="BT27" s="29" t="s">
        <v>157</v>
      </c>
      <c r="BU27" s="29" t="s">
        <v>157</v>
      </c>
      <c r="BV27" s="29">
        <v>12.014799999999999</v>
      </c>
    </row>
    <row r="28" spans="1:74" x14ac:dyDescent="0.25">
      <c r="A28" s="21">
        <v>41507</v>
      </c>
      <c r="B28" s="14">
        <f t="shared" si="0"/>
        <v>216</v>
      </c>
      <c r="C28" s="26"/>
      <c r="D28" s="2">
        <v>1.1027809345726363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x14ac:dyDescent="0.25">
      <c r="A29" s="21">
        <v>41521</v>
      </c>
      <c r="B29" s="14">
        <f t="shared" si="0"/>
        <v>230</v>
      </c>
      <c r="C29" s="30" t="s">
        <v>160</v>
      </c>
      <c r="D29" s="2">
        <v>1.1027809345726363</v>
      </c>
      <c r="E29" s="29" t="s">
        <v>158</v>
      </c>
      <c r="F29" s="29">
        <v>16.6844</v>
      </c>
      <c r="G29" s="29">
        <v>105.7812</v>
      </c>
      <c r="H29" s="29">
        <v>75.681999999999988</v>
      </c>
      <c r="I29" s="29">
        <v>107.5582</v>
      </c>
      <c r="J29" s="29">
        <v>8.7975999999999992</v>
      </c>
      <c r="K29" s="29">
        <v>2.7531999999999996</v>
      </c>
      <c r="L29" s="29">
        <v>2.0531999999999999</v>
      </c>
      <c r="M29" s="29">
        <v>2.1228000000000002</v>
      </c>
      <c r="N29" s="29" t="s">
        <v>158</v>
      </c>
      <c r="O29" s="29" t="s">
        <v>158</v>
      </c>
      <c r="P29" s="29" t="s">
        <v>157</v>
      </c>
      <c r="Q29" s="29" t="s">
        <v>158</v>
      </c>
      <c r="R29" s="29" t="s">
        <v>157</v>
      </c>
      <c r="S29" s="29" t="s">
        <v>157</v>
      </c>
      <c r="T29" s="29" t="s">
        <v>157</v>
      </c>
      <c r="U29" s="29">
        <v>47.520399999999995</v>
      </c>
      <c r="V29" s="29" t="s">
        <v>157</v>
      </c>
      <c r="W29" s="29" t="s">
        <v>157</v>
      </c>
      <c r="X29" s="29" t="s">
        <v>157</v>
      </c>
      <c r="Y29" s="29">
        <v>9.194799999999999</v>
      </c>
      <c r="Z29" s="29" t="s">
        <v>157</v>
      </c>
      <c r="AA29" s="29" t="s">
        <v>157</v>
      </c>
      <c r="AB29" s="29" t="s">
        <v>157</v>
      </c>
      <c r="AC29" s="29">
        <v>382.84999999999997</v>
      </c>
      <c r="AD29" s="29">
        <v>4.7511999999999999</v>
      </c>
      <c r="AE29" s="29" t="s">
        <v>157</v>
      </c>
      <c r="AF29" s="29">
        <v>2.3820000000000001</v>
      </c>
      <c r="AG29" s="29" t="s">
        <v>157</v>
      </c>
      <c r="AH29" s="29">
        <v>4.2769999999999992</v>
      </c>
      <c r="AI29" s="29" t="s">
        <v>157</v>
      </c>
      <c r="AJ29" s="29">
        <v>9.916999999999998</v>
      </c>
      <c r="AK29" s="29" t="s">
        <v>157</v>
      </c>
      <c r="AL29" s="29" t="s">
        <v>157</v>
      </c>
      <c r="AM29" s="29" t="s">
        <v>157</v>
      </c>
      <c r="AN29" s="29">
        <v>7.000799999999999</v>
      </c>
      <c r="AO29" s="29" t="s">
        <v>158</v>
      </c>
      <c r="AP29" s="29" t="s">
        <v>157</v>
      </c>
      <c r="AQ29" s="29" t="s">
        <v>157</v>
      </c>
      <c r="AR29" s="29" t="s">
        <v>157</v>
      </c>
      <c r="AS29" s="29" t="s">
        <v>157</v>
      </c>
      <c r="AT29" s="29" t="s">
        <v>157</v>
      </c>
      <c r="AU29" s="29" t="s">
        <v>158</v>
      </c>
      <c r="AV29" s="29" t="s">
        <v>158</v>
      </c>
      <c r="AW29" s="29" t="s">
        <v>157</v>
      </c>
      <c r="AX29" s="29" t="s">
        <v>157</v>
      </c>
      <c r="AY29" s="29" t="s">
        <v>158</v>
      </c>
      <c r="AZ29" s="29" t="s">
        <v>158</v>
      </c>
      <c r="BA29" s="29" t="s">
        <v>158</v>
      </c>
      <c r="BB29" s="29" t="s">
        <v>157</v>
      </c>
      <c r="BC29" s="29" t="s">
        <v>157</v>
      </c>
      <c r="BD29" s="29">
        <v>4.0072000000000001</v>
      </c>
      <c r="BE29" s="29" t="s">
        <v>157</v>
      </c>
      <c r="BF29" s="29" t="s">
        <v>157</v>
      </c>
      <c r="BG29" s="29" t="s">
        <v>157</v>
      </c>
      <c r="BH29" s="29" t="s">
        <v>157</v>
      </c>
      <c r="BI29" s="29" t="s">
        <v>157</v>
      </c>
      <c r="BJ29" s="29" t="s">
        <v>157</v>
      </c>
      <c r="BK29" s="29" t="s">
        <v>157</v>
      </c>
      <c r="BL29" s="29">
        <v>2.1564000000000001</v>
      </c>
      <c r="BM29" s="29">
        <v>2.2216</v>
      </c>
      <c r="BN29" s="29">
        <v>10.161199999999999</v>
      </c>
      <c r="BO29" s="29">
        <v>17.7318</v>
      </c>
      <c r="BP29" s="138">
        <v>8.7295999999999996</v>
      </c>
      <c r="BQ29" s="29" t="s">
        <v>157</v>
      </c>
      <c r="BR29" s="29" t="s">
        <v>157</v>
      </c>
      <c r="BS29" s="29" t="s">
        <v>157</v>
      </c>
      <c r="BT29" s="29" t="s">
        <v>157</v>
      </c>
      <c r="BU29" s="29" t="s">
        <v>157</v>
      </c>
      <c r="BV29" s="29">
        <v>11.5052</v>
      </c>
    </row>
    <row r="30" spans="1:74" x14ac:dyDescent="0.25">
      <c r="A30" s="21">
        <v>41535</v>
      </c>
      <c r="B30" s="14">
        <f t="shared" si="0"/>
        <v>244</v>
      </c>
      <c r="C30" s="26"/>
      <c r="D30" s="2">
        <v>1.1027809345726363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</row>
    <row r="31" spans="1:74" x14ac:dyDescent="0.25">
      <c r="A31" s="21">
        <v>41551</v>
      </c>
      <c r="B31" s="14">
        <f t="shared" si="0"/>
        <v>260</v>
      </c>
      <c r="C31" s="30">
        <v>41815</v>
      </c>
      <c r="D31" s="2">
        <v>1.1027809345726363</v>
      </c>
      <c r="E31" s="29" t="s">
        <v>158</v>
      </c>
      <c r="F31" s="29" t="s">
        <v>158</v>
      </c>
      <c r="G31" s="29">
        <v>106.7256</v>
      </c>
      <c r="H31" s="29">
        <v>69.776399999999995</v>
      </c>
      <c r="I31" s="29">
        <v>88.10199999999999</v>
      </c>
      <c r="J31" s="29">
        <v>11.558</v>
      </c>
      <c r="K31" s="29" t="s">
        <v>158</v>
      </c>
      <c r="L31" s="29" t="s">
        <v>158</v>
      </c>
      <c r="M31" s="29" t="s">
        <v>158</v>
      </c>
      <c r="N31" s="29" t="s">
        <v>158</v>
      </c>
      <c r="O31" s="29" t="s">
        <v>157</v>
      </c>
      <c r="P31" s="29" t="s">
        <v>157</v>
      </c>
      <c r="Q31" s="29" t="s">
        <v>158</v>
      </c>
      <c r="R31" s="29" t="s">
        <v>157</v>
      </c>
      <c r="S31" s="29" t="s">
        <v>157</v>
      </c>
      <c r="T31" s="29" t="s">
        <v>157</v>
      </c>
      <c r="U31" s="29">
        <v>63.163599999999995</v>
      </c>
      <c r="V31" s="29" t="s">
        <v>157</v>
      </c>
      <c r="W31" s="29" t="s">
        <v>157</v>
      </c>
      <c r="X31" s="29" t="s">
        <v>157</v>
      </c>
      <c r="Y31" s="29" t="s">
        <v>158</v>
      </c>
      <c r="Z31" s="29" t="s">
        <v>157</v>
      </c>
      <c r="AA31" s="29" t="s">
        <v>157</v>
      </c>
      <c r="AB31" s="29" t="s">
        <v>157</v>
      </c>
      <c r="AC31" s="29">
        <v>400.10719999999998</v>
      </c>
      <c r="AD31" s="29">
        <v>9.3643999999999998</v>
      </c>
      <c r="AE31" s="29" t="s">
        <v>157</v>
      </c>
      <c r="AF31" s="29">
        <v>2.6648000000000001</v>
      </c>
      <c r="AG31" s="29" t="s">
        <v>157</v>
      </c>
      <c r="AH31" s="29">
        <v>4.8340000000000005</v>
      </c>
      <c r="AI31" s="29" t="s">
        <v>157</v>
      </c>
      <c r="AJ31" s="29">
        <v>11.4444</v>
      </c>
      <c r="AK31" s="29" t="s">
        <v>157</v>
      </c>
      <c r="AL31" s="29" t="s">
        <v>157</v>
      </c>
      <c r="AM31" s="29" t="s">
        <v>157</v>
      </c>
      <c r="AN31" s="29">
        <v>6.1380000000000008</v>
      </c>
      <c r="AO31" s="29" t="s">
        <v>158</v>
      </c>
      <c r="AP31" s="29" t="s">
        <v>157</v>
      </c>
      <c r="AQ31" s="29" t="s">
        <v>157</v>
      </c>
      <c r="AR31" s="29" t="s">
        <v>157</v>
      </c>
      <c r="AS31" s="29" t="s">
        <v>157</v>
      </c>
      <c r="AT31" s="29" t="s">
        <v>157</v>
      </c>
      <c r="AU31" s="29" t="s">
        <v>158</v>
      </c>
      <c r="AV31" s="29" t="s">
        <v>157</v>
      </c>
      <c r="AW31" s="29" t="s">
        <v>157</v>
      </c>
      <c r="AX31" s="29" t="s">
        <v>157</v>
      </c>
      <c r="AY31" s="29" t="s">
        <v>158</v>
      </c>
      <c r="AZ31" s="29" t="s">
        <v>157</v>
      </c>
      <c r="BA31" s="29" t="s">
        <v>157</v>
      </c>
      <c r="BB31" s="29" t="s">
        <v>157</v>
      </c>
      <c r="BC31" s="29" t="s">
        <v>157</v>
      </c>
      <c r="BD31" s="29">
        <v>5.3364000000000003</v>
      </c>
      <c r="BE31" s="29" t="s">
        <v>157</v>
      </c>
      <c r="BF31" s="29" t="s">
        <v>157</v>
      </c>
      <c r="BG31" s="29" t="s">
        <v>157</v>
      </c>
      <c r="BH31" s="29" t="s">
        <v>157</v>
      </c>
      <c r="BI31" s="29" t="s">
        <v>157</v>
      </c>
      <c r="BJ31" s="29" t="s">
        <v>157</v>
      </c>
      <c r="BK31" s="29" t="s">
        <v>157</v>
      </c>
      <c r="BL31" s="29">
        <v>2.4319999999999999</v>
      </c>
      <c r="BM31" s="29">
        <v>2.4196</v>
      </c>
      <c r="BN31" s="29">
        <v>22.782399999999999</v>
      </c>
      <c r="BO31" s="138">
        <v>42.577599999999997</v>
      </c>
      <c r="BP31" s="138">
        <v>13.6464</v>
      </c>
      <c r="BQ31" s="29" t="s">
        <v>157</v>
      </c>
      <c r="BR31" s="29" t="s">
        <v>157</v>
      </c>
      <c r="BS31" s="29" t="s">
        <v>157</v>
      </c>
      <c r="BT31" s="29" t="s">
        <v>157</v>
      </c>
      <c r="BU31" s="29" t="s">
        <v>157</v>
      </c>
      <c r="BV31" s="138">
        <v>19.269600000000001</v>
      </c>
    </row>
    <row r="32" spans="1:74" x14ac:dyDescent="0.25">
      <c r="A32" s="127">
        <v>41564</v>
      </c>
      <c r="B32" s="14">
        <f t="shared" si="0"/>
        <v>273</v>
      </c>
      <c r="C32" s="130" t="s">
        <v>160</v>
      </c>
      <c r="D32" s="2">
        <v>1.103</v>
      </c>
      <c r="E32" s="129" t="s">
        <v>158</v>
      </c>
      <c r="F32" s="129">
        <v>20.2136</v>
      </c>
      <c r="G32" s="129">
        <v>111.1866</v>
      </c>
      <c r="H32" s="129">
        <v>75.876000000000005</v>
      </c>
      <c r="I32" s="129">
        <v>112.25239999999999</v>
      </c>
      <c r="J32" s="129">
        <v>8.8949999999999996</v>
      </c>
      <c r="K32" s="129" t="s">
        <v>158</v>
      </c>
      <c r="L32" s="129" t="s">
        <v>158</v>
      </c>
      <c r="M32" s="129" t="s">
        <v>158</v>
      </c>
      <c r="N32" s="129" t="s">
        <v>158</v>
      </c>
      <c r="O32" s="129" t="s">
        <v>158</v>
      </c>
      <c r="P32" s="129" t="s">
        <v>157</v>
      </c>
      <c r="Q32" s="129" t="s">
        <v>158</v>
      </c>
      <c r="R32" s="129" t="s">
        <v>157</v>
      </c>
      <c r="S32" s="129" t="s">
        <v>157</v>
      </c>
      <c r="T32" s="129" t="s">
        <v>157</v>
      </c>
      <c r="U32" s="129">
        <v>30.756399999999999</v>
      </c>
      <c r="V32" s="129" t="s">
        <v>157</v>
      </c>
      <c r="W32" s="129" t="s">
        <v>157</v>
      </c>
      <c r="X32" s="129" t="s">
        <v>157</v>
      </c>
      <c r="Y32" s="129">
        <v>6.6243999999999996</v>
      </c>
      <c r="Z32" s="129" t="s">
        <v>157</v>
      </c>
      <c r="AA32" s="129" t="s">
        <v>157</v>
      </c>
      <c r="AB32" s="129" t="s">
        <v>157</v>
      </c>
      <c r="AC32" s="129">
        <v>454.40499999999997</v>
      </c>
      <c r="AD32" s="129">
        <v>28.7746</v>
      </c>
      <c r="AE32" s="129" t="s">
        <v>157</v>
      </c>
      <c r="AF32" s="129">
        <v>2.8643999999999998</v>
      </c>
      <c r="AG32" s="129" t="s">
        <v>157</v>
      </c>
      <c r="AH32" s="129">
        <v>5.0540000000000003</v>
      </c>
      <c r="AI32" s="129" t="s">
        <v>157</v>
      </c>
      <c r="AJ32" s="129">
        <v>7.17</v>
      </c>
      <c r="AK32" s="129" t="s">
        <v>157</v>
      </c>
      <c r="AL32" s="129" t="s">
        <v>157</v>
      </c>
      <c r="AM32" s="129" t="s">
        <v>157</v>
      </c>
      <c r="AN32" s="129">
        <v>6.8159999999999989</v>
      </c>
      <c r="AO32" s="129" t="s">
        <v>158</v>
      </c>
      <c r="AP32" s="129" t="s">
        <v>157</v>
      </c>
      <c r="AQ32" s="129" t="s">
        <v>157</v>
      </c>
      <c r="AR32" s="129" t="s">
        <v>157</v>
      </c>
      <c r="AS32" s="129" t="s">
        <v>157</v>
      </c>
      <c r="AT32" s="129" t="s">
        <v>157</v>
      </c>
      <c r="AU32" s="129" t="s">
        <v>158</v>
      </c>
      <c r="AV32" s="129" t="s">
        <v>158</v>
      </c>
      <c r="AW32" s="129" t="s">
        <v>157</v>
      </c>
      <c r="AX32" s="129" t="s">
        <v>158</v>
      </c>
      <c r="AY32" s="129" t="s">
        <v>157</v>
      </c>
      <c r="AZ32" s="129" t="s">
        <v>158</v>
      </c>
      <c r="BA32" s="129" t="s">
        <v>157</v>
      </c>
      <c r="BB32" s="129" t="s">
        <v>157</v>
      </c>
      <c r="BC32" s="129" t="s">
        <v>157</v>
      </c>
      <c r="BD32" s="129">
        <v>3.0731999999999999</v>
      </c>
      <c r="BE32" s="129" t="s">
        <v>157</v>
      </c>
      <c r="BF32" s="129" t="s">
        <v>157</v>
      </c>
      <c r="BG32" s="129" t="s">
        <v>157</v>
      </c>
      <c r="BH32" s="129" t="s">
        <v>157</v>
      </c>
      <c r="BI32" s="129" t="s">
        <v>157</v>
      </c>
      <c r="BJ32" s="129" t="s">
        <v>157</v>
      </c>
      <c r="BK32" s="129" t="s">
        <v>157</v>
      </c>
      <c r="BL32" s="129" t="s">
        <v>158</v>
      </c>
      <c r="BM32" s="129" t="s">
        <v>158</v>
      </c>
      <c r="BN32" s="129">
        <v>14.938000000000001</v>
      </c>
      <c r="BO32" s="139">
        <v>17.116799999999998</v>
      </c>
      <c r="BP32" s="139">
        <v>11.61</v>
      </c>
      <c r="BQ32" s="129" t="s">
        <v>157</v>
      </c>
      <c r="BR32" s="129" t="s">
        <v>157</v>
      </c>
      <c r="BS32" s="129" t="s">
        <v>157</v>
      </c>
      <c r="BT32" s="129" t="s">
        <v>157</v>
      </c>
      <c r="BU32" s="129" t="s">
        <v>157</v>
      </c>
      <c r="BV32" s="139">
        <v>17.9132</v>
      </c>
    </row>
    <row r="33" spans="1:75" s="162" customFormat="1" x14ac:dyDescent="0.25">
      <c r="A33" s="127"/>
      <c r="B33" s="205"/>
      <c r="C33" s="130"/>
      <c r="D33" s="130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129"/>
      <c r="BC33" s="129"/>
      <c r="BD33" s="129"/>
      <c r="BE33" s="129"/>
      <c r="BF33" s="129"/>
      <c r="BG33" s="129"/>
      <c r="BH33" s="129"/>
      <c r="BI33" s="129"/>
      <c r="BJ33" s="129"/>
      <c r="BK33" s="129"/>
      <c r="BL33" s="129"/>
      <c r="BM33" s="129"/>
      <c r="BN33" s="129"/>
      <c r="BO33" s="139"/>
      <c r="BP33" s="139"/>
      <c r="BQ33" s="129"/>
      <c r="BR33" s="129"/>
      <c r="BS33" s="129"/>
      <c r="BT33" s="129"/>
      <c r="BU33" s="129"/>
      <c r="BV33" s="139"/>
    </row>
    <row r="34" spans="1:75" s="162" customFormat="1" x14ac:dyDescent="0.25">
      <c r="A34" s="127"/>
      <c r="B34" s="205"/>
      <c r="C34" s="130" t="s">
        <v>240</v>
      </c>
      <c r="D34" s="130"/>
      <c r="E34" s="129">
        <f>COUNTIF(E9:E32,"ND")</f>
        <v>0</v>
      </c>
      <c r="F34" s="129">
        <f t="shared" ref="F34:BQ34" si="1">COUNTIF(F9:F32,"ND")</f>
        <v>0</v>
      </c>
      <c r="G34" s="129">
        <f t="shared" si="1"/>
        <v>0</v>
      </c>
      <c r="H34" s="129">
        <f t="shared" si="1"/>
        <v>0</v>
      </c>
      <c r="I34" s="129">
        <f t="shared" si="1"/>
        <v>0</v>
      </c>
      <c r="J34" s="129">
        <f t="shared" si="1"/>
        <v>0</v>
      </c>
      <c r="K34" s="129">
        <f t="shared" si="1"/>
        <v>3</v>
      </c>
      <c r="L34" s="129">
        <f t="shared" si="1"/>
        <v>4</v>
      </c>
      <c r="M34" s="129">
        <f t="shared" si="1"/>
        <v>3</v>
      </c>
      <c r="N34" s="129">
        <f t="shared" si="1"/>
        <v>6</v>
      </c>
      <c r="O34" s="129">
        <f t="shared" si="1"/>
        <v>8</v>
      </c>
      <c r="P34" s="129">
        <f t="shared" si="1"/>
        <v>14</v>
      </c>
      <c r="Q34" s="129">
        <f t="shared" si="1"/>
        <v>7</v>
      </c>
      <c r="R34" s="129">
        <f t="shared" si="1"/>
        <v>14</v>
      </c>
      <c r="S34" s="129">
        <f t="shared" si="1"/>
        <v>14</v>
      </c>
      <c r="T34" s="129">
        <f t="shared" si="1"/>
        <v>14</v>
      </c>
      <c r="U34" s="129">
        <f t="shared" si="1"/>
        <v>3</v>
      </c>
      <c r="V34" s="129">
        <f t="shared" si="1"/>
        <v>14</v>
      </c>
      <c r="W34" s="129">
        <f t="shared" si="1"/>
        <v>14</v>
      </c>
      <c r="X34" s="129">
        <f t="shared" si="1"/>
        <v>14</v>
      </c>
      <c r="Y34" s="129">
        <f t="shared" si="1"/>
        <v>9</v>
      </c>
      <c r="Z34" s="129">
        <f t="shared" si="1"/>
        <v>13</v>
      </c>
      <c r="AA34" s="129">
        <f t="shared" si="1"/>
        <v>14</v>
      </c>
      <c r="AB34" s="129">
        <f t="shared" si="1"/>
        <v>14</v>
      </c>
      <c r="AC34" s="129">
        <f t="shared" si="1"/>
        <v>0</v>
      </c>
      <c r="AD34" s="129">
        <f t="shared" si="1"/>
        <v>6</v>
      </c>
      <c r="AE34" s="129">
        <f t="shared" si="1"/>
        <v>14</v>
      </c>
      <c r="AF34" s="129">
        <f t="shared" si="1"/>
        <v>0</v>
      </c>
      <c r="AG34" s="129">
        <f t="shared" si="1"/>
        <v>14</v>
      </c>
      <c r="AH34" s="129">
        <f t="shared" si="1"/>
        <v>0</v>
      </c>
      <c r="AI34" s="129">
        <f t="shared" si="1"/>
        <v>14</v>
      </c>
      <c r="AJ34" s="129">
        <f t="shared" si="1"/>
        <v>0</v>
      </c>
      <c r="AK34" s="129">
        <f t="shared" si="1"/>
        <v>14</v>
      </c>
      <c r="AL34" s="129">
        <f t="shared" si="1"/>
        <v>14</v>
      </c>
      <c r="AM34" s="129">
        <f t="shared" si="1"/>
        <v>14</v>
      </c>
      <c r="AN34" s="129">
        <f t="shared" si="1"/>
        <v>0</v>
      </c>
      <c r="AO34" s="129">
        <f t="shared" si="1"/>
        <v>3</v>
      </c>
      <c r="AP34" s="129">
        <f t="shared" si="1"/>
        <v>14</v>
      </c>
      <c r="AQ34" s="129">
        <f t="shared" si="1"/>
        <v>14</v>
      </c>
      <c r="AR34" s="129">
        <f t="shared" si="1"/>
        <v>14</v>
      </c>
      <c r="AS34" s="129">
        <f t="shared" si="1"/>
        <v>14</v>
      </c>
      <c r="AT34" s="129">
        <f t="shared" si="1"/>
        <v>14</v>
      </c>
      <c r="AU34" s="129">
        <f t="shared" si="1"/>
        <v>0</v>
      </c>
      <c r="AV34" s="129">
        <f t="shared" si="1"/>
        <v>3</v>
      </c>
      <c r="AW34" s="129">
        <f t="shared" si="1"/>
        <v>14</v>
      </c>
      <c r="AX34" s="129">
        <f t="shared" si="1"/>
        <v>13</v>
      </c>
      <c r="AY34" s="129">
        <f t="shared" si="1"/>
        <v>5</v>
      </c>
      <c r="AZ34" s="129">
        <f t="shared" si="1"/>
        <v>7</v>
      </c>
      <c r="BA34" s="129">
        <f t="shared" si="1"/>
        <v>10</v>
      </c>
      <c r="BB34" s="129">
        <f t="shared" si="1"/>
        <v>13</v>
      </c>
      <c r="BC34" s="129">
        <f t="shared" si="1"/>
        <v>14</v>
      </c>
      <c r="BD34" s="129">
        <f t="shared" si="1"/>
        <v>4</v>
      </c>
      <c r="BE34" s="129">
        <f t="shared" si="1"/>
        <v>14</v>
      </c>
      <c r="BF34" s="129">
        <f t="shared" si="1"/>
        <v>14</v>
      </c>
      <c r="BG34" s="129">
        <f t="shared" si="1"/>
        <v>14</v>
      </c>
      <c r="BH34" s="129">
        <f t="shared" si="1"/>
        <v>14</v>
      </c>
      <c r="BI34" s="129">
        <f t="shared" si="1"/>
        <v>14</v>
      </c>
      <c r="BJ34" s="129">
        <f t="shared" si="1"/>
        <v>14</v>
      </c>
      <c r="BK34" s="129">
        <f t="shared" si="1"/>
        <v>14</v>
      </c>
      <c r="BL34" s="129">
        <f t="shared" si="1"/>
        <v>0</v>
      </c>
      <c r="BM34" s="129">
        <f t="shared" si="1"/>
        <v>0</v>
      </c>
      <c r="BN34" s="129">
        <f t="shared" si="1"/>
        <v>0</v>
      </c>
      <c r="BO34" s="129">
        <f t="shared" si="1"/>
        <v>1</v>
      </c>
      <c r="BP34" s="129">
        <f t="shared" si="1"/>
        <v>5</v>
      </c>
      <c r="BQ34" s="129">
        <f t="shared" si="1"/>
        <v>14</v>
      </c>
      <c r="BR34" s="129">
        <f t="shared" ref="BR34:BV34" si="2">COUNTIF(BR9:BR32,"ND")</f>
        <v>14</v>
      </c>
      <c r="BS34" s="129">
        <f t="shared" si="2"/>
        <v>14</v>
      </c>
      <c r="BT34" s="129">
        <f t="shared" si="2"/>
        <v>14</v>
      </c>
      <c r="BU34" s="129">
        <f t="shared" si="2"/>
        <v>14</v>
      </c>
      <c r="BV34" s="129">
        <f t="shared" si="2"/>
        <v>2</v>
      </c>
    </row>
    <row r="35" spans="1:75" s="162" customFormat="1" x14ac:dyDescent="0.25">
      <c r="A35" s="127"/>
      <c r="B35" s="205"/>
      <c r="C35" s="130" t="s">
        <v>241</v>
      </c>
      <c r="D35" s="130"/>
      <c r="E35" s="129">
        <f>COUNTIF(E9:E32,"&lt;LOQ")</f>
        <v>10</v>
      </c>
      <c r="F35" s="129">
        <f t="shared" ref="F35:BQ35" si="3">COUNTIF(F9:F32,"&lt;LOQ")</f>
        <v>5</v>
      </c>
      <c r="G35" s="129">
        <f t="shared" si="3"/>
        <v>0</v>
      </c>
      <c r="H35" s="129">
        <f t="shared" si="3"/>
        <v>0</v>
      </c>
      <c r="I35" s="129">
        <f t="shared" si="3"/>
        <v>0</v>
      </c>
      <c r="J35" s="129">
        <f t="shared" si="3"/>
        <v>4</v>
      </c>
      <c r="K35" s="129">
        <f t="shared" si="3"/>
        <v>3</v>
      </c>
      <c r="L35" s="129">
        <f t="shared" si="3"/>
        <v>5</v>
      </c>
      <c r="M35" s="129">
        <f t="shared" si="3"/>
        <v>8</v>
      </c>
      <c r="N35" s="129">
        <f t="shared" si="3"/>
        <v>8</v>
      </c>
      <c r="O35" s="129">
        <f t="shared" si="3"/>
        <v>6</v>
      </c>
      <c r="P35" s="129">
        <f t="shared" si="3"/>
        <v>0</v>
      </c>
      <c r="Q35" s="129">
        <f t="shared" si="3"/>
        <v>6</v>
      </c>
      <c r="R35" s="129">
        <f t="shared" si="3"/>
        <v>0</v>
      </c>
      <c r="S35" s="129">
        <f t="shared" si="3"/>
        <v>0</v>
      </c>
      <c r="T35" s="129">
        <f t="shared" si="3"/>
        <v>0</v>
      </c>
      <c r="U35" s="129">
        <f t="shared" si="3"/>
        <v>5</v>
      </c>
      <c r="V35" s="129">
        <f t="shared" si="3"/>
        <v>0</v>
      </c>
      <c r="W35" s="129">
        <f t="shared" si="3"/>
        <v>0</v>
      </c>
      <c r="X35" s="129">
        <f t="shared" si="3"/>
        <v>0</v>
      </c>
      <c r="Y35" s="129">
        <f t="shared" si="3"/>
        <v>2</v>
      </c>
      <c r="Z35" s="129">
        <f t="shared" si="3"/>
        <v>1</v>
      </c>
      <c r="AA35" s="129">
        <f t="shared" si="3"/>
        <v>0</v>
      </c>
      <c r="AB35" s="129">
        <f t="shared" si="3"/>
        <v>0</v>
      </c>
      <c r="AC35" s="129">
        <f t="shared" si="3"/>
        <v>0</v>
      </c>
      <c r="AD35" s="129">
        <f t="shared" si="3"/>
        <v>3</v>
      </c>
      <c r="AE35" s="129">
        <f t="shared" si="3"/>
        <v>0</v>
      </c>
      <c r="AF35" s="129">
        <f t="shared" si="3"/>
        <v>3</v>
      </c>
      <c r="AG35" s="129">
        <f t="shared" si="3"/>
        <v>0</v>
      </c>
      <c r="AH35" s="129">
        <f t="shared" si="3"/>
        <v>2</v>
      </c>
      <c r="AI35" s="129">
        <f t="shared" si="3"/>
        <v>0</v>
      </c>
      <c r="AJ35" s="129">
        <f t="shared" si="3"/>
        <v>0</v>
      </c>
      <c r="AK35" s="129">
        <f t="shared" si="3"/>
        <v>0</v>
      </c>
      <c r="AL35" s="129">
        <f t="shared" si="3"/>
        <v>0</v>
      </c>
      <c r="AM35" s="129">
        <f t="shared" si="3"/>
        <v>0</v>
      </c>
      <c r="AN35" s="129">
        <f t="shared" si="3"/>
        <v>3</v>
      </c>
      <c r="AO35" s="129">
        <f t="shared" si="3"/>
        <v>10</v>
      </c>
      <c r="AP35" s="129">
        <f t="shared" si="3"/>
        <v>0</v>
      </c>
      <c r="AQ35" s="129">
        <f t="shared" si="3"/>
        <v>0</v>
      </c>
      <c r="AR35" s="129">
        <f t="shared" si="3"/>
        <v>0</v>
      </c>
      <c r="AS35" s="129">
        <f t="shared" si="3"/>
        <v>0</v>
      </c>
      <c r="AT35" s="129">
        <f t="shared" si="3"/>
        <v>0</v>
      </c>
      <c r="AU35" s="129">
        <f t="shared" si="3"/>
        <v>7</v>
      </c>
      <c r="AV35" s="129">
        <f t="shared" si="3"/>
        <v>9</v>
      </c>
      <c r="AW35" s="129">
        <f t="shared" si="3"/>
        <v>0</v>
      </c>
      <c r="AX35" s="129">
        <f t="shared" si="3"/>
        <v>1</v>
      </c>
      <c r="AY35" s="129">
        <f t="shared" si="3"/>
        <v>7</v>
      </c>
      <c r="AZ35" s="129">
        <f t="shared" si="3"/>
        <v>6</v>
      </c>
      <c r="BA35" s="129">
        <f t="shared" si="3"/>
        <v>4</v>
      </c>
      <c r="BB35" s="129">
        <f t="shared" si="3"/>
        <v>1</v>
      </c>
      <c r="BC35" s="129">
        <f t="shared" si="3"/>
        <v>0</v>
      </c>
      <c r="BD35" s="129">
        <f t="shared" si="3"/>
        <v>1</v>
      </c>
      <c r="BE35" s="129">
        <f t="shared" si="3"/>
        <v>0</v>
      </c>
      <c r="BF35" s="129">
        <f t="shared" si="3"/>
        <v>0</v>
      </c>
      <c r="BG35" s="129">
        <f t="shared" si="3"/>
        <v>0</v>
      </c>
      <c r="BH35" s="129">
        <f t="shared" si="3"/>
        <v>0</v>
      </c>
      <c r="BI35" s="129">
        <f t="shared" si="3"/>
        <v>0</v>
      </c>
      <c r="BJ35" s="129">
        <f t="shared" si="3"/>
        <v>0</v>
      </c>
      <c r="BK35" s="129">
        <f t="shared" si="3"/>
        <v>0</v>
      </c>
      <c r="BL35" s="129">
        <f t="shared" si="3"/>
        <v>2</v>
      </c>
      <c r="BM35" s="129">
        <f t="shared" si="3"/>
        <v>1</v>
      </c>
      <c r="BN35" s="129">
        <f t="shared" si="3"/>
        <v>0</v>
      </c>
      <c r="BO35" s="129">
        <f t="shared" si="3"/>
        <v>3</v>
      </c>
      <c r="BP35" s="129">
        <f t="shared" si="3"/>
        <v>1</v>
      </c>
      <c r="BQ35" s="129">
        <f t="shared" si="3"/>
        <v>0</v>
      </c>
      <c r="BR35" s="129">
        <f t="shared" ref="BR35:BV35" si="4">COUNTIF(BR9:BR32,"&lt;LOQ")</f>
        <v>0</v>
      </c>
      <c r="BS35" s="129">
        <f t="shared" si="4"/>
        <v>0</v>
      </c>
      <c r="BT35" s="129">
        <f t="shared" si="4"/>
        <v>0</v>
      </c>
      <c r="BU35" s="129">
        <f t="shared" si="4"/>
        <v>0</v>
      </c>
      <c r="BV35" s="129">
        <f t="shared" si="4"/>
        <v>3</v>
      </c>
    </row>
    <row r="36" spans="1:75" x14ac:dyDescent="0.2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  <c r="BG36" s="126"/>
      <c r="BH36" s="126"/>
      <c r="BI36" s="126"/>
      <c r="BJ36" s="126"/>
      <c r="BK36" s="126"/>
      <c r="BL36" s="126"/>
      <c r="BM36" s="126"/>
      <c r="BN36" s="126"/>
      <c r="BO36" s="126"/>
      <c r="BP36" s="126"/>
      <c r="BQ36" s="126"/>
      <c r="BR36" s="126"/>
      <c r="BS36" s="126"/>
      <c r="BT36" s="126"/>
      <c r="BU36" s="126"/>
      <c r="BV36" s="126"/>
    </row>
    <row r="37" spans="1:75" x14ac:dyDescent="0.25">
      <c r="A37" s="127">
        <v>41291</v>
      </c>
      <c r="B37" s="126" t="s">
        <v>156</v>
      </c>
      <c r="C37" s="127">
        <v>41815</v>
      </c>
      <c r="D37" s="127"/>
      <c r="E37" s="126" t="s">
        <v>157</v>
      </c>
      <c r="F37" s="126" t="s">
        <v>157</v>
      </c>
      <c r="G37" s="126" t="s">
        <v>157</v>
      </c>
      <c r="H37" s="126" t="s">
        <v>158</v>
      </c>
      <c r="I37" s="126" t="s">
        <v>158</v>
      </c>
      <c r="J37" s="126" t="s">
        <v>158</v>
      </c>
      <c r="K37" s="126" t="s">
        <v>157</v>
      </c>
      <c r="L37" s="126" t="s">
        <v>157</v>
      </c>
      <c r="M37" s="126" t="s">
        <v>157</v>
      </c>
      <c r="N37" s="126" t="s">
        <v>157</v>
      </c>
      <c r="O37" s="126" t="s">
        <v>157</v>
      </c>
      <c r="P37" s="126" t="s">
        <v>157</v>
      </c>
      <c r="Q37" s="126" t="s">
        <v>157</v>
      </c>
      <c r="R37" s="126" t="s">
        <v>157</v>
      </c>
      <c r="S37" s="126" t="s">
        <v>157</v>
      </c>
      <c r="T37" s="126" t="s">
        <v>157</v>
      </c>
      <c r="U37" s="126" t="s">
        <v>157</v>
      </c>
      <c r="V37" s="126" t="s">
        <v>157</v>
      </c>
      <c r="W37" s="126" t="s">
        <v>157</v>
      </c>
      <c r="X37" s="126" t="s">
        <v>157</v>
      </c>
      <c r="Y37" s="126" t="s">
        <v>157</v>
      </c>
      <c r="Z37" s="126" t="s">
        <v>157</v>
      </c>
      <c r="AA37" s="126" t="s">
        <v>157</v>
      </c>
      <c r="AB37" s="126" t="s">
        <v>157</v>
      </c>
      <c r="AC37" s="126" t="s">
        <v>157</v>
      </c>
      <c r="AD37" s="126" t="s">
        <v>157</v>
      </c>
      <c r="AE37" s="126" t="s">
        <v>157</v>
      </c>
      <c r="AF37" s="126" t="s">
        <v>157</v>
      </c>
      <c r="AG37" s="126" t="s">
        <v>157</v>
      </c>
      <c r="AH37" s="126" t="s">
        <v>157</v>
      </c>
      <c r="AI37" s="126" t="s">
        <v>157</v>
      </c>
      <c r="AJ37" s="126" t="s">
        <v>158</v>
      </c>
      <c r="AK37" s="126" t="s">
        <v>157</v>
      </c>
      <c r="AL37" s="126" t="s">
        <v>157</v>
      </c>
      <c r="AM37" s="126" t="s">
        <v>157</v>
      </c>
      <c r="AN37" s="126" t="s">
        <v>158</v>
      </c>
      <c r="AO37" s="126" t="s">
        <v>158</v>
      </c>
      <c r="AP37" s="126" t="s">
        <v>157</v>
      </c>
      <c r="AQ37" s="126" t="s">
        <v>157</v>
      </c>
      <c r="AR37" s="126" t="s">
        <v>157</v>
      </c>
      <c r="AS37" s="126" t="s">
        <v>157</v>
      </c>
      <c r="AT37" s="126" t="s">
        <v>157</v>
      </c>
      <c r="AU37" s="126" t="s">
        <v>157</v>
      </c>
      <c r="AV37" s="126" t="s">
        <v>157</v>
      </c>
      <c r="AW37" s="126" t="s">
        <v>157</v>
      </c>
      <c r="AX37" s="126" t="s">
        <v>157</v>
      </c>
      <c r="AY37" s="126" t="s">
        <v>158</v>
      </c>
      <c r="AZ37" s="126" t="s">
        <v>157</v>
      </c>
      <c r="BA37" s="126" t="s">
        <v>157</v>
      </c>
      <c r="BB37" s="126" t="s">
        <v>157</v>
      </c>
      <c r="BC37" s="126" t="s">
        <v>157</v>
      </c>
      <c r="BD37" s="126" t="s">
        <v>157</v>
      </c>
      <c r="BE37" s="126" t="s">
        <v>157</v>
      </c>
      <c r="BF37" s="126" t="s">
        <v>157</v>
      </c>
      <c r="BG37" s="126" t="s">
        <v>157</v>
      </c>
      <c r="BH37" s="126" t="s">
        <v>157</v>
      </c>
      <c r="BI37" s="126" t="s">
        <v>157</v>
      </c>
      <c r="BJ37" s="126" t="s">
        <v>157</v>
      </c>
      <c r="BK37" s="126" t="s">
        <v>157</v>
      </c>
      <c r="BL37" s="126" t="s">
        <v>158</v>
      </c>
      <c r="BM37" s="126" t="s">
        <v>157</v>
      </c>
      <c r="BN37" s="126" t="s">
        <v>158</v>
      </c>
      <c r="BO37" s="126" t="s">
        <v>157</v>
      </c>
      <c r="BP37" s="126" t="s">
        <v>157</v>
      </c>
      <c r="BQ37" s="126" t="s">
        <v>157</v>
      </c>
      <c r="BR37" s="126" t="s">
        <v>157</v>
      </c>
      <c r="BS37" s="126" t="s">
        <v>157</v>
      </c>
      <c r="BT37" s="126" t="s">
        <v>157</v>
      </c>
      <c r="BU37" s="126" t="s">
        <v>157</v>
      </c>
      <c r="BV37" s="126" t="s">
        <v>157</v>
      </c>
    </row>
    <row r="41" spans="1:75" s="22" customFormat="1" x14ac:dyDescent="0.25">
      <c r="A41" s="22" t="s">
        <v>159</v>
      </c>
      <c r="D41" s="49"/>
    </row>
    <row r="44" spans="1:75" x14ac:dyDescent="0.25">
      <c r="B44" s="33" t="s">
        <v>163</v>
      </c>
      <c r="C44" s="34">
        <v>41450</v>
      </c>
      <c r="D44" s="161"/>
      <c r="E44" s="31" t="s">
        <v>157</v>
      </c>
      <c r="F44" s="31" t="s">
        <v>157</v>
      </c>
      <c r="G44" s="31" t="s">
        <v>157</v>
      </c>
      <c r="H44" s="31" t="s">
        <v>157</v>
      </c>
      <c r="I44" s="31" t="s">
        <v>157</v>
      </c>
      <c r="J44" s="31" t="s">
        <v>157</v>
      </c>
      <c r="K44" s="31" t="s">
        <v>157</v>
      </c>
      <c r="L44" s="31" t="s">
        <v>157</v>
      </c>
      <c r="M44" s="31" t="s">
        <v>157</v>
      </c>
      <c r="N44" s="31" t="s">
        <v>157</v>
      </c>
      <c r="O44" s="31" t="s">
        <v>157</v>
      </c>
      <c r="P44" s="31" t="s">
        <v>157</v>
      </c>
      <c r="Q44" s="31" t="s">
        <v>157</v>
      </c>
      <c r="R44" s="31" t="s">
        <v>157</v>
      </c>
      <c r="S44" s="31" t="s">
        <v>157</v>
      </c>
      <c r="T44" s="31" t="s">
        <v>157</v>
      </c>
      <c r="U44" s="31" t="s">
        <v>157</v>
      </c>
      <c r="V44" s="31" t="s">
        <v>157</v>
      </c>
      <c r="W44" s="31" t="s">
        <v>157</v>
      </c>
      <c r="X44" s="31" t="s">
        <v>157</v>
      </c>
      <c r="Y44" s="31" t="s">
        <v>157</v>
      </c>
      <c r="Z44" s="31" t="s">
        <v>157</v>
      </c>
      <c r="AA44" s="31" t="s">
        <v>157</v>
      </c>
      <c r="AB44" s="31" t="s">
        <v>157</v>
      </c>
      <c r="AC44" s="31" t="s">
        <v>157</v>
      </c>
      <c r="AD44" s="31" t="s">
        <v>157</v>
      </c>
      <c r="AE44" s="31" t="s">
        <v>157</v>
      </c>
      <c r="AF44" s="31" t="s">
        <v>157</v>
      </c>
      <c r="AG44" s="31" t="s">
        <v>157</v>
      </c>
      <c r="AH44" s="31" t="s">
        <v>157</v>
      </c>
      <c r="AI44" s="31" t="s">
        <v>157</v>
      </c>
      <c r="AJ44" s="31" t="s">
        <v>157</v>
      </c>
      <c r="AK44" s="31" t="s">
        <v>157</v>
      </c>
      <c r="AL44" s="31" t="s">
        <v>157</v>
      </c>
      <c r="AM44" s="32" t="s">
        <v>157</v>
      </c>
      <c r="AN44" s="32" t="s">
        <v>157</v>
      </c>
      <c r="AO44" s="32" t="s">
        <v>157</v>
      </c>
      <c r="AP44" s="32" t="s">
        <v>157</v>
      </c>
      <c r="AQ44" s="32" t="s">
        <v>157</v>
      </c>
      <c r="AR44" s="32" t="s">
        <v>157</v>
      </c>
      <c r="AS44" s="32" t="s">
        <v>157</v>
      </c>
      <c r="AT44" s="32" t="s">
        <v>157</v>
      </c>
      <c r="AU44" s="32" t="s">
        <v>157</v>
      </c>
      <c r="AV44" s="32" t="s">
        <v>157</v>
      </c>
      <c r="AW44" s="32" t="s">
        <v>157</v>
      </c>
      <c r="AX44" s="32" t="s">
        <v>157</v>
      </c>
      <c r="AY44" s="32" t="s">
        <v>157</v>
      </c>
      <c r="AZ44" s="32" t="s">
        <v>157</v>
      </c>
      <c r="BA44" s="32" t="s">
        <v>157</v>
      </c>
      <c r="BB44" s="32" t="s">
        <v>157</v>
      </c>
      <c r="BC44" s="32" t="s">
        <v>157</v>
      </c>
      <c r="BD44" s="32" t="s">
        <v>157</v>
      </c>
      <c r="BE44" s="32" t="s">
        <v>157</v>
      </c>
      <c r="BF44" s="32" t="s">
        <v>157</v>
      </c>
      <c r="BG44" s="32" t="s">
        <v>157</v>
      </c>
      <c r="BH44" s="32" t="s">
        <v>157</v>
      </c>
      <c r="BI44" s="31" t="s">
        <v>157</v>
      </c>
      <c r="BJ44" s="31" t="s">
        <v>157</v>
      </c>
      <c r="BK44" s="31" t="s">
        <v>157</v>
      </c>
      <c r="BL44" s="31" t="s">
        <v>157</v>
      </c>
      <c r="BM44" s="31" t="s">
        <v>157</v>
      </c>
      <c r="BN44" s="31" t="s">
        <v>157</v>
      </c>
      <c r="BO44" s="31" t="s">
        <v>157</v>
      </c>
      <c r="BP44" s="31" t="s">
        <v>157</v>
      </c>
      <c r="BQ44" s="31" t="s">
        <v>157</v>
      </c>
      <c r="BR44" s="31" t="s">
        <v>157</v>
      </c>
      <c r="BS44" s="31" t="s">
        <v>157</v>
      </c>
      <c r="BT44" s="31" t="s">
        <v>157</v>
      </c>
      <c r="BU44" s="31" t="s">
        <v>157</v>
      </c>
      <c r="BV44" s="31" t="s">
        <v>157</v>
      </c>
      <c r="BW44" s="99"/>
    </row>
    <row r="45" spans="1:75" x14ac:dyDescent="0.25">
      <c r="B45" s="33" t="s">
        <v>164</v>
      </c>
      <c r="C45" s="34">
        <v>41450</v>
      </c>
      <c r="D45" s="161"/>
      <c r="E45" s="99" t="s">
        <v>157</v>
      </c>
      <c r="F45" s="31" t="s">
        <v>157</v>
      </c>
      <c r="G45" s="31" t="s">
        <v>157</v>
      </c>
      <c r="H45" s="31" t="s">
        <v>157</v>
      </c>
      <c r="I45" s="31" t="s">
        <v>157</v>
      </c>
      <c r="J45" s="31" t="s">
        <v>157</v>
      </c>
      <c r="K45" s="31" t="s">
        <v>157</v>
      </c>
      <c r="L45" s="31" t="s">
        <v>157</v>
      </c>
      <c r="M45" s="31" t="s">
        <v>157</v>
      </c>
      <c r="N45" s="31" t="s">
        <v>157</v>
      </c>
      <c r="O45" s="31" t="s">
        <v>157</v>
      </c>
      <c r="P45" s="31" t="s">
        <v>157</v>
      </c>
      <c r="Q45" s="31" t="s">
        <v>157</v>
      </c>
      <c r="R45" s="31" t="s">
        <v>157</v>
      </c>
      <c r="S45" s="31" t="s">
        <v>157</v>
      </c>
      <c r="T45" s="31" t="s">
        <v>157</v>
      </c>
      <c r="U45" s="31" t="s">
        <v>157</v>
      </c>
      <c r="V45" s="31" t="s">
        <v>157</v>
      </c>
      <c r="W45" s="31" t="s">
        <v>157</v>
      </c>
      <c r="X45" s="31" t="s">
        <v>157</v>
      </c>
      <c r="Y45" s="31" t="s">
        <v>157</v>
      </c>
      <c r="Z45" s="31" t="s">
        <v>157</v>
      </c>
      <c r="AA45" s="31" t="s">
        <v>157</v>
      </c>
      <c r="AB45" s="31" t="s">
        <v>157</v>
      </c>
      <c r="AC45" s="31" t="s">
        <v>157</v>
      </c>
      <c r="AD45" s="31" t="s">
        <v>157</v>
      </c>
      <c r="AE45" s="31" t="s">
        <v>157</v>
      </c>
      <c r="AF45" s="31" t="s">
        <v>157</v>
      </c>
      <c r="AG45" s="31" t="s">
        <v>157</v>
      </c>
      <c r="AH45" s="31" t="s">
        <v>157</v>
      </c>
      <c r="AI45" s="31" t="s">
        <v>157</v>
      </c>
      <c r="AJ45" s="31" t="s">
        <v>158</v>
      </c>
      <c r="AK45" s="31" t="s">
        <v>157</v>
      </c>
      <c r="AL45" s="31" t="s">
        <v>157</v>
      </c>
      <c r="AM45" s="32" t="s">
        <v>157</v>
      </c>
      <c r="AN45" s="32" t="s">
        <v>157</v>
      </c>
      <c r="AO45" s="32" t="s">
        <v>157</v>
      </c>
      <c r="AP45" s="32" t="s">
        <v>157</v>
      </c>
      <c r="AQ45" s="32" t="s">
        <v>157</v>
      </c>
      <c r="AR45" s="32" t="s">
        <v>157</v>
      </c>
      <c r="AS45" s="32" t="s">
        <v>157</v>
      </c>
      <c r="AT45" s="32" t="s">
        <v>157</v>
      </c>
      <c r="AU45" s="32" t="s">
        <v>157</v>
      </c>
      <c r="AV45" s="32" t="s">
        <v>157</v>
      </c>
      <c r="AW45" s="32" t="s">
        <v>157</v>
      </c>
      <c r="AX45" s="32" t="s">
        <v>157</v>
      </c>
      <c r="AY45" s="32" t="s">
        <v>157</v>
      </c>
      <c r="AZ45" s="32" t="s">
        <v>157</v>
      </c>
      <c r="BA45" s="32" t="s">
        <v>157</v>
      </c>
      <c r="BB45" s="32" t="s">
        <v>157</v>
      </c>
      <c r="BC45" s="32" t="s">
        <v>157</v>
      </c>
      <c r="BD45" s="32" t="s">
        <v>157</v>
      </c>
      <c r="BE45" s="32" t="s">
        <v>157</v>
      </c>
      <c r="BF45" s="32" t="s">
        <v>157</v>
      </c>
      <c r="BG45" s="32" t="s">
        <v>157</v>
      </c>
      <c r="BH45" s="32" t="s">
        <v>157</v>
      </c>
      <c r="BI45" s="31" t="s">
        <v>157</v>
      </c>
      <c r="BJ45" s="31" t="s">
        <v>157</v>
      </c>
      <c r="BK45" s="31" t="s">
        <v>157</v>
      </c>
      <c r="BL45" s="31" t="s">
        <v>157</v>
      </c>
      <c r="BM45" s="31" t="s">
        <v>157</v>
      </c>
      <c r="BN45" s="31" t="s">
        <v>157</v>
      </c>
      <c r="BO45" s="31" t="s">
        <v>157</v>
      </c>
      <c r="BP45" s="31" t="s">
        <v>157</v>
      </c>
      <c r="BQ45" s="31" t="s">
        <v>157</v>
      </c>
      <c r="BR45" s="31" t="s">
        <v>157</v>
      </c>
      <c r="BS45" s="31" t="s">
        <v>157</v>
      </c>
      <c r="BT45" s="31" t="s">
        <v>157</v>
      </c>
      <c r="BU45" s="31" t="s">
        <v>157</v>
      </c>
      <c r="BV45" s="31" t="s">
        <v>157</v>
      </c>
      <c r="BW45" s="99"/>
    </row>
    <row r="46" spans="1:75" x14ac:dyDescent="0.25">
      <c r="B46" s="31" t="s">
        <v>165</v>
      </c>
      <c r="C46" s="34">
        <v>41450</v>
      </c>
      <c r="D46" s="161"/>
      <c r="E46" s="31">
        <v>98.649999999999991</v>
      </c>
      <c r="F46" s="31">
        <v>97.65</v>
      </c>
      <c r="G46" s="31">
        <v>93.35</v>
      </c>
      <c r="H46" s="31">
        <v>103.27500000000001</v>
      </c>
      <c r="I46" s="31">
        <v>101.47499999999999</v>
      </c>
      <c r="J46" s="31">
        <v>96.55</v>
      </c>
      <c r="K46" s="31">
        <v>95.5</v>
      </c>
      <c r="L46" s="31">
        <v>97.875</v>
      </c>
      <c r="M46" s="31">
        <v>93.825000000000003</v>
      </c>
      <c r="N46" s="31">
        <v>97.9</v>
      </c>
      <c r="O46" s="31">
        <v>114.75</v>
      </c>
      <c r="P46" s="31" t="s">
        <v>166</v>
      </c>
      <c r="Q46" s="31">
        <v>117.27500000000001</v>
      </c>
      <c r="R46" s="31" t="s">
        <v>166</v>
      </c>
      <c r="S46" s="31">
        <v>103.825</v>
      </c>
      <c r="T46" s="31" t="s">
        <v>166</v>
      </c>
      <c r="U46" s="31">
        <v>77.25</v>
      </c>
      <c r="V46" s="31">
        <v>78.475000000000009</v>
      </c>
      <c r="W46" s="31">
        <v>93.875</v>
      </c>
      <c r="X46" s="31" t="s">
        <v>166</v>
      </c>
      <c r="Y46" s="31">
        <v>99.974999999999994</v>
      </c>
      <c r="Z46" s="31">
        <v>86.949999999999989</v>
      </c>
      <c r="AA46" s="31" t="s">
        <v>166</v>
      </c>
      <c r="AB46" s="31" t="s">
        <v>167</v>
      </c>
      <c r="AC46" s="31">
        <v>76.650000000000006</v>
      </c>
      <c r="AD46" s="31" t="s">
        <v>167</v>
      </c>
      <c r="AE46" s="31" t="s">
        <v>166</v>
      </c>
      <c r="AF46" s="31">
        <v>111.97500000000001</v>
      </c>
      <c r="AG46" s="31" t="s">
        <v>166</v>
      </c>
      <c r="AH46" s="31">
        <v>95.450000000000017</v>
      </c>
      <c r="AI46" s="31" t="s">
        <v>166</v>
      </c>
      <c r="AJ46" s="31">
        <v>90.25</v>
      </c>
      <c r="AK46" s="31" t="s">
        <v>166</v>
      </c>
      <c r="AL46" s="31">
        <v>87.824999999999989</v>
      </c>
      <c r="AM46" s="31">
        <v>103.75</v>
      </c>
      <c r="AN46" s="31">
        <v>101.3</v>
      </c>
      <c r="AO46" s="31">
        <v>107.875</v>
      </c>
      <c r="AP46" s="31" t="s">
        <v>166</v>
      </c>
      <c r="AQ46" s="31" t="s">
        <v>166</v>
      </c>
      <c r="AR46" s="31" t="s">
        <v>166</v>
      </c>
      <c r="AS46" s="31" t="s">
        <v>166</v>
      </c>
      <c r="AT46" s="31">
        <v>97.925000000000011</v>
      </c>
      <c r="AU46" s="31">
        <v>94.75</v>
      </c>
      <c r="AV46" s="31" t="s">
        <v>166</v>
      </c>
      <c r="AW46" s="31" t="s">
        <v>166</v>
      </c>
      <c r="AX46" s="31" t="s">
        <v>166</v>
      </c>
      <c r="AY46" s="31">
        <v>97.5</v>
      </c>
      <c r="AZ46" s="31" t="s">
        <v>166</v>
      </c>
      <c r="BA46" s="31" t="s">
        <v>166</v>
      </c>
      <c r="BB46" s="31" t="s">
        <v>166</v>
      </c>
      <c r="BC46" s="31" t="s">
        <v>166</v>
      </c>
      <c r="BD46" s="31">
        <v>84.55</v>
      </c>
      <c r="BE46" s="31" t="s">
        <v>166</v>
      </c>
      <c r="BF46" s="31" t="s">
        <v>166</v>
      </c>
      <c r="BG46" s="31">
        <v>96.55</v>
      </c>
      <c r="BH46" s="31">
        <v>112.8</v>
      </c>
      <c r="BI46" s="31">
        <v>112.02500000000001</v>
      </c>
      <c r="BJ46" s="31" t="s">
        <v>166</v>
      </c>
      <c r="BK46" s="31" t="s">
        <v>166</v>
      </c>
      <c r="BL46" s="31">
        <v>98.749999999999986</v>
      </c>
      <c r="BM46" s="31" t="s">
        <v>166</v>
      </c>
      <c r="BN46" s="31">
        <v>111.125</v>
      </c>
      <c r="BO46" s="31" t="s">
        <v>166</v>
      </c>
      <c r="BP46" s="31" t="s">
        <v>166</v>
      </c>
      <c r="BQ46" s="31" t="s">
        <v>166</v>
      </c>
      <c r="BR46" s="31" t="s">
        <v>166</v>
      </c>
      <c r="BS46" s="31" t="s">
        <v>166</v>
      </c>
      <c r="BT46" s="31" t="s">
        <v>166</v>
      </c>
      <c r="BU46" s="31" t="s">
        <v>166</v>
      </c>
      <c r="BV46" s="31" t="s">
        <v>166</v>
      </c>
      <c r="BW46" s="99"/>
    </row>
    <row r="47" spans="1:75" ht="17.25" x14ac:dyDescent="0.25">
      <c r="B47" s="31" t="s">
        <v>168</v>
      </c>
      <c r="C47" s="34">
        <v>41450</v>
      </c>
      <c r="D47" s="161"/>
      <c r="E47" s="31" t="s">
        <v>169</v>
      </c>
      <c r="F47" s="31" t="s">
        <v>169</v>
      </c>
      <c r="G47" s="31" t="s">
        <v>169</v>
      </c>
      <c r="H47" s="31" t="s">
        <v>169</v>
      </c>
      <c r="I47" s="31" t="s">
        <v>169</v>
      </c>
      <c r="J47" s="31" t="s">
        <v>169</v>
      </c>
      <c r="K47" s="31" t="s">
        <v>169</v>
      </c>
      <c r="L47" s="31" t="s">
        <v>169</v>
      </c>
      <c r="M47" s="31" t="s">
        <v>169</v>
      </c>
      <c r="N47" s="31" t="s">
        <v>169</v>
      </c>
      <c r="O47" s="31" t="s">
        <v>169</v>
      </c>
      <c r="P47" s="31" t="s">
        <v>166</v>
      </c>
      <c r="Q47" s="31" t="s">
        <v>169</v>
      </c>
      <c r="R47" s="31" t="s">
        <v>166</v>
      </c>
      <c r="S47" s="31" t="s">
        <v>169</v>
      </c>
      <c r="T47" s="31" t="s">
        <v>166</v>
      </c>
      <c r="U47" s="31" t="s">
        <v>169</v>
      </c>
      <c r="V47" s="31" t="s">
        <v>169</v>
      </c>
      <c r="W47" s="31" t="s">
        <v>169</v>
      </c>
      <c r="X47" s="31" t="s">
        <v>166</v>
      </c>
      <c r="Y47" s="31" t="s">
        <v>169</v>
      </c>
      <c r="Z47" s="31" t="s">
        <v>169</v>
      </c>
      <c r="AA47" s="31" t="s">
        <v>166</v>
      </c>
      <c r="AB47" s="31" t="s">
        <v>169</v>
      </c>
      <c r="AC47" s="31" t="s">
        <v>169</v>
      </c>
      <c r="AD47" s="31" t="s">
        <v>169</v>
      </c>
      <c r="AE47" s="31" t="s">
        <v>166</v>
      </c>
      <c r="AF47" s="31" t="s">
        <v>169</v>
      </c>
      <c r="AG47" s="31" t="s">
        <v>166</v>
      </c>
      <c r="AH47" s="31" t="s">
        <v>169</v>
      </c>
      <c r="AI47" s="31" t="s">
        <v>166</v>
      </c>
      <c r="AJ47" s="31" t="s">
        <v>169</v>
      </c>
      <c r="AK47" s="31" t="s">
        <v>166</v>
      </c>
      <c r="AL47" s="31" t="s">
        <v>169</v>
      </c>
      <c r="AM47" s="31" t="s">
        <v>169</v>
      </c>
      <c r="AN47" s="31" t="s">
        <v>169</v>
      </c>
      <c r="AO47" s="31" t="s">
        <v>169</v>
      </c>
      <c r="AP47" s="31" t="s">
        <v>166</v>
      </c>
      <c r="AQ47" s="31" t="s">
        <v>166</v>
      </c>
      <c r="AR47" s="31" t="s">
        <v>166</v>
      </c>
      <c r="AS47" s="31" t="s">
        <v>166</v>
      </c>
      <c r="AT47" s="31" t="s">
        <v>169</v>
      </c>
      <c r="AU47" s="31" t="s">
        <v>169</v>
      </c>
      <c r="AV47" s="31" t="s">
        <v>166</v>
      </c>
      <c r="AW47" s="31" t="s">
        <v>166</v>
      </c>
      <c r="AX47" s="31" t="s">
        <v>166</v>
      </c>
      <c r="AY47" s="31" t="s">
        <v>169</v>
      </c>
      <c r="AZ47" s="31" t="s">
        <v>166</v>
      </c>
      <c r="BA47" s="31" t="s">
        <v>166</v>
      </c>
      <c r="BB47" s="31" t="s">
        <v>166</v>
      </c>
      <c r="BC47" s="31" t="s">
        <v>166</v>
      </c>
      <c r="BD47" s="31" t="s">
        <v>169</v>
      </c>
      <c r="BE47" s="31" t="s">
        <v>166</v>
      </c>
      <c r="BF47" s="31" t="s">
        <v>166</v>
      </c>
      <c r="BG47" s="31" t="s">
        <v>169</v>
      </c>
      <c r="BH47" s="31" t="s">
        <v>169</v>
      </c>
      <c r="BI47" s="31" t="s">
        <v>169</v>
      </c>
      <c r="BJ47" s="31" t="s">
        <v>166</v>
      </c>
      <c r="BK47" s="31" t="s">
        <v>166</v>
      </c>
      <c r="BL47" s="31" t="s">
        <v>169</v>
      </c>
      <c r="BM47" s="31" t="s">
        <v>166</v>
      </c>
      <c r="BN47" s="31" t="s">
        <v>169</v>
      </c>
      <c r="BO47" s="31" t="s">
        <v>166</v>
      </c>
      <c r="BP47" s="31" t="s">
        <v>166</v>
      </c>
      <c r="BQ47" s="31" t="s">
        <v>166</v>
      </c>
      <c r="BR47" s="31" t="s">
        <v>166</v>
      </c>
      <c r="BS47" s="31" t="s">
        <v>166</v>
      </c>
      <c r="BT47" s="31" t="s">
        <v>166</v>
      </c>
      <c r="BU47" s="31" t="s">
        <v>166</v>
      </c>
      <c r="BV47" s="31" t="s">
        <v>166</v>
      </c>
      <c r="BW47" s="99"/>
    </row>
    <row r="48" spans="1:75" x14ac:dyDescent="0.25">
      <c r="B48" s="31" t="s">
        <v>170</v>
      </c>
      <c r="C48" s="34">
        <v>41450</v>
      </c>
      <c r="D48" s="161"/>
      <c r="E48" s="31" t="s">
        <v>169</v>
      </c>
      <c r="F48" s="31" t="s">
        <v>169</v>
      </c>
      <c r="G48" s="31" t="s">
        <v>169</v>
      </c>
      <c r="H48" s="31" t="s">
        <v>169</v>
      </c>
      <c r="I48" s="31" t="s">
        <v>169</v>
      </c>
      <c r="J48" s="31" t="s">
        <v>169</v>
      </c>
      <c r="K48" s="31" t="s">
        <v>169</v>
      </c>
      <c r="L48" s="31" t="s">
        <v>169</v>
      </c>
      <c r="M48" s="31" t="s">
        <v>169</v>
      </c>
      <c r="N48" s="31" t="s">
        <v>169</v>
      </c>
      <c r="O48" s="31" t="s">
        <v>169</v>
      </c>
      <c r="P48" s="31" t="s">
        <v>166</v>
      </c>
      <c r="Q48" s="31" t="s">
        <v>169</v>
      </c>
      <c r="R48" s="31" t="s">
        <v>166</v>
      </c>
      <c r="S48" s="31" t="s">
        <v>169</v>
      </c>
      <c r="T48" s="31" t="s">
        <v>166</v>
      </c>
      <c r="U48" s="31" t="s">
        <v>169</v>
      </c>
      <c r="V48" s="31" t="s">
        <v>169</v>
      </c>
      <c r="W48" s="31" t="s">
        <v>169</v>
      </c>
      <c r="X48" s="31" t="s">
        <v>166</v>
      </c>
      <c r="Y48" s="31" t="s">
        <v>169</v>
      </c>
      <c r="Z48" s="31" t="s">
        <v>169</v>
      </c>
      <c r="AA48" s="31" t="s">
        <v>166</v>
      </c>
      <c r="AB48" s="31" t="s">
        <v>169</v>
      </c>
      <c r="AC48" s="31" t="s">
        <v>169</v>
      </c>
      <c r="AD48" s="31" t="s">
        <v>169</v>
      </c>
      <c r="AE48" s="31" t="s">
        <v>166</v>
      </c>
      <c r="AF48" s="31" t="s">
        <v>169</v>
      </c>
      <c r="AG48" s="31" t="s">
        <v>166</v>
      </c>
      <c r="AH48" s="31" t="s">
        <v>169</v>
      </c>
      <c r="AI48" s="31" t="s">
        <v>166</v>
      </c>
      <c r="AJ48" s="31" t="s">
        <v>169</v>
      </c>
      <c r="AK48" s="31" t="s">
        <v>166</v>
      </c>
      <c r="AL48" s="31" t="s">
        <v>169</v>
      </c>
      <c r="AM48" s="31" t="s">
        <v>169</v>
      </c>
      <c r="AN48" s="31" t="s">
        <v>169</v>
      </c>
      <c r="AO48" s="31" t="s">
        <v>169</v>
      </c>
      <c r="AP48" s="31" t="s">
        <v>166</v>
      </c>
      <c r="AQ48" s="31" t="s">
        <v>166</v>
      </c>
      <c r="AR48" s="31" t="s">
        <v>166</v>
      </c>
      <c r="AS48" s="31" t="s">
        <v>166</v>
      </c>
      <c r="AT48" s="31" t="s">
        <v>169</v>
      </c>
      <c r="AU48" s="31" t="s">
        <v>169</v>
      </c>
      <c r="AV48" s="31" t="s">
        <v>166</v>
      </c>
      <c r="AW48" s="31" t="s">
        <v>166</v>
      </c>
      <c r="AX48" s="31" t="s">
        <v>166</v>
      </c>
      <c r="AY48" s="31" t="s">
        <v>169</v>
      </c>
      <c r="AZ48" s="31" t="s">
        <v>166</v>
      </c>
      <c r="BA48" s="31" t="s">
        <v>166</v>
      </c>
      <c r="BB48" s="31" t="s">
        <v>166</v>
      </c>
      <c r="BC48" s="31" t="s">
        <v>166</v>
      </c>
      <c r="BD48" s="31" t="s">
        <v>169</v>
      </c>
      <c r="BE48" s="31" t="s">
        <v>166</v>
      </c>
      <c r="BF48" s="31" t="s">
        <v>166</v>
      </c>
      <c r="BG48" s="31" t="s">
        <v>169</v>
      </c>
      <c r="BH48" s="31" t="s">
        <v>169</v>
      </c>
      <c r="BI48" s="31" t="s">
        <v>169</v>
      </c>
      <c r="BJ48" s="31" t="s">
        <v>166</v>
      </c>
      <c r="BK48" s="31" t="s">
        <v>166</v>
      </c>
      <c r="BL48" s="31" t="s">
        <v>169</v>
      </c>
      <c r="BM48" s="31" t="s">
        <v>166</v>
      </c>
      <c r="BN48" s="31" t="s">
        <v>169</v>
      </c>
      <c r="BO48" s="31" t="s">
        <v>166</v>
      </c>
      <c r="BP48" s="31" t="s">
        <v>166</v>
      </c>
      <c r="BQ48" s="31" t="s">
        <v>166</v>
      </c>
      <c r="BR48" s="31" t="s">
        <v>166</v>
      </c>
      <c r="BS48" s="31" t="s">
        <v>166</v>
      </c>
      <c r="BT48" s="31" t="s">
        <v>166</v>
      </c>
      <c r="BU48" s="31" t="s">
        <v>166</v>
      </c>
      <c r="BV48" s="31" t="s">
        <v>166</v>
      </c>
      <c r="BW48" s="99"/>
    </row>
    <row r="49" spans="2:75" s="140" customFormat="1" x14ac:dyDescent="0.25">
      <c r="B49" s="140" t="s">
        <v>200</v>
      </c>
      <c r="C49" s="142">
        <v>41450</v>
      </c>
      <c r="D49" s="161"/>
      <c r="E49" s="143" t="s">
        <v>175</v>
      </c>
      <c r="F49" s="143" t="s">
        <v>175</v>
      </c>
      <c r="G49" s="143">
        <v>11.58197569373289</v>
      </c>
      <c r="H49" s="143">
        <v>4.4900598473324616</v>
      </c>
      <c r="I49" s="143">
        <v>11.406283193467686</v>
      </c>
      <c r="J49" s="143">
        <v>34.829286829358935</v>
      </c>
      <c r="K49" s="143">
        <v>24.143568456025463</v>
      </c>
      <c r="L49" s="143">
        <v>12.182364020442389</v>
      </c>
      <c r="M49" s="143">
        <v>38.870779513665582</v>
      </c>
      <c r="N49" s="143" t="s">
        <v>175</v>
      </c>
      <c r="O49" s="143" t="s">
        <v>175</v>
      </c>
      <c r="P49" s="143" t="s">
        <v>175</v>
      </c>
      <c r="Q49" s="143" t="s">
        <v>175</v>
      </c>
      <c r="R49" s="143" t="s">
        <v>175</v>
      </c>
      <c r="S49" s="143" t="s">
        <v>175</v>
      </c>
      <c r="T49" s="143" t="s">
        <v>175</v>
      </c>
      <c r="U49" s="143" t="s">
        <v>175</v>
      </c>
      <c r="V49" s="143" t="s">
        <v>175</v>
      </c>
      <c r="W49" s="143" t="s">
        <v>175</v>
      </c>
      <c r="X49" s="143" t="s">
        <v>175</v>
      </c>
      <c r="Y49" s="143" t="s">
        <v>175</v>
      </c>
      <c r="Z49" s="143" t="s">
        <v>175</v>
      </c>
      <c r="AA49" s="143" t="s">
        <v>175</v>
      </c>
      <c r="AB49" s="143" t="s">
        <v>175</v>
      </c>
      <c r="AC49" s="143">
        <v>28.239859406471798</v>
      </c>
      <c r="AD49" s="143" t="s">
        <v>175</v>
      </c>
      <c r="AE49" s="143" t="s">
        <v>175</v>
      </c>
      <c r="AF49" s="143">
        <v>32.916347617159573</v>
      </c>
      <c r="AG49" s="143" t="s">
        <v>175</v>
      </c>
      <c r="AH49" s="143">
        <v>7.3626788821976721</v>
      </c>
      <c r="AI49" s="143" t="s">
        <v>175</v>
      </c>
      <c r="AJ49" s="143">
        <v>14.013309363393628</v>
      </c>
      <c r="AK49" s="143" t="s">
        <v>175</v>
      </c>
      <c r="AL49" s="143" t="s">
        <v>175</v>
      </c>
      <c r="AM49" s="143" t="s">
        <v>175</v>
      </c>
      <c r="AN49" s="143">
        <v>109.98041750432495</v>
      </c>
      <c r="AO49" s="143">
        <v>47.362185155674716</v>
      </c>
      <c r="AP49" s="143" t="s">
        <v>175</v>
      </c>
      <c r="AQ49" s="143" t="s">
        <v>175</v>
      </c>
      <c r="AR49" s="143" t="s">
        <v>175</v>
      </c>
      <c r="AS49" s="143" t="s">
        <v>175</v>
      </c>
      <c r="AT49" s="143" t="s">
        <v>175</v>
      </c>
      <c r="AU49" s="143">
        <v>19.776601268014222</v>
      </c>
      <c r="AV49" s="143" t="s">
        <v>175</v>
      </c>
      <c r="AW49" s="143" t="s">
        <v>175</v>
      </c>
      <c r="AX49" s="143" t="s">
        <v>175</v>
      </c>
      <c r="AY49" s="143">
        <v>1.4731391274719592</v>
      </c>
      <c r="AZ49" s="143" t="s">
        <v>175</v>
      </c>
      <c r="BA49" s="143" t="s">
        <v>175</v>
      </c>
      <c r="BB49" s="143" t="s">
        <v>175</v>
      </c>
      <c r="BC49" s="143" t="s">
        <v>175</v>
      </c>
      <c r="BD49" s="143">
        <v>34.107503563115863</v>
      </c>
      <c r="BE49" s="143" t="s">
        <v>175</v>
      </c>
      <c r="BF49" s="143" t="s">
        <v>175</v>
      </c>
      <c r="BG49" s="143" t="s">
        <v>175</v>
      </c>
      <c r="BH49" s="143" t="s">
        <v>175</v>
      </c>
      <c r="BI49" s="143" t="s">
        <v>175</v>
      </c>
      <c r="BJ49" s="143" t="s">
        <v>175</v>
      </c>
      <c r="BK49" s="143" t="s">
        <v>175</v>
      </c>
      <c r="BL49" s="143">
        <v>62.58202398515926</v>
      </c>
      <c r="BM49" s="143">
        <v>67.779921563210181</v>
      </c>
      <c r="BN49" s="143">
        <v>33.076264365182709</v>
      </c>
      <c r="BO49" s="143">
        <v>60.063448568306725</v>
      </c>
      <c r="BP49" s="143">
        <v>61.093925416867513</v>
      </c>
      <c r="BQ49" s="143" t="s">
        <v>175</v>
      </c>
      <c r="BR49" s="143" t="s">
        <v>175</v>
      </c>
      <c r="BS49" s="143" t="s">
        <v>175</v>
      </c>
      <c r="BT49" s="143" t="s">
        <v>175</v>
      </c>
      <c r="BU49" s="143" t="s">
        <v>175</v>
      </c>
      <c r="BV49" s="143">
        <v>45.383945399226782</v>
      </c>
    </row>
    <row r="50" spans="2:75" x14ac:dyDescent="0.25">
      <c r="BW50" s="99"/>
    </row>
    <row r="51" spans="2:75" x14ac:dyDescent="0.25">
      <c r="B51" s="38" t="s">
        <v>163</v>
      </c>
      <c r="C51" s="39">
        <v>41815</v>
      </c>
      <c r="D51" s="161"/>
      <c r="E51" s="36" t="s">
        <v>157</v>
      </c>
      <c r="F51" s="36" t="s">
        <v>157</v>
      </c>
      <c r="G51" s="36" t="s">
        <v>157</v>
      </c>
      <c r="H51" s="36" t="s">
        <v>157</v>
      </c>
      <c r="I51" s="36" t="s">
        <v>157</v>
      </c>
      <c r="J51" s="36" t="s">
        <v>157</v>
      </c>
      <c r="K51" s="36" t="s">
        <v>157</v>
      </c>
      <c r="L51" s="36" t="s">
        <v>157</v>
      </c>
      <c r="M51" s="36" t="s">
        <v>157</v>
      </c>
      <c r="N51" s="36" t="s">
        <v>157</v>
      </c>
      <c r="O51" s="36" t="s">
        <v>157</v>
      </c>
      <c r="P51" s="36" t="s">
        <v>157</v>
      </c>
      <c r="Q51" s="36" t="s">
        <v>157</v>
      </c>
      <c r="R51" s="36" t="s">
        <v>157</v>
      </c>
      <c r="S51" s="36" t="s">
        <v>157</v>
      </c>
      <c r="T51" s="36" t="s">
        <v>157</v>
      </c>
      <c r="U51" s="36" t="s">
        <v>157</v>
      </c>
      <c r="V51" s="36" t="s">
        <v>157</v>
      </c>
      <c r="W51" s="36" t="s">
        <v>157</v>
      </c>
      <c r="X51" s="36" t="s">
        <v>157</v>
      </c>
      <c r="Y51" s="36" t="s">
        <v>157</v>
      </c>
      <c r="Z51" s="36" t="s">
        <v>157</v>
      </c>
      <c r="AA51" s="36" t="s">
        <v>157</v>
      </c>
      <c r="AB51" s="36" t="s">
        <v>157</v>
      </c>
      <c r="AC51" s="36" t="s">
        <v>157</v>
      </c>
      <c r="AD51" s="36" t="s">
        <v>157</v>
      </c>
      <c r="AE51" s="36" t="s">
        <v>157</v>
      </c>
      <c r="AF51" s="36" t="s">
        <v>157</v>
      </c>
      <c r="AG51" s="36" t="s">
        <v>157</v>
      </c>
      <c r="AH51" s="36" t="s">
        <v>157</v>
      </c>
      <c r="AI51" s="36" t="s">
        <v>157</v>
      </c>
      <c r="AJ51" s="36" t="s">
        <v>157</v>
      </c>
      <c r="AK51" s="36" t="s">
        <v>157</v>
      </c>
      <c r="AL51" s="36" t="s">
        <v>157</v>
      </c>
      <c r="AM51" s="36" t="s">
        <v>157</v>
      </c>
      <c r="AN51" s="36" t="s">
        <v>157</v>
      </c>
      <c r="AO51" s="36" t="s">
        <v>157</v>
      </c>
      <c r="AP51" s="36" t="s">
        <v>157</v>
      </c>
      <c r="AQ51" s="36" t="s">
        <v>157</v>
      </c>
      <c r="AR51" s="36" t="s">
        <v>157</v>
      </c>
      <c r="AS51" s="36" t="s">
        <v>157</v>
      </c>
      <c r="AT51" s="36" t="s">
        <v>157</v>
      </c>
      <c r="AU51" s="36" t="s">
        <v>157</v>
      </c>
      <c r="AV51" s="36" t="s">
        <v>157</v>
      </c>
      <c r="AW51" s="36" t="s">
        <v>157</v>
      </c>
      <c r="AX51" s="36" t="s">
        <v>157</v>
      </c>
      <c r="AY51" s="36" t="s">
        <v>157</v>
      </c>
      <c r="AZ51" s="36" t="s">
        <v>157</v>
      </c>
      <c r="BA51" s="36" t="s">
        <v>157</v>
      </c>
      <c r="BB51" s="36" t="s">
        <v>157</v>
      </c>
      <c r="BC51" s="36" t="s">
        <v>157</v>
      </c>
      <c r="BD51" s="36" t="s">
        <v>157</v>
      </c>
      <c r="BE51" s="36" t="s">
        <v>157</v>
      </c>
      <c r="BF51" s="36" t="s">
        <v>157</v>
      </c>
      <c r="BG51" s="36" t="s">
        <v>157</v>
      </c>
      <c r="BH51" s="36" t="s">
        <v>157</v>
      </c>
      <c r="BI51" s="36" t="s">
        <v>157</v>
      </c>
      <c r="BJ51" s="36" t="s">
        <v>157</v>
      </c>
      <c r="BK51" s="36" t="s">
        <v>157</v>
      </c>
      <c r="BL51" s="36" t="s">
        <v>157</v>
      </c>
      <c r="BM51" s="36" t="s">
        <v>157</v>
      </c>
      <c r="BN51" s="36" t="s">
        <v>157</v>
      </c>
      <c r="BO51" s="36" t="s">
        <v>157</v>
      </c>
      <c r="BP51" s="36" t="s">
        <v>157</v>
      </c>
      <c r="BQ51" s="36" t="s">
        <v>157</v>
      </c>
      <c r="BR51" s="36" t="s">
        <v>157</v>
      </c>
      <c r="BS51" s="36" t="s">
        <v>157</v>
      </c>
      <c r="BT51" s="36" t="s">
        <v>157</v>
      </c>
      <c r="BU51" s="36" t="s">
        <v>157</v>
      </c>
      <c r="BV51" s="36" t="s">
        <v>157</v>
      </c>
      <c r="BW51" s="99"/>
    </row>
    <row r="52" spans="2:75" x14ac:dyDescent="0.25">
      <c r="B52" s="38" t="s">
        <v>164</v>
      </c>
      <c r="C52" s="39">
        <v>41815</v>
      </c>
      <c r="D52" s="161"/>
      <c r="E52" s="36" t="s">
        <v>157</v>
      </c>
      <c r="F52" s="36" t="s">
        <v>157</v>
      </c>
      <c r="G52" s="36" t="s">
        <v>157</v>
      </c>
      <c r="H52" s="46" t="s">
        <v>157</v>
      </c>
      <c r="I52" s="46" t="s">
        <v>158</v>
      </c>
      <c r="J52" s="46" t="s">
        <v>157</v>
      </c>
      <c r="K52" s="46" t="s">
        <v>158</v>
      </c>
      <c r="L52" s="46" t="s">
        <v>157</v>
      </c>
      <c r="M52" s="46" t="s">
        <v>157</v>
      </c>
      <c r="N52" s="46" t="s">
        <v>157</v>
      </c>
      <c r="O52" s="46" t="s">
        <v>157</v>
      </c>
      <c r="P52" s="46" t="s">
        <v>157</v>
      </c>
      <c r="Q52" s="46" t="s">
        <v>157</v>
      </c>
      <c r="R52" s="46" t="s">
        <v>157</v>
      </c>
      <c r="S52" s="46" t="s">
        <v>157</v>
      </c>
      <c r="T52" s="46" t="s">
        <v>157</v>
      </c>
      <c r="U52" s="46" t="s">
        <v>157</v>
      </c>
      <c r="V52" s="46" t="s">
        <v>157</v>
      </c>
      <c r="W52" s="46" t="s">
        <v>157</v>
      </c>
      <c r="X52" s="46" t="s">
        <v>157</v>
      </c>
      <c r="Y52" s="46" t="s">
        <v>158</v>
      </c>
      <c r="Z52" s="46" t="s">
        <v>157</v>
      </c>
      <c r="AA52" s="46" t="s">
        <v>157</v>
      </c>
      <c r="AB52" s="46" t="s">
        <v>157</v>
      </c>
      <c r="AC52" s="46" t="s">
        <v>157</v>
      </c>
      <c r="AD52" s="46" t="s">
        <v>157</v>
      </c>
      <c r="AE52" s="46" t="s">
        <v>157</v>
      </c>
      <c r="AF52" s="46" t="s">
        <v>157</v>
      </c>
      <c r="AG52" s="46" t="s">
        <v>157</v>
      </c>
      <c r="AH52" s="46" t="s">
        <v>157</v>
      </c>
      <c r="AI52" s="46" t="s">
        <v>157</v>
      </c>
      <c r="AJ52" s="46" t="s">
        <v>158</v>
      </c>
      <c r="AK52" s="46" t="s">
        <v>157</v>
      </c>
      <c r="AL52" s="46" t="s">
        <v>157</v>
      </c>
      <c r="AM52" s="46" t="s">
        <v>157</v>
      </c>
      <c r="AN52" s="46" t="s">
        <v>158</v>
      </c>
      <c r="AO52" s="46" t="s">
        <v>157</v>
      </c>
      <c r="AP52" s="46" t="s">
        <v>157</v>
      </c>
      <c r="AQ52" s="46" t="s">
        <v>157</v>
      </c>
      <c r="AR52" s="46" t="s">
        <v>157</v>
      </c>
      <c r="AS52" s="46" t="s">
        <v>157</v>
      </c>
      <c r="AT52" s="46" t="s">
        <v>157</v>
      </c>
      <c r="AU52" s="46" t="s">
        <v>157</v>
      </c>
      <c r="AV52" s="46" t="s">
        <v>157</v>
      </c>
      <c r="AW52" s="46" t="s">
        <v>157</v>
      </c>
      <c r="AX52" s="46" t="s">
        <v>157</v>
      </c>
      <c r="AY52" s="46" t="s">
        <v>157</v>
      </c>
      <c r="AZ52" s="46" t="s">
        <v>157</v>
      </c>
      <c r="BA52" s="46" t="s">
        <v>157</v>
      </c>
      <c r="BB52" s="46" t="s">
        <v>157</v>
      </c>
      <c r="BC52" s="46" t="s">
        <v>157</v>
      </c>
      <c r="BD52" s="46" t="s">
        <v>157</v>
      </c>
      <c r="BE52" s="46" t="s">
        <v>157</v>
      </c>
      <c r="BF52" s="46" t="s">
        <v>157</v>
      </c>
      <c r="BG52" s="46" t="s">
        <v>157</v>
      </c>
      <c r="BH52" s="46" t="s">
        <v>157</v>
      </c>
      <c r="BI52" s="46" t="s">
        <v>157</v>
      </c>
      <c r="BJ52" s="46" t="s">
        <v>157</v>
      </c>
      <c r="BK52" s="46" t="s">
        <v>157</v>
      </c>
      <c r="BL52" s="46" t="s">
        <v>158</v>
      </c>
      <c r="BM52" s="46" t="s">
        <v>157</v>
      </c>
      <c r="BN52" s="46" t="s">
        <v>158</v>
      </c>
      <c r="BO52" s="46" t="s">
        <v>157</v>
      </c>
      <c r="BP52" s="46" t="s">
        <v>157</v>
      </c>
      <c r="BQ52" s="46" t="s">
        <v>157</v>
      </c>
      <c r="BR52" s="46" t="s">
        <v>157</v>
      </c>
      <c r="BS52" s="46" t="s">
        <v>157</v>
      </c>
      <c r="BT52" s="46" t="s">
        <v>157</v>
      </c>
      <c r="BU52" s="46" t="s">
        <v>157</v>
      </c>
      <c r="BV52" s="46" t="s">
        <v>157</v>
      </c>
      <c r="BW52" s="99"/>
    </row>
    <row r="53" spans="2:75" x14ac:dyDescent="0.25">
      <c r="B53" s="38" t="s">
        <v>165</v>
      </c>
      <c r="C53" s="39">
        <v>41815</v>
      </c>
      <c r="D53" s="161"/>
      <c r="E53" s="36">
        <v>89.95</v>
      </c>
      <c r="F53" s="36">
        <v>109.96666666666668</v>
      </c>
      <c r="G53" s="36">
        <v>103.64999999999999</v>
      </c>
      <c r="H53" s="36">
        <v>124.23333333333333</v>
      </c>
      <c r="I53" s="36">
        <v>99.116666666666674</v>
      </c>
      <c r="J53" s="36">
        <v>105.80000000000001</v>
      </c>
      <c r="K53" s="36">
        <v>106.91666666666664</v>
      </c>
      <c r="L53" s="36">
        <v>96.433333333333323</v>
      </c>
      <c r="M53" s="36">
        <v>95.816666666666677</v>
      </c>
      <c r="N53" s="36">
        <v>102.83333333333336</v>
      </c>
      <c r="O53" s="36">
        <v>105.01666666666665</v>
      </c>
      <c r="P53" s="35" t="s">
        <v>166</v>
      </c>
      <c r="Q53" s="36">
        <v>100.83333333333331</v>
      </c>
      <c r="R53" s="35" t="s">
        <v>166</v>
      </c>
      <c r="S53" s="36">
        <v>99.416666666666671</v>
      </c>
      <c r="T53" s="35" t="s">
        <v>166</v>
      </c>
      <c r="U53" s="36" t="s">
        <v>171</v>
      </c>
      <c r="V53" s="36">
        <v>91.7</v>
      </c>
      <c r="W53" s="36">
        <v>100.31666666666668</v>
      </c>
      <c r="X53" s="35" t="s">
        <v>166</v>
      </c>
      <c r="Y53" s="36">
        <v>97.95</v>
      </c>
      <c r="Z53" s="36">
        <v>105.41666666666667</v>
      </c>
      <c r="AA53" s="35" t="s">
        <v>166</v>
      </c>
      <c r="AB53" s="35" t="s">
        <v>166</v>
      </c>
      <c r="AC53" s="36">
        <v>97.45</v>
      </c>
      <c r="AD53" s="36">
        <v>108.14999999999999</v>
      </c>
      <c r="AE53" s="35" t="s">
        <v>166</v>
      </c>
      <c r="AF53" s="36">
        <v>80.7</v>
      </c>
      <c r="AG53" s="35" t="s">
        <v>166</v>
      </c>
      <c r="AH53" s="36">
        <v>87.066666666666677</v>
      </c>
      <c r="AI53" s="35" t="s">
        <v>166</v>
      </c>
      <c r="AJ53" s="36">
        <v>88.616666666666674</v>
      </c>
      <c r="AK53" s="35" t="s">
        <v>166</v>
      </c>
      <c r="AL53" s="36">
        <v>96.283333333333346</v>
      </c>
      <c r="AM53" s="36">
        <v>77.516666666666666</v>
      </c>
      <c r="AN53" s="36">
        <v>123.26666666666667</v>
      </c>
      <c r="AO53" s="36">
        <v>87.716666666666654</v>
      </c>
      <c r="AP53" s="35" t="s">
        <v>166</v>
      </c>
      <c r="AQ53" s="35" t="s">
        <v>166</v>
      </c>
      <c r="AR53" s="35" t="s">
        <v>166</v>
      </c>
      <c r="AS53" s="35" t="s">
        <v>166</v>
      </c>
      <c r="AT53" s="36">
        <v>110.93333333333334</v>
      </c>
      <c r="AU53" s="36">
        <v>84.84999999999998</v>
      </c>
      <c r="AV53" s="35" t="s">
        <v>166</v>
      </c>
      <c r="AW53" s="35" t="s">
        <v>166</v>
      </c>
      <c r="AX53" s="35" t="s">
        <v>166</v>
      </c>
      <c r="AY53" s="36">
        <v>114.49999999999999</v>
      </c>
      <c r="AZ53" s="35" t="s">
        <v>166</v>
      </c>
      <c r="BA53" s="35" t="s">
        <v>166</v>
      </c>
      <c r="BB53" s="35" t="s">
        <v>166</v>
      </c>
      <c r="BC53" s="35" t="s">
        <v>166</v>
      </c>
      <c r="BD53" s="36">
        <v>99.516666666666666</v>
      </c>
      <c r="BE53" s="35" t="s">
        <v>166</v>
      </c>
      <c r="BF53" s="35" t="s">
        <v>166</v>
      </c>
      <c r="BG53" s="36">
        <v>120.11666666666667</v>
      </c>
      <c r="BH53" s="36">
        <v>106.16666666666667</v>
      </c>
      <c r="BI53" s="36">
        <v>110.01666666666667</v>
      </c>
      <c r="BJ53" s="35" t="s">
        <v>166</v>
      </c>
      <c r="BK53" s="35" t="s">
        <v>166</v>
      </c>
      <c r="BL53" s="36">
        <v>98.633333333333326</v>
      </c>
      <c r="BM53" s="35" t="s">
        <v>166</v>
      </c>
      <c r="BN53" s="36">
        <v>108.83333333333333</v>
      </c>
      <c r="BO53" s="35" t="s">
        <v>166</v>
      </c>
      <c r="BP53" s="35" t="s">
        <v>166</v>
      </c>
      <c r="BQ53" s="35" t="s">
        <v>166</v>
      </c>
      <c r="BR53" s="35" t="s">
        <v>166</v>
      </c>
      <c r="BS53" s="35" t="s">
        <v>166</v>
      </c>
      <c r="BT53" s="35" t="s">
        <v>166</v>
      </c>
      <c r="BU53" s="35" t="s">
        <v>166</v>
      </c>
      <c r="BV53" s="35" t="s">
        <v>166</v>
      </c>
      <c r="BW53" s="99"/>
    </row>
    <row r="54" spans="2:75" x14ac:dyDescent="0.25">
      <c r="B54" s="38" t="s">
        <v>172</v>
      </c>
      <c r="C54" s="39">
        <v>41815</v>
      </c>
      <c r="D54" s="161"/>
      <c r="E54" s="36">
        <v>1</v>
      </c>
      <c r="F54" s="36">
        <v>0.99</v>
      </c>
      <c r="G54" s="36">
        <v>0.999</v>
      </c>
      <c r="H54" s="36">
        <v>0.997</v>
      </c>
      <c r="I54" s="36">
        <v>1</v>
      </c>
      <c r="J54" s="36">
        <v>0.99</v>
      </c>
      <c r="K54" s="36">
        <v>0.98199999999999998</v>
      </c>
      <c r="L54" s="36">
        <v>0.999</v>
      </c>
      <c r="M54" s="36">
        <v>1</v>
      </c>
      <c r="N54" s="36">
        <v>0.98799999999999999</v>
      </c>
      <c r="O54" s="36">
        <v>0.98699999999999999</v>
      </c>
      <c r="P54" s="35" t="s">
        <v>166</v>
      </c>
      <c r="Q54" s="36">
        <v>0.998</v>
      </c>
      <c r="R54" s="35" t="s">
        <v>166</v>
      </c>
      <c r="S54" s="36">
        <v>0.99399999999999999</v>
      </c>
      <c r="T54" s="35" t="s">
        <v>166</v>
      </c>
      <c r="U54" s="36">
        <v>0.98</v>
      </c>
      <c r="V54" s="36">
        <v>0.997</v>
      </c>
      <c r="W54" s="36">
        <v>0.97199999999999998</v>
      </c>
      <c r="X54" s="35" t="s">
        <v>166</v>
      </c>
      <c r="Y54" s="36">
        <v>0.999</v>
      </c>
      <c r="Z54" s="36">
        <v>1</v>
      </c>
      <c r="AA54" s="35" t="s">
        <v>166</v>
      </c>
      <c r="AB54" s="36">
        <v>0.98699999999999999</v>
      </c>
      <c r="AC54" s="36">
        <v>0.998</v>
      </c>
      <c r="AD54" s="36">
        <v>0.999</v>
      </c>
      <c r="AE54" s="35" t="s">
        <v>166</v>
      </c>
      <c r="AF54" s="36">
        <v>0.998</v>
      </c>
      <c r="AG54" s="35" t="s">
        <v>166</v>
      </c>
      <c r="AH54" s="36">
        <v>0.99</v>
      </c>
      <c r="AI54" s="35" t="s">
        <v>166</v>
      </c>
      <c r="AJ54" s="36">
        <v>1</v>
      </c>
      <c r="AK54" s="35" t="s">
        <v>166</v>
      </c>
      <c r="AL54" s="36">
        <v>0.98</v>
      </c>
      <c r="AM54" s="36">
        <v>0.99299999999999999</v>
      </c>
      <c r="AN54" s="36">
        <v>0.98899999999999999</v>
      </c>
      <c r="AO54" s="36">
        <v>0.996</v>
      </c>
      <c r="AP54" s="35" t="s">
        <v>166</v>
      </c>
      <c r="AQ54" s="35" t="s">
        <v>166</v>
      </c>
      <c r="AR54" s="35" t="s">
        <v>166</v>
      </c>
      <c r="AS54" s="35" t="s">
        <v>166</v>
      </c>
      <c r="AT54" s="36">
        <v>0.996</v>
      </c>
      <c r="AU54" s="36">
        <v>0.998</v>
      </c>
      <c r="AV54" s="35" t="s">
        <v>166</v>
      </c>
      <c r="AW54" s="35" t="s">
        <v>166</v>
      </c>
      <c r="AX54" s="35" t="s">
        <v>166</v>
      </c>
      <c r="AY54" s="36">
        <v>0.99099999999999999</v>
      </c>
      <c r="AZ54" s="35" t="s">
        <v>166</v>
      </c>
      <c r="BA54" s="35" t="s">
        <v>166</v>
      </c>
      <c r="BB54" s="35" t="s">
        <v>166</v>
      </c>
      <c r="BC54" s="35" t="s">
        <v>166</v>
      </c>
      <c r="BD54" s="36">
        <v>0.997</v>
      </c>
      <c r="BE54" s="35" t="s">
        <v>166</v>
      </c>
      <c r="BF54" s="35" t="s">
        <v>166</v>
      </c>
      <c r="BG54" s="36">
        <v>0.998</v>
      </c>
      <c r="BH54" s="36">
        <v>1</v>
      </c>
      <c r="BI54" s="36">
        <v>0.999</v>
      </c>
      <c r="BJ54" s="35" t="s">
        <v>166</v>
      </c>
      <c r="BK54" s="35" t="s">
        <v>166</v>
      </c>
      <c r="BL54" s="36">
        <v>0.999</v>
      </c>
      <c r="BM54" s="35" t="s">
        <v>166</v>
      </c>
      <c r="BN54" s="36">
        <v>0.99399999999999999</v>
      </c>
      <c r="BO54" s="35" t="s">
        <v>166</v>
      </c>
      <c r="BP54" s="35" t="s">
        <v>166</v>
      </c>
      <c r="BQ54" s="35" t="s">
        <v>166</v>
      </c>
      <c r="BR54" s="35" t="s">
        <v>166</v>
      </c>
      <c r="BS54" s="35" t="s">
        <v>166</v>
      </c>
      <c r="BT54" s="35" t="s">
        <v>166</v>
      </c>
      <c r="BU54" s="35" t="s">
        <v>166</v>
      </c>
      <c r="BV54" s="35" t="s">
        <v>166</v>
      </c>
      <c r="BW54" s="99"/>
    </row>
    <row r="55" spans="2:75" x14ac:dyDescent="0.25">
      <c r="B55" s="38" t="s">
        <v>173</v>
      </c>
      <c r="C55" s="39">
        <v>41815</v>
      </c>
      <c r="D55" s="161"/>
      <c r="E55" s="36">
        <v>81.2</v>
      </c>
      <c r="F55" s="36">
        <v>88.2</v>
      </c>
      <c r="G55" s="36">
        <v>83.3</v>
      </c>
      <c r="H55" s="36">
        <v>83.6</v>
      </c>
      <c r="I55" s="36">
        <v>82.3</v>
      </c>
      <c r="J55" s="36">
        <v>85.4</v>
      </c>
      <c r="K55" s="36">
        <v>86.2</v>
      </c>
      <c r="L55" s="36">
        <v>82.4</v>
      </c>
      <c r="M55" s="36">
        <v>80.900000000000006</v>
      </c>
      <c r="N55" s="36">
        <v>83.8</v>
      </c>
      <c r="O55" s="36">
        <v>89.5</v>
      </c>
      <c r="P55" s="35" t="s">
        <v>166</v>
      </c>
      <c r="Q55" s="36">
        <v>82.3</v>
      </c>
      <c r="R55" s="35" t="s">
        <v>166</v>
      </c>
      <c r="S55" s="36">
        <v>80.5</v>
      </c>
      <c r="T55" s="35" t="s">
        <v>166</v>
      </c>
      <c r="U55" s="36">
        <v>102.5</v>
      </c>
      <c r="V55" s="36">
        <v>119.1</v>
      </c>
      <c r="W55" s="36">
        <v>119.5</v>
      </c>
      <c r="X55" s="35" t="s">
        <v>166</v>
      </c>
      <c r="Y55" s="36">
        <v>80.3</v>
      </c>
      <c r="Z55" s="36">
        <v>80.2</v>
      </c>
      <c r="AA55" s="35" t="s">
        <v>166</v>
      </c>
      <c r="AB55" s="36">
        <v>96.5</v>
      </c>
      <c r="AC55" s="36">
        <v>85.5</v>
      </c>
      <c r="AD55" s="36">
        <v>89.1</v>
      </c>
      <c r="AE55" s="35" t="s">
        <v>166</v>
      </c>
      <c r="AF55" s="36">
        <v>84.1</v>
      </c>
      <c r="AG55" s="35" t="s">
        <v>166</v>
      </c>
      <c r="AH55" s="36">
        <v>83.4</v>
      </c>
      <c r="AI55" s="35" t="s">
        <v>166</v>
      </c>
      <c r="AJ55" s="36">
        <v>81.3</v>
      </c>
      <c r="AK55" s="35" t="s">
        <v>166</v>
      </c>
      <c r="AL55" s="36">
        <v>90.7</v>
      </c>
      <c r="AM55" s="36">
        <v>92.4</v>
      </c>
      <c r="AN55" s="36">
        <v>86.6</v>
      </c>
      <c r="AO55" s="36">
        <v>83.7</v>
      </c>
      <c r="AP55" s="35" t="s">
        <v>166</v>
      </c>
      <c r="AQ55" s="35" t="s">
        <v>166</v>
      </c>
      <c r="AR55" s="35" t="s">
        <v>166</v>
      </c>
      <c r="AS55" s="35" t="s">
        <v>166</v>
      </c>
      <c r="AT55" s="36">
        <v>87</v>
      </c>
      <c r="AU55" s="36">
        <v>86.6</v>
      </c>
      <c r="AV55" s="35" t="s">
        <v>166</v>
      </c>
      <c r="AW55" s="35" t="s">
        <v>166</v>
      </c>
      <c r="AX55" s="35" t="s">
        <v>166</v>
      </c>
      <c r="AY55" s="36">
        <v>95.7</v>
      </c>
      <c r="AZ55" s="35" t="s">
        <v>166</v>
      </c>
      <c r="BA55" s="35" t="s">
        <v>166</v>
      </c>
      <c r="BB55" s="35" t="s">
        <v>166</v>
      </c>
      <c r="BC55" s="35" t="s">
        <v>166</v>
      </c>
      <c r="BD55" s="36">
        <v>80.2</v>
      </c>
      <c r="BE55" s="35" t="s">
        <v>166</v>
      </c>
      <c r="BF55" s="35" t="s">
        <v>166</v>
      </c>
      <c r="BG55" s="36">
        <v>84.8</v>
      </c>
      <c r="BH55" s="36">
        <v>80.400000000000006</v>
      </c>
      <c r="BI55" s="36">
        <v>81.8</v>
      </c>
      <c r="BJ55" s="35" t="s">
        <v>166</v>
      </c>
      <c r="BK55" s="35" t="s">
        <v>166</v>
      </c>
      <c r="BL55" s="36">
        <v>82.1</v>
      </c>
      <c r="BM55" s="35" t="s">
        <v>166</v>
      </c>
      <c r="BN55" s="36">
        <v>92.6</v>
      </c>
      <c r="BO55" s="35" t="s">
        <v>166</v>
      </c>
      <c r="BP55" s="35" t="s">
        <v>166</v>
      </c>
      <c r="BQ55" s="35" t="s">
        <v>166</v>
      </c>
      <c r="BR55" s="35" t="s">
        <v>166</v>
      </c>
      <c r="BS55" s="35" t="s">
        <v>166</v>
      </c>
      <c r="BT55" s="35" t="s">
        <v>166</v>
      </c>
      <c r="BU55" s="35" t="s">
        <v>166</v>
      </c>
      <c r="BV55" s="35" t="s">
        <v>166</v>
      </c>
      <c r="BW55" s="99"/>
    </row>
    <row r="56" spans="2:75" x14ac:dyDescent="0.25">
      <c r="B56" s="38" t="s">
        <v>170</v>
      </c>
      <c r="C56" s="39">
        <v>41815</v>
      </c>
      <c r="D56" s="161"/>
      <c r="E56" s="36" t="s">
        <v>169</v>
      </c>
      <c r="F56" s="36" t="s">
        <v>169</v>
      </c>
      <c r="G56" s="36" t="s">
        <v>169</v>
      </c>
      <c r="H56" s="36" t="s">
        <v>169</v>
      </c>
      <c r="I56" s="36" t="s">
        <v>169</v>
      </c>
      <c r="J56" s="36" t="s">
        <v>169</v>
      </c>
      <c r="K56" s="36" t="s">
        <v>169</v>
      </c>
      <c r="L56" s="36" t="s">
        <v>169</v>
      </c>
      <c r="M56" s="36" t="s">
        <v>169</v>
      </c>
      <c r="N56" s="36" t="s">
        <v>169</v>
      </c>
      <c r="O56" s="36" t="s">
        <v>169</v>
      </c>
      <c r="P56" s="35" t="s">
        <v>166</v>
      </c>
      <c r="Q56" s="36" t="s">
        <v>169</v>
      </c>
      <c r="R56" s="35" t="s">
        <v>166</v>
      </c>
      <c r="S56" s="36" t="s">
        <v>169</v>
      </c>
      <c r="T56" s="35" t="s">
        <v>166</v>
      </c>
      <c r="U56" s="36" t="s">
        <v>169</v>
      </c>
      <c r="V56" s="36" t="s">
        <v>169</v>
      </c>
      <c r="W56" s="36" t="s">
        <v>169</v>
      </c>
      <c r="X56" s="35" t="s">
        <v>166</v>
      </c>
      <c r="Y56" s="36" t="s">
        <v>169</v>
      </c>
      <c r="Z56" s="36" t="s">
        <v>169</v>
      </c>
      <c r="AA56" s="36" t="s">
        <v>169</v>
      </c>
      <c r="AB56" s="36" t="s">
        <v>169</v>
      </c>
      <c r="AC56" s="36" t="s">
        <v>169</v>
      </c>
      <c r="AD56" s="36" t="s">
        <v>169</v>
      </c>
      <c r="AE56" s="35" t="s">
        <v>166</v>
      </c>
      <c r="AF56" s="36" t="s">
        <v>169</v>
      </c>
      <c r="AG56" s="35" t="s">
        <v>166</v>
      </c>
      <c r="AH56" s="36" t="s">
        <v>169</v>
      </c>
      <c r="AI56" s="35" t="s">
        <v>166</v>
      </c>
      <c r="AJ56" s="36" t="s">
        <v>169</v>
      </c>
      <c r="AK56" s="35" t="s">
        <v>166</v>
      </c>
      <c r="AL56" s="36" t="s">
        <v>169</v>
      </c>
      <c r="AM56" s="36" t="s">
        <v>169</v>
      </c>
      <c r="AN56" s="36" t="s">
        <v>169</v>
      </c>
      <c r="AO56" s="36" t="s">
        <v>169</v>
      </c>
      <c r="AP56" s="35" t="s">
        <v>166</v>
      </c>
      <c r="AQ56" s="35" t="s">
        <v>166</v>
      </c>
      <c r="AR56" s="35" t="s">
        <v>166</v>
      </c>
      <c r="AS56" s="35" t="s">
        <v>166</v>
      </c>
      <c r="AT56" s="36" t="s">
        <v>169</v>
      </c>
      <c r="AU56" s="36" t="s">
        <v>169</v>
      </c>
      <c r="AV56" s="35" t="s">
        <v>166</v>
      </c>
      <c r="AW56" s="35" t="s">
        <v>166</v>
      </c>
      <c r="AX56" s="35" t="s">
        <v>166</v>
      </c>
      <c r="AY56" s="36" t="s">
        <v>169</v>
      </c>
      <c r="AZ56" s="35" t="s">
        <v>166</v>
      </c>
      <c r="BA56" s="35" t="s">
        <v>166</v>
      </c>
      <c r="BB56" s="35" t="s">
        <v>166</v>
      </c>
      <c r="BC56" s="35" t="s">
        <v>166</v>
      </c>
      <c r="BD56" s="36" t="s">
        <v>169</v>
      </c>
      <c r="BE56" s="35" t="s">
        <v>166</v>
      </c>
      <c r="BF56" s="35" t="s">
        <v>166</v>
      </c>
      <c r="BG56" s="36" t="s">
        <v>169</v>
      </c>
      <c r="BH56" s="36" t="s">
        <v>169</v>
      </c>
      <c r="BI56" s="36" t="s">
        <v>169</v>
      </c>
      <c r="BJ56" s="35" t="s">
        <v>166</v>
      </c>
      <c r="BK56" s="35" t="s">
        <v>166</v>
      </c>
      <c r="BL56" s="36" t="s">
        <v>169</v>
      </c>
      <c r="BM56" s="35" t="s">
        <v>166</v>
      </c>
      <c r="BN56" s="36" t="s">
        <v>169</v>
      </c>
      <c r="BO56" s="35" t="s">
        <v>166</v>
      </c>
      <c r="BP56" s="46" t="s">
        <v>169</v>
      </c>
      <c r="BQ56" s="46" t="s">
        <v>169</v>
      </c>
      <c r="BR56" s="46" t="s">
        <v>169</v>
      </c>
      <c r="BS56" s="46" t="s">
        <v>169</v>
      </c>
      <c r="BT56" s="46" t="s">
        <v>169</v>
      </c>
      <c r="BU56" s="46" t="s">
        <v>169</v>
      </c>
      <c r="BV56" s="36" t="s">
        <v>169</v>
      </c>
      <c r="BW56" s="99"/>
    </row>
    <row r="57" spans="2:75" x14ac:dyDescent="0.25">
      <c r="B57" s="47" t="s">
        <v>198</v>
      </c>
      <c r="C57" s="79">
        <v>41815</v>
      </c>
      <c r="D57" s="161"/>
      <c r="E57" s="45" t="s">
        <v>175</v>
      </c>
      <c r="F57" s="45" t="s">
        <v>175</v>
      </c>
      <c r="G57" s="45">
        <v>14.811948211701788</v>
      </c>
      <c r="H57" s="45">
        <v>10.879383510095245</v>
      </c>
      <c r="I57" s="45">
        <v>7.0981393169762645</v>
      </c>
      <c r="J57" s="45" t="s">
        <v>175</v>
      </c>
      <c r="K57" s="45" t="s">
        <v>175</v>
      </c>
      <c r="L57" s="45" t="s">
        <v>175</v>
      </c>
      <c r="M57" s="45" t="s">
        <v>175</v>
      </c>
      <c r="N57" s="45" t="s">
        <v>175</v>
      </c>
      <c r="O57" s="45" t="s">
        <v>175</v>
      </c>
      <c r="P57" s="45" t="s">
        <v>175</v>
      </c>
      <c r="Q57" s="45" t="s">
        <v>175</v>
      </c>
      <c r="R57" s="45" t="s">
        <v>175</v>
      </c>
      <c r="S57" s="45" t="s">
        <v>175</v>
      </c>
      <c r="T57" s="45" t="s">
        <v>175</v>
      </c>
      <c r="U57" s="45" t="s">
        <v>175</v>
      </c>
      <c r="V57" s="45" t="s">
        <v>175</v>
      </c>
      <c r="W57" s="45" t="s">
        <v>175</v>
      </c>
      <c r="X57" s="45" t="s">
        <v>175</v>
      </c>
      <c r="Y57" s="45" t="s">
        <v>175</v>
      </c>
      <c r="Z57" s="45" t="s">
        <v>175</v>
      </c>
      <c r="AA57" s="45" t="s">
        <v>175</v>
      </c>
      <c r="AB57" s="45" t="s">
        <v>175</v>
      </c>
      <c r="AC57" s="45">
        <v>19.41158320474004</v>
      </c>
      <c r="AD57" s="45" t="s">
        <v>175</v>
      </c>
      <c r="AE57" s="45" t="s">
        <v>175</v>
      </c>
      <c r="AF57" s="45" t="s">
        <v>175</v>
      </c>
      <c r="AG57" s="45" t="s">
        <v>175</v>
      </c>
      <c r="AH57" s="45">
        <v>5.9089414342330082</v>
      </c>
      <c r="AI57" s="45" t="s">
        <v>175</v>
      </c>
      <c r="AJ57" s="45">
        <v>8.8864341706086556</v>
      </c>
      <c r="AK57" s="45" t="s">
        <v>175</v>
      </c>
      <c r="AL57" s="45" t="s">
        <v>175</v>
      </c>
      <c r="AM57" s="45" t="s">
        <v>175</v>
      </c>
      <c r="AN57" s="45">
        <v>46.558758445353114</v>
      </c>
      <c r="AO57" s="45" t="s">
        <v>175</v>
      </c>
      <c r="AP57" s="45" t="s">
        <v>175</v>
      </c>
      <c r="AQ57" s="45" t="s">
        <v>175</v>
      </c>
      <c r="AR57" s="45" t="s">
        <v>175</v>
      </c>
      <c r="AS57" s="45" t="s">
        <v>175</v>
      </c>
      <c r="AT57" s="45" t="s">
        <v>175</v>
      </c>
      <c r="AU57" s="45">
        <v>13.822806550044564</v>
      </c>
      <c r="AV57" s="45" t="s">
        <v>175</v>
      </c>
      <c r="AW57" s="45" t="s">
        <v>175</v>
      </c>
      <c r="AX57" s="45" t="s">
        <v>175</v>
      </c>
      <c r="AY57" s="45" t="s">
        <v>175</v>
      </c>
      <c r="AZ57" s="45" t="s">
        <v>175</v>
      </c>
      <c r="BA57" s="45" t="s">
        <v>175</v>
      </c>
      <c r="BB57" s="45" t="s">
        <v>175</v>
      </c>
      <c r="BC57" s="45" t="s">
        <v>175</v>
      </c>
      <c r="BD57" s="45">
        <v>74.655719696168333</v>
      </c>
      <c r="BE57" s="45" t="s">
        <v>175</v>
      </c>
      <c r="BF57" s="45" t="s">
        <v>175</v>
      </c>
      <c r="BG57" s="45" t="s">
        <v>175</v>
      </c>
      <c r="BH57" s="45" t="s">
        <v>175</v>
      </c>
      <c r="BI57" s="45" t="s">
        <v>175</v>
      </c>
      <c r="BJ57" s="45" t="s">
        <v>175</v>
      </c>
      <c r="BK57" s="45" t="s">
        <v>175</v>
      </c>
      <c r="BL57" s="45">
        <v>35.395863578110045</v>
      </c>
      <c r="BM57" s="45">
        <v>5.7837096900478802</v>
      </c>
      <c r="BN57" s="45">
        <v>36.180444122132265</v>
      </c>
      <c r="BO57" s="45">
        <v>1.5714754829766484</v>
      </c>
      <c r="BP57" s="45">
        <v>70.299786697996936</v>
      </c>
      <c r="BQ57" s="45" t="s">
        <v>175</v>
      </c>
      <c r="BR57" s="45" t="s">
        <v>175</v>
      </c>
      <c r="BS57" s="45" t="s">
        <v>175</v>
      </c>
      <c r="BT57" s="45" t="s">
        <v>175</v>
      </c>
      <c r="BU57" s="45" t="s">
        <v>175</v>
      </c>
      <c r="BV57" s="45" t="s">
        <v>175</v>
      </c>
      <c r="BW57" s="37"/>
    </row>
    <row r="59" spans="2:75" x14ac:dyDescent="0.25">
      <c r="B59" s="40" t="s">
        <v>163</v>
      </c>
      <c r="C59" s="44">
        <v>41871</v>
      </c>
      <c r="D59" s="161"/>
      <c r="E59" s="40" t="s">
        <v>157</v>
      </c>
      <c r="F59" s="40" t="s">
        <v>157</v>
      </c>
      <c r="G59" s="40" t="s">
        <v>157</v>
      </c>
      <c r="H59" s="40" t="s">
        <v>157</v>
      </c>
      <c r="I59" s="40" t="s">
        <v>157</v>
      </c>
      <c r="J59" s="40" t="s">
        <v>157</v>
      </c>
      <c r="K59" s="40" t="s">
        <v>157</v>
      </c>
      <c r="L59" s="40" t="s">
        <v>157</v>
      </c>
      <c r="M59" s="40" t="s">
        <v>157</v>
      </c>
      <c r="N59" s="40" t="s">
        <v>157</v>
      </c>
      <c r="O59" s="40" t="s">
        <v>157</v>
      </c>
      <c r="P59" s="40" t="s">
        <v>157</v>
      </c>
      <c r="Q59" s="40" t="s">
        <v>157</v>
      </c>
      <c r="R59" s="42" t="s">
        <v>157</v>
      </c>
      <c r="S59" s="42" t="s">
        <v>157</v>
      </c>
      <c r="T59" s="42" t="s">
        <v>157</v>
      </c>
      <c r="U59" s="42" t="s">
        <v>157</v>
      </c>
      <c r="V59" s="42" t="s">
        <v>157</v>
      </c>
      <c r="W59" s="42" t="s">
        <v>157</v>
      </c>
      <c r="X59" s="42" t="s">
        <v>157</v>
      </c>
      <c r="Y59" s="42" t="s">
        <v>157</v>
      </c>
      <c r="Z59" s="42" t="s">
        <v>157</v>
      </c>
      <c r="AA59" s="42" t="s">
        <v>157</v>
      </c>
      <c r="AB59" s="42" t="s">
        <v>157</v>
      </c>
      <c r="AC59" s="42" t="s">
        <v>157</v>
      </c>
      <c r="AD59" s="42" t="s">
        <v>157</v>
      </c>
      <c r="AE59" s="42" t="s">
        <v>157</v>
      </c>
      <c r="AF59" s="42" t="s">
        <v>157</v>
      </c>
      <c r="AG59" s="42" t="s">
        <v>157</v>
      </c>
      <c r="AH59" s="42" t="s">
        <v>157</v>
      </c>
      <c r="AI59" s="42" t="s">
        <v>157</v>
      </c>
      <c r="AJ59" s="42" t="s">
        <v>157</v>
      </c>
      <c r="AK59" s="42" t="s">
        <v>157</v>
      </c>
      <c r="AL59" s="42" t="s">
        <v>157</v>
      </c>
      <c r="AM59" s="42" t="s">
        <v>157</v>
      </c>
      <c r="AN59" s="42" t="s">
        <v>157</v>
      </c>
      <c r="AO59" s="42" t="s">
        <v>157</v>
      </c>
      <c r="AP59" s="42" t="s">
        <v>157</v>
      </c>
      <c r="AQ59" s="42" t="s">
        <v>157</v>
      </c>
      <c r="AR59" s="42" t="s">
        <v>157</v>
      </c>
      <c r="AS59" s="42" t="s">
        <v>157</v>
      </c>
      <c r="AT59" s="42" t="s">
        <v>157</v>
      </c>
      <c r="AU59" s="42" t="s">
        <v>157</v>
      </c>
      <c r="AV59" s="42" t="s">
        <v>157</v>
      </c>
      <c r="AW59" s="42" t="s">
        <v>157</v>
      </c>
      <c r="AX59" s="42" t="s">
        <v>157</v>
      </c>
      <c r="AY59" s="42" t="s">
        <v>157</v>
      </c>
      <c r="AZ59" s="42" t="s">
        <v>157</v>
      </c>
      <c r="BA59" s="42" t="s">
        <v>157</v>
      </c>
      <c r="BB59" s="42" t="s">
        <v>157</v>
      </c>
      <c r="BC59" s="42" t="s">
        <v>157</v>
      </c>
      <c r="BD59" s="42" t="s">
        <v>157</v>
      </c>
      <c r="BE59" s="42" t="s">
        <v>157</v>
      </c>
      <c r="BF59" s="42" t="s">
        <v>157</v>
      </c>
      <c r="BG59" s="42" t="s">
        <v>157</v>
      </c>
      <c r="BH59" s="42" t="s">
        <v>157</v>
      </c>
      <c r="BI59" s="42" t="s">
        <v>157</v>
      </c>
      <c r="BJ59" s="42" t="s">
        <v>157</v>
      </c>
      <c r="BK59" s="42" t="s">
        <v>157</v>
      </c>
      <c r="BL59" s="42" t="s">
        <v>157</v>
      </c>
      <c r="BM59" s="42" t="s">
        <v>157</v>
      </c>
      <c r="BN59" s="42" t="s">
        <v>157</v>
      </c>
      <c r="BO59" s="42" t="s">
        <v>157</v>
      </c>
      <c r="BP59" s="42" t="s">
        <v>157</v>
      </c>
      <c r="BQ59" s="42" t="s">
        <v>157</v>
      </c>
      <c r="BR59" s="42" t="s">
        <v>157</v>
      </c>
      <c r="BS59" s="42" t="s">
        <v>157</v>
      </c>
      <c r="BT59" s="42" t="s">
        <v>157</v>
      </c>
      <c r="BU59" s="42" t="s">
        <v>157</v>
      </c>
      <c r="BV59" s="42" t="s">
        <v>157</v>
      </c>
      <c r="BW59" s="99"/>
    </row>
    <row r="60" spans="2:75" x14ac:dyDescent="0.25">
      <c r="B60" s="43" t="s">
        <v>164</v>
      </c>
      <c r="C60" s="44">
        <v>41871</v>
      </c>
      <c r="D60" s="161"/>
      <c r="E60" s="43" t="s">
        <v>157</v>
      </c>
      <c r="F60" s="43" t="s">
        <v>157</v>
      </c>
      <c r="G60" s="43" t="s">
        <v>157</v>
      </c>
      <c r="H60" s="43" t="s">
        <v>157</v>
      </c>
      <c r="I60" s="43" t="s">
        <v>157</v>
      </c>
      <c r="J60" s="43" t="s">
        <v>157</v>
      </c>
      <c r="K60" s="43" t="s">
        <v>157</v>
      </c>
      <c r="L60" s="43" t="s">
        <v>157</v>
      </c>
      <c r="M60" s="43" t="s">
        <v>157</v>
      </c>
      <c r="N60" s="43" t="s">
        <v>157</v>
      </c>
      <c r="O60" s="43" t="s">
        <v>157</v>
      </c>
      <c r="P60" s="43" t="s">
        <v>157</v>
      </c>
      <c r="Q60" s="43" t="s">
        <v>157</v>
      </c>
      <c r="R60" s="42" t="s">
        <v>157</v>
      </c>
      <c r="S60" s="42" t="s">
        <v>157</v>
      </c>
      <c r="T60" s="42" t="s">
        <v>157</v>
      </c>
      <c r="U60" s="42" t="s">
        <v>157</v>
      </c>
      <c r="V60" s="42" t="s">
        <v>157</v>
      </c>
      <c r="W60" s="42" t="s">
        <v>157</v>
      </c>
      <c r="X60" s="42" t="s">
        <v>157</v>
      </c>
      <c r="Y60" s="42" t="s">
        <v>157</v>
      </c>
      <c r="Z60" s="42" t="s">
        <v>157</v>
      </c>
      <c r="AA60" s="42" t="s">
        <v>157</v>
      </c>
      <c r="AB60" s="42" t="s">
        <v>157</v>
      </c>
      <c r="AC60" s="42" t="s">
        <v>157</v>
      </c>
      <c r="AD60" s="42" t="s">
        <v>157</v>
      </c>
      <c r="AE60" s="42" t="s">
        <v>157</v>
      </c>
      <c r="AF60" s="42" t="s">
        <v>157</v>
      </c>
      <c r="AG60" s="42" t="s">
        <v>157</v>
      </c>
      <c r="AH60" s="42" t="s">
        <v>157</v>
      </c>
      <c r="AI60" s="42" t="s">
        <v>157</v>
      </c>
      <c r="AJ60" s="42" t="s">
        <v>157</v>
      </c>
      <c r="AK60" s="42" t="s">
        <v>157</v>
      </c>
      <c r="AL60" s="42" t="s">
        <v>157</v>
      </c>
      <c r="AM60" s="42" t="s">
        <v>157</v>
      </c>
      <c r="AN60" s="42" t="s">
        <v>157</v>
      </c>
      <c r="AO60" s="42" t="s">
        <v>157</v>
      </c>
      <c r="AP60" s="42" t="s">
        <v>157</v>
      </c>
      <c r="AQ60" s="42" t="s">
        <v>157</v>
      </c>
      <c r="AR60" s="42" t="s">
        <v>157</v>
      </c>
      <c r="AS60" s="42" t="s">
        <v>157</v>
      </c>
      <c r="AT60" s="42" t="s">
        <v>157</v>
      </c>
      <c r="AU60" s="42" t="s">
        <v>157</v>
      </c>
      <c r="AV60" s="42" t="s">
        <v>157</v>
      </c>
      <c r="AW60" s="42" t="s">
        <v>157</v>
      </c>
      <c r="AX60" s="42" t="s">
        <v>157</v>
      </c>
      <c r="AY60" s="42" t="s">
        <v>157</v>
      </c>
      <c r="AZ60" s="42" t="s">
        <v>157</v>
      </c>
      <c r="BA60" s="42" t="s">
        <v>157</v>
      </c>
      <c r="BB60" s="42" t="s">
        <v>157</v>
      </c>
      <c r="BC60" s="42" t="s">
        <v>157</v>
      </c>
      <c r="BD60" s="42" t="s">
        <v>157</v>
      </c>
      <c r="BE60" s="42" t="s">
        <v>157</v>
      </c>
      <c r="BF60" s="42" t="s">
        <v>157</v>
      </c>
      <c r="BG60" s="42" t="s">
        <v>157</v>
      </c>
      <c r="BH60" s="42" t="s">
        <v>157</v>
      </c>
      <c r="BI60" s="42" t="s">
        <v>157</v>
      </c>
      <c r="BJ60" s="42" t="s">
        <v>157</v>
      </c>
      <c r="BK60" s="42" t="s">
        <v>157</v>
      </c>
      <c r="BL60" s="42" t="s">
        <v>157</v>
      </c>
      <c r="BM60" s="42" t="s">
        <v>157</v>
      </c>
      <c r="BN60" s="42" t="s">
        <v>157</v>
      </c>
      <c r="BO60" s="42" t="s">
        <v>157</v>
      </c>
      <c r="BP60" s="42" t="s">
        <v>157</v>
      </c>
      <c r="BQ60" s="42" t="s">
        <v>157</v>
      </c>
      <c r="BR60" s="42" t="s">
        <v>157</v>
      </c>
      <c r="BS60" s="42" t="s">
        <v>157</v>
      </c>
      <c r="BT60" s="42" t="s">
        <v>157</v>
      </c>
      <c r="BU60" s="42" t="s">
        <v>157</v>
      </c>
      <c r="BV60" s="42" t="s">
        <v>157</v>
      </c>
      <c r="BW60" s="99"/>
    </row>
    <row r="61" spans="2:75" x14ac:dyDescent="0.25">
      <c r="B61" s="43" t="s">
        <v>165</v>
      </c>
      <c r="C61" s="44">
        <v>41871</v>
      </c>
      <c r="D61" s="161"/>
      <c r="E61" s="43">
        <v>90.733333333333334</v>
      </c>
      <c r="F61" s="43">
        <v>89.65000000000002</v>
      </c>
      <c r="G61" s="43">
        <v>94.983333333333334</v>
      </c>
      <c r="H61" s="43">
        <v>94.183333333333337</v>
      </c>
      <c r="I61" s="43">
        <v>90.966666666666654</v>
      </c>
      <c r="J61" s="43">
        <v>92.84999999999998</v>
      </c>
      <c r="K61" s="43">
        <v>90.383333333333326</v>
      </c>
      <c r="L61" s="43">
        <v>92.033333333333346</v>
      </c>
      <c r="M61" s="43">
        <v>91.899999999999991</v>
      </c>
      <c r="N61" s="43">
        <v>86.166666666666671</v>
      </c>
      <c r="O61" s="43">
        <v>92.45</v>
      </c>
      <c r="P61" s="43" t="s">
        <v>166</v>
      </c>
      <c r="Q61" s="43">
        <v>90.483333333333334</v>
      </c>
      <c r="R61" s="41" t="s">
        <v>166</v>
      </c>
      <c r="S61" s="42">
        <v>93.199999999999989</v>
      </c>
      <c r="T61" s="41" t="s">
        <v>166</v>
      </c>
      <c r="U61" s="42">
        <v>101.05000000000001</v>
      </c>
      <c r="V61" s="42">
        <v>105.85000000000001</v>
      </c>
      <c r="W61" s="42">
        <v>104.45</v>
      </c>
      <c r="X61" s="41" t="s">
        <v>166</v>
      </c>
      <c r="Y61" s="42">
        <v>86.033333333333317</v>
      </c>
      <c r="Z61" s="42" t="s">
        <v>171</v>
      </c>
      <c r="AA61" s="41" t="s">
        <v>166</v>
      </c>
      <c r="AB61" s="41" t="s">
        <v>166</v>
      </c>
      <c r="AC61" s="42" t="s">
        <v>171</v>
      </c>
      <c r="AD61" s="42">
        <v>81.066666666666677</v>
      </c>
      <c r="AE61" s="41" t="s">
        <v>166</v>
      </c>
      <c r="AF61" s="42">
        <v>86.933333333333337</v>
      </c>
      <c r="AG61" s="41" t="s">
        <v>166</v>
      </c>
      <c r="AH61" s="42">
        <v>81.350000000000009</v>
      </c>
      <c r="AI61" s="41" t="s">
        <v>166</v>
      </c>
      <c r="AJ61" s="42">
        <v>80.75</v>
      </c>
      <c r="AK61" s="41" t="s">
        <v>166</v>
      </c>
      <c r="AL61" s="42">
        <v>83.350000000000009</v>
      </c>
      <c r="AM61" s="42">
        <v>93.583333333333329</v>
      </c>
      <c r="AN61" s="42">
        <v>101.81666666666666</v>
      </c>
      <c r="AO61" s="42" t="s">
        <v>171</v>
      </c>
      <c r="AP61" s="41" t="s">
        <v>166</v>
      </c>
      <c r="AQ61" s="41" t="s">
        <v>166</v>
      </c>
      <c r="AR61" s="41" t="s">
        <v>166</v>
      </c>
      <c r="AS61" s="41" t="s">
        <v>166</v>
      </c>
      <c r="AT61" s="42">
        <v>69.45</v>
      </c>
      <c r="AU61" s="42">
        <v>92.8</v>
      </c>
      <c r="AV61" s="41" t="s">
        <v>166</v>
      </c>
      <c r="AW61" s="41" t="s">
        <v>166</v>
      </c>
      <c r="AX61" s="41" t="s">
        <v>166</v>
      </c>
      <c r="AY61" s="42">
        <v>89.850000000000009</v>
      </c>
      <c r="AZ61" s="41" t="s">
        <v>166</v>
      </c>
      <c r="BA61" s="41" t="s">
        <v>166</v>
      </c>
      <c r="BB61" s="41" t="s">
        <v>166</v>
      </c>
      <c r="BC61" s="41" t="s">
        <v>166</v>
      </c>
      <c r="BD61" s="42">
        <v>89.316666666666663</v>
      </c>
      <c r="BE61" s="41" t="s">
        <v>166</v>
      </c>
      <c r="BF61" s="41" t="s">
        <v>166</v>
      </c>
      <c r="BG61" s="42">
        <v>98.333333333333329</v>
      </c>
      <c r="BH61" s="42">
        <v>96.850000000000009</v>
      </c>
      <c r="BI61" s="42">
        <v>99.433333333333337</v>
      </c>
      <c r="BJ61" s="41" t="s">
        <v>166</v>
      </c>
      <c r="BK61" s="41" t="s">
        <v>166</v>
      </c>
      <c r="BL61" s="42">
        <v>89.966666666666654</v>
      </c>
      <c r="BM61" s="41" t="s">
        <v>166</v>
      </c>
      <c r="BN61" s="42">
        <v>122.36666666666666</v>
      </c>
      <c r="BO61" s="41" t="s">
        <v>166</v>
      </c>
      <c r="BP61" s="41" t="s">
        <v>166</v>
      </c>
      <c r="BQ61" s="41" t="s">
        <v>166</v>
      </c>
      <c r="BR61" s="41" t="s">
        <v>166</v>
      </c>
      <c r="BS61" s="41" t="s">
        <v>166</v>
      </c>
      <c r="BT61" s="41" t="s">
        <v>166</v>
      </c>
      <c r="BU61" s="41" t="s">
        <v>166</v>
      </c>
      <c r="BV61" s="41" t="s">
        <v>166</v>
      </c>
      <c r="BW61" s="99"/>
    </row>
    <row r="62" spans="2:75" x14ac:dyDescent="0.25">
      <c r="B62" s="43" t="s">
        <v>172</v>
      </c>
      <c r="C62" s="44">
        <v>41871</v>
      </c>
      <c r="D62" s="161"/>
      <c r="E62" s="43">
        <v>0.998</v>
      </c>
      <c r="F62" s="43">
        <v>0.997</v>
      </c>
      <c r="G62" s="43">
        <v>0.998</v>
      </c>
      <c r="H62" s="43">
        <v>0.997</v>
      </c>
      <c r="I62" s="43">
        <v>0.99399999999999999</v>
      </c>
      <c r="J62" s="43">
        <v>0.998</v>
      </c>
      <c r="K62" s="43">
        <v>0.998</v>
      </c>
      <c r="L62" s="43">
        <v>0.997</v>
      </c>
      <c r="M62" s="43">
        <v>0.998</v>
      </c>
      <c r="N62" s="43">
        <v>0.997</v>
      </c>
      <c r="O62" s="43">
        <v>0.99299999999999999</v>
      </c>
      <c r="P62" s="43" t="s">
        <v>166</v>
      </c>
      <c r="Q62" s="43">
        <v>0.99299999999999999</v>
      </c>
      <c r="R62" s="41" t="s">
        <v>166</v>
      </c>
      <c r="S62" s="42">
        <v>0.995</v>
      </c>
      <c r="T62" s="41" t="s">
        <v>166</v>
      </c>
      <c r="U62" s="42">
        <v>0.99199999999999999</v>
      </c>
      <c r="V62" s="42">
        <v>0.998</v>
      </c>
      <c r="W62" s="42">
        <v>0.998</v>
      </c>
      <c r="X62" s="41" t="s">
        <v>166</v>
      </c>
      <c r="Y62" s="42">
        <v>0.998</v>
      </c>
      <c r="Z62" s="42">
        <v>0.99299999999999999</v>
      </c>
      <c r="AA62" s="41" t="s">
        <v>166</v>
      </c>
      <c r="AB62" s="42">
        <v>0.98099999999999998</v>
      </c>
      <c r="AC62" s="42">
        <v>0.998</v>
      </c>
      <c r="AD62" s="42">
        <v>0.97399999999999998</v>
      </c>
      <c r="AE62" s="41" t="s">
        <v>166</v>
      </c>
      <c r="AF62" s="42">
        <v>0.99299999999999999</v>
      </c>
      <c r="AG62" s="41" t="s">
        <v>166</v>
      </c>
      <c r="AH62" s="42">
        <v>0.998</v>
      </c>
      <c r="AI62" s="41" t="s">
        <v>166</v>
      </c>
      <c r="AJ62" s="42">
        <v>0.998</v>
      </c>
      <c r="AK62" s="41" t="s">
        <v>166</v>
      </c>
      <c r="AL62" s="42">
        <v>0.998</v>
      </c>
      <c r="AM62" s="42">
        <v>0.99199999999999999</v>
      </c>
      <c r="AN62" s="42">
        <v>0.995</v>
      </c>
      <c r="AO62" s="42">
        <v>0.98299999999999998</v>
      </c>
      <c r="AP62" s="41" t="s">
        <v>166</v>
      </c>
      <c r="AQ62" s="41" t="s">
        <v>166</v>
      </c>
      <c r="AR62" s="41" t="s">
        <v>166</v>
      </c>
      <c r="AS62" s="41" t="s">
        <v>166</v>
      </c>
      <c r="AT62" s="42">
        <v>0.995</v>
      </c>
      <c r="AU62" s="42">
        <v>0.98</v>
      </c>
      <c r="AV62" s="41" t="s">
        <v>166</v>
      </c>
      <c r="AW62" s="41" t="s">
        <v>166</v>
      </c>
      <c r="AX62" s="41" t="s">
        <v>166</v>
      </c>
      <c r="AY62" s="42">
        <v>0.999</v>
      </c>
      <c r="AZ62" s="41" t="s">
        <v>166</v>
      </c>
      <c r="BA62" s="41" t="s">
        <v>166</v>
      </c>
      <c r="BB62" s="41" t="s">
        <v>166</v>
      </c>
      <c r="BC62" s="41" t="s">
        <v>166</v>
      </c>
      <c r="BD62" s="42">
        <v>0.998</v>
      </c>
      <c r="BE62" s="41" t="s">
        <v>166</v>
      </c>
      <c r="BF62" s="41" t="s">
        <v>166</v>
      </c>
      <c r="BG62" s="42">
        <v>0.99099999999999999</v>
      </c>
      <c r="BH62" s="42">
        <v>0.99199999999999999</v>
      </c>
      <c r="BI62" s="42">
        <v>0.99</v>
      </c>
      <c r="BJ62" s="41" t="s">
        <v>166</v>
      </c>
      <c r="BK62" s="41" t="s">
        <v>166</v>
      </c>
      <c r="BL62" s="42">
        <v>0.996</v>
      </c>
      <c r="BM62" s="41" t="s">
        <v>166</v>
      </c>
      <c r="BN62" s="42">
        <v>0.98599999999999999</v>
      </c>
      <c r="BO62" s="41" t="s">
        <v>166</v>
      </c>
      <c r="BP62" s="41" t="s">
        <v>166</v>
      </c>
      <c r="BQ62" s="41" t="s">
        <v>166</v>
      </c>
      <c r="BR62" s="41" t="s">
        <v>166</v>
      </c>
      <c r="BS62" s="41" t="s">
        <v>166</v>
      </c>
      <c r="BT62" s="41" t="s">
        <v>166</v>
      </c>
      <c r="BU62" s="41" t="s">
        <v>166</v>
      </c>
      <c r="BV62" s="41" t="s">
        <v>166</v>
      </c>
      <c r="BW62" s="99"/>
    </row>
    <row r="63" spans="2:75" x14ac:dyDescent="0.25">
      <c r="B63" s="43" t="s">
        <v>173</v>
      </c>
      <c r="C63" s="44">
        <v>41871</v>
      </c>
      <c r="D63" s="161"/>
      <c r="E63" s="43">
        <v>86.8</v>
      </c>
      <c r="F63" s="43">
        <v>92.5</v>
      </c>
      <c r="G63" s="43">
        <v>91</v>
      </c>
      <c r="H63" s="43">
        <v>88.7</v>
      </c>
      <c r="I63" s="43">
        <v>86.7</v>
      </c>
      <c r="J63" s="43">
        <v>93.8</v>
      </c>
      <c r="K63" s="43">
        <v>86.8</v>
      </c>
      <c r="L63" s="43">
        <v>89.4</v>
      </c>
      <c r="M63" s="43">
        <v>87</v>
      </c>
      <c r="N63" s="43">
        <v>85.9</v>
      </c>
      <c r="O63" s="43">
        <v>95.1</v>
      </c>
      <c r="P63" s="43" t="s">
        <v>166</v>
      </c>
      <c r="Q63" s="43">
        <v>93.1</v>
      </c>
      <c r="R63" s="41" t="s">
        <v>166</v>
      </c>
      <c r="S63" s="42">
        <v>98</v>
      </c>
      <c r="T63" s="41" t="s">
        <v>166</v>
      </c>
      <c r="U63" s="42">
        <v>118.3</v>
      </c>
      <c r="V63" s="42">
        <v>104.3</v>
      </c>
      <c r="W63" s="42">
        <v>82.2</v>
      </c>
      <c r="X63" s="41" t="s">
        <v>166</v>
      </c>
      <c r="Y63" s="42">
        <v>85.8</v>
      </c>
      <c r="Z63" s="42">
        <v>88.1</v>
      </c>
      <c r="AA63" s="41" t="s">
        <v>166</v>
      </c>
      <c r="AB63" s="42">
        <v>114.6</v>
      </c>
      <c r="AC63" s="42">
        <v>91.3</v>
      </c>
      <c r="AD63" s="42">
        <v>80.7</v>
      </c>
      <c r="AE63" s="41" t="s">
        <v>166</v>
      </c>
      <c r="AF63" s="42">
        <v>89.3</v>
      </c>
      <c r="AG63" s="41" t="s">
        <v>166</v>
      </c>
      <c r="AH63" s="42">
        <v>85.8</v>
      </c>
      <c r="AI63" s="41" t="s">
        <v>166</v>
      </c>
      <c r="AJ63" s="42">
        <v>86.4</v>
      </c>
      <c r="AK63" s="41" t="s">
        <v>166</v>
      </c>
      <c r="AL63" s="42">
        <v>83.3</v>
      </c>
      <c r="AM63" s="42">
        <v>90.7</v>
      </c>
      <c r="AN63" s="42">
        <v>104.2</v>
      </c>
      <c r="AO63" s="42">
        <v>87.5</v>
      </c>
      <c r="AP63" s="41" t="s">
        <v>166</v>
      </c>
      <c r="AQ63" s="41" t="s">
        <v>166</v>
      </c>
      <c r="AR63" s="41" t="s">
        <v>166</v>
      </c>
      <c r="AS63" s="41" t="s">
        <v>166</v>
      </c>
      <c r="AT63" s="42">
        <v>109.3</v>
      </c>
      <c r="AU63" s="42">
        <v>88.1</v>
      </c>
      <c r="AV63" s="41" t="s">
        <v>166</v>
      </c>
      <c r="AW63" s="41" t="s">
        <v>166</v>
      </c>
      <c r="AX63" s="41" t="s">
        <v>166</v>
      </c>
      <c r="AY63" s="42">
        <v>87.1</v>
      </c>
      <c r="AZ63" s="41" t="s">
        <v>166</v>
      </c>
      <c r="BA63" s="41" t="s">
        <v>166</v>
      </c>
      <c r="BB63" s="41" t="s">
        <v>166</v>
      </c>
      <c r="BC63" s="41" t="s">
        <v>166</v>
      </c>
      <c r="BD63" s="42">
        <v>83.7</v>
      </c>
      <c r="BE63" s="41" t="s">
        <v>166</v>
      </c>
      <c r="BF63" s="41" t="s">
        <v>166</v>
      </c>
      <c r="BG63" s="42">
        <v>83.4</v>
      </c>
      <c r="BH63" s="42">
        <v>82.3</v>
      </c>
      <c r="BI63" s="42">
        <v>83.9</v>
      </c>
      <c r="BJ63" s="41" t="s">
        <v>166</v>
      </c>
      <c r="BK63" s="41" t="s">
        <v>166</v>
      </c>
      <c r="BL63" s="42">
        <v>89.5</v>
      </c>
      <c r="BM63" s="41" t="s">
        <v>166</v>
      </c>
      <c r="BN63" s="42">
        <v>98.6</v>
      </c>
      <c r="BO63" s="41" t="s">
        <v>166</v>
      </c>
      <c r="BP63" s="41" t="s">
        <v>166</v>
      </c>
      <c r="BQ63" s="41" t="s">
        <v>166</v>
      </c>
      <c r="BR63" s="41" t="s">
        <v>166</v>
      </c>
      <c r="BS63" s="41" t="s">
        <v>166</v>
      </c>
      <c r="BT63" s="41" t="s">
        <v>166</v>
      </c>
      <c r="BU63" s="41" t="s">
        <v>166</v>
      </c>
      <c r="BV63" s="41" t="s">
        <v>166</v>
      </c>
      <c r="BW63" s="99"/>
    </row>
    <row r="64" spans="2:75" x14ac:dyDescent="0.25">
      <c r="B64" s="43" t="s">
        <v>170</v>
      </c>
      <c r="C64" s="44">
        <v>41871</v>
      </c>
      <c r="D64" s="161"/>
      <c r="E64" s="43" t="s">
        <v>169</v>
      </c>
      <c r="F64" s="43" t="s">
        <v>169</v>
      </c>
      <c r="G64" s="43" t="s">
        <v>169</v>
      </c>
      <c r="H64" s="43" t="s">
        <v>169</v>
      </c>
      <c r="I64" s="43" t="s">
        <v>169</v>
      </c>
      <c r="J64" s="43" t="s">
        <v>169</v>
      </c>
      <c r="K64" s="43" t="s">
        <v>169</v>
      </c>
      <c r="L64" s="43" t="s">
        <v>169</v>
      </c>
      <c r="M64" s="43" t="s">
        <v>169</v>
      </c>
      <c r="N64" s="43" t="s">
        <v>169</v>
      </c>
      <c r="O64" s="43" t="s">
        <v>169</v>
      </c>
      <c r="P64" s="43" t="s">
        <v>166</v>
      </c>
      <c r="Q64" s="43" t="s">
        <v>169</v>
      </c>
      <c r="R64" s="41" t="s">
        <v>166</v>
      </c>
      <c r="S64" s="42" t="s">
        <v>169</v>
      </c>
      <c r="T64" s="41" t="s">
        <v>166</v>
      </c>
      <c r="U64" s="42" t="s">
        <v>169</v>
      </c>
      <c r="V64" s="42" t="s">
        <v>169</v>
      </c>
      <c r="W64" s="42" t="s">
        <v>169</v>
      </c>
      <c r="X64" s="41" t="s">
        <v>166</v>
      </c>
      <c r="Y64" s="42" t="s">
        <v>169</v>
      </c>
      <c r="Z64" s="42" t="s">
        <v>169</v>
      </c>
      <c r="AA64" s="42" t="s">
        <v>169</v>
      </c>
      <c r="AB64" s="42" t="s">
        <v>169</v>
      </c>
      <c r="AC64" s="42" t="s">
        <v>169</v>
      </c>
      <c r="AD64" s="42" t="s">
        <v>169</v>
      </c>
      <c r="AE64" s="41" t="s">
        <v>166</v>
      </c>
      <c r="AF64" s="42" t="s">
        <v>169</v>
      </c>
      <c r="AG64" s="41" t="s">
        <v>166</v>
      </c>
      <c r="AH64" s="42" t="s">
        <v>169</v>
      </c>
      <c r="AI64" s="41" t="s">
        <v>166</v>
      </c>
      <c r="AJ64" s="42" t="s">
        <v>169</v>
      </c>
      <c r="AK64" s="41" t="s">
        <v>166</v>
      </c>
      <c r="AL64" s="42" t="s">
        <v>169</v>
      </c>
      <c r="AM64" s="42" t="s">
        <v>169</v>
      </c>
      <c r="AN64" s="42" t="s">
        <v>169</v>
      </c>
      <c r="AO64" s="42" t="s">
        <v>169</v>
      </c>
      <c r="AP64" s="41" t="s">
        <v>166</v>
      </c>
      <c r="AQ64" s="41" t="s">
        <v>166</v>
      </c>
      <c r="AR64" s="41" t="s">
        <v>166</v>
      </c>
      <c r="AS64" s="41" t="s">
        <v>166</v>
      </c>
      <c r="AT64" s="42" t="s">
        <v>169</v>
      </c>
      <c r="AU64" s="42" t="s">
        <v>169</v>
      </c>
      <c r="AV64" s="41" t="s">
        <v>166</v>
      </c>
      <c r="AW64" s="41" t="s">
        <v>166</v>
      </c>
      <c r="AX64" s="41" t="s">
        <v>166</v>
      </c>
      <c r="AY64" s="42" t="s">
        <v>169</v>
      </c>
      <c r="AZ64" s="41" t="s">
        <v>166</v>
      </c>
      <c r="BA64" s="41" t="s">
        <v>166</v>
      </c>
      <c r="BB64" s="41" t="s">
        <v>166</v>
      </c>
      <c r="BC64" s="41" t="s">
        <v>166</v>
      </c>
      <c r="BD64" s="42" t="s">
        <v>169</v>
      </c>
      <c r="BE64" s="41" t="s">
        <v>166</v>
      </c>
      <c r="BF64" s="41" t="s">
        <v>166</v>
      </c>
      <c r="BG64" s="42" t="s">
        <v>169</v>
      </c>
      <c r="BH64" s="42" t="s">
        <v>169</v>
      </c>
      <c r="BI64" s="42" t="s">
        <v>169</v>
      </c>
      <c r="BJ64" s="41" t="s">
        <v>166</v>
      </c>
      <c r="BK64" s="41" t="s">
        <v>166</v>
      </c>
      <c r="BL64" s="42" t="s">
        <v>169</v>
      </c>
      <c r="BM64" s="41" t="s">
        <v>166</v>
      </c>
      <c r="BN64" s="42" t="s">
        <v>169</v>
      </c>
      <c r="BO64" s="41" t="s">
        <v>166</v>
      </c>
      <c r="BP64" s="46" t="s">
        <v>169</v>
      </c>
      <c r="BQ64" s="46" t="s">
        <v>169</v>
      </c>
      <c r="BR64" s="46" t="s">
        <v>169</v>
      </c>
      <c r="BS64" s="46" t="s">
        <v>169</v>
      </c>
      <c r="BT64" s="46" t="s">
        <v>169</v>
      </c>
      <c r="BU64" s="46" t="s">
        <v>169</v>
      </c>
      <c r="BV64" s="42" t="s">
        <v>169</v>
      </c>
      <c r="BW64" s="99"/>
    </row>
    <row r="65" spans="2:74" x14ac:dyDescent="0.25">
      <c r="B65" s="141" t="s">
        <v>199</v>
      </c>
      <c r="C65" s="142">
        <v>41871</v>
      </c>
      <c r="D65" s="161"/>
      <c r="E65" s="140">
        <v>7.464555779517358</v>
      </c>
      <c r="F65" s="140">
        <v>10.113615152317399</v>
      </c>
      <c r="G65" s="140">
        <v>8.8375687164064143</v>
      </c>
      <c r="H65" s="140">
        <v>6.7081766515529333</v>
      </c>
      <c r="I65" s="140">
        <v>6.3821486154704203</v>
      </c>
      <c r="J65" s="140">
        <v>11.905906318717932</v>
      </c>
      <c r="K65" s="140">
        <v>3.8948942425553521</v>
      </c>
      <c r="L65" s="140">
        <v>6.1441404971019313</v>
      </c>
      <c r="M65" s="140">
        <v>6.4817638956093191</v>
      </c>
      <c r="N65" s="140">
        <v>7.370146254822596</v>
      </c>
      <c r="O65" s="140">
        <v>7.8730032789956317</v>
      </c>
      <c r="P65" s="140" t="s">
        <v>175</v>
      </c>
      <c r="Q65" s="140">
        <v>11.507568485598103</v>
      </c>
      <c r="R65" s="140" t="s">
        <v>175</v>
      </c>
      <c r="S65" s="140" t="s">
        <v>175</v>
      </c>
      <c r="T65" s="140" t="s">
        <v>175</v>
      </c>
      <c r="U65" s="140" t="s">
        <v>175</v>
      </c>
      <c r="V65" s="140">
        <v>10.610722322977681</v>
      </c>
      <c r="W65" s="140">
        <v>19.62297094038281</v>
      </c>
      <c r="X65" s="140" t="s">
        <v>175</v>
      </c>
      <c r="Y65" s="140" t="s">
        <v>175</v>
      </c>
      <c r="Z65" s="140">
        <v>9.3373369666269639</v>
      </c>
      <c r="AA65" s="140">
        <v>7.854475951893912</v>
      </c>
      <c r="AB65" s="140" t="s">
        <v>175</v>
      </c>
      <c r="AC65" s="140" t="s">
        <v>175</v>
      </c>
      <c r="AD65" s="140" t="s">
        <v>175</v>
      </c>
      <c r="AE65" s="140" t="s">
        <v>175</v>
      </c>
      <c r="AF65" s="140" t="s">
        <v>175</v>
      </c>
      <c r="AG65" s="140" t="s">
        <v>175</v>
      </c>
      <c r="AH65" s="140" t="s">
        <v>175</v>
      </c>
      <c r="AI65" s="140" t="s">
        <v>175</v>
      </c>
      <c r="AJ65" s="140">
        <v>21.023336150897201</v>
      </c>
      <c r="AK65" s="140" t="s">
        <v>175</v>
      </c>
      <c r="AL65" s="140">
        <v>10.680190114922997</v>
      </c>
      <c r="AM65" s="140" t="s">
        <v>175</v>
      </c>
      <c r="AN65" s="140" t="s">
        <v>175</v>
      </c>
      <c r="AO65" s="140" t="s">
        <v>175</v>
      </c>
      <c r="AP65" s="140" t="s">
        <v>175</v>
      </c>
      <c r="AQ65" s="140" t="s">
        <v>175</v>
      </c>
      <c r="AR65" s="140" t="s">
        <v>175</v>
      </c>
      <c r="AS65" s="140" t="s">
        <v>175</v>
      </c>
      <c r="AT65" s="140" t="s">
        <v>175</v>
      </c>
      <c r="AU65" s="140" t="s">
        <v>175</v>
      </c>
      <c r="AV65" s="140" t="s">
        <v>175</v>
      </c>
      <c r="AW65" s="140" t="s">
        <v>175</v>
      </c>
      <c r="AX65" s="140" t="s">
        <v>175</v>
      </c>
      <c r="AY65" s="140" t="s">
        <v>175</v>
      </c>
      <c r="AZ65" s="140" t="s">
        <v>175</v>
      </c>
      <c r="BA65" s="140" t="s">
        <v>175</v>
      </c>
      <c r="BB65" s="140" t="s">
        <v>175</v>
      </c>
      <c r="BC65" s="140" t="s">
        <v>175</v>
      </c>
      <c r="BD65" s="140" t="s">
        <v>175</v>
      </c>
      <c r="BE65" s="140" t="s">
        <v>175</v>
      </c>
      <c r="BF65" s="140" t="s">
        <v>175</v>
      </c>
      <c r="BG65" s="140" t="s">
        <v>175</v>
      </c>
      <c r="BH65" s="140" t="s">
        <v>175</v>
      </c>
      <c r="BI65" s="140" t="s">
        <v>175</v>
      </c>
      <c r="BJ65" s="140" t="s">
        <v>175</v>
      </c>
      <c r="BK65" s="140" t="s">
        <v>175</v>
      </c>
      <c r="BL65" s="140" t="s">
        <v>175</v>
      </c>
      <c r="BM65" s="140" t="s">
        <v>175</v>
      </c>
      <c r="BN65" s="140" t="s">
        <v>175</v>
      </c>
      <c r="BO65" s="140" t="s">
        <v>175</v>
      </c>
      <c r="BP65" s="140" t="s">
        <v>175</v>
      </c>
      <c r="BQ65" s="140" t="s">
        <v>175</v>
      </c>
      <c r="BR65" s="140" t="s">
        <v>175</v>
      </c>
      <c r="BS65" s="140" t="s">
        <v>175</v>
      </c>
      <c r="BT65" s="140" t="s">
        <v>175</v>
      </c>
      <c r="BU65" s="140" t="s">
        <v>175</v>
      </c>
      <c r="BV65" s="140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39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9" sqref="D9"/>
    </sheetView>
  </sheetViews>
  <sheetFormatPr defaultRowHeight="15" x14ac:dyDescent="0.25"/>
  <cols>
    <col min="1" max="1" width="13.7109375" customWidth="1"/>
    <col min="2" max="2" width="27.85546875" style="58" customWidth="1"/>
    <col min="3" max="3" width="26.42578125" style="58" customWidth="1"/>
    <col min="4" max="4" width="26.42578125" style="136" customWidth="1"/>
    <col min="5" max="74" width="9.140625" style="58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3" t="s">
        <v>3</v>
      </c>
      <c r="B1" s="4" t="s">
        <v>152</v>
      </c>
      <c r="C1" s="5" t="s">
        <v>155</v>
      </c>
      <c r="D1" s="5"/>
      <c r="E1" s="6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/>
    </row>
    <row r="2" spans="1:74" x14ac:dyDescent="0.25">
      <c r="A2" s="3" t="s">
        <v>5</v>
      </c>
      <c r="B2" s="7">
        <v>41291</v>
      </c>
      <c r="C2" s="8"/>
      <c r="D2" s="8"/>
      <c r="E2" s="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/>
    </row>
    <row r="3" spans="1:74" ht="28.5" customHeight="1" x14ac:dyDescent="0.25">
      <c r="A3" s="3" t="s">
        <v>6</v>
      </c>
      <c r="B3" s="10" t="s">
        <v>7</v>
      </c>
      <c r="C3" s="1" t="s">
        <v>8</v>
      </c>
      <c r="D3" s="1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/>
    </row>
    <row r="4" spans="1:74" x14ac:dyDescent="0.25">
      <c r="A4" s="3" t="s">
        <v>9</v>
      </c>
      <c r="B4" s="11" t="s">
        <v>10</v>
      </c>
      <c r="C4" s="1" t="s">
        <v>11</v>
      </c>
      <c r="D4" s="12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/>
    </row>
    <row r="5" spans="1:74" ht="15" customHeight="1" x14ac:dyDescent="0.25">
      <c r="A5" s="3" t="s">
        <v>12</v>
      </c>
      <c r="B5" s="11" t="s">
        <v>13</v>
      </c>
      <c r="C5" s="17" t="s">
        <v>14</v>
      </c>
      <c r="D5" s="110"/>
      <c r="E5" s="1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/>
    </row>
    <row r="6" spans="1:74" x14ac:dyDescent="0.25">
      <c r="A6" s="1" t="s">
        <v>150</v>
      </c>
      <c r="B6" s="19"/>
      <c r="C6" s="19"/>
      <c r="D6" s="1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s="1"/>
      <c r="B7" s="1"/>
      <c r="C7" s="1"/>
      <c r="D7" s="124"/>
      <c r="E7" s="1" t="s">
        <v>15</v>
      </c>
      <c r="F7" s="14" t="s">
        <v>16</v>
      </c>
      <c r="G7" s="14" t="s">
        <v>17</v>
      </c>
      <c r="H7" s="1" t="s">
        <v>18</v>
      </c>
      <c r="I7" s="1" t="s">
        <v>19</v>
      </c>
      <c r="J7" s="1" t="s">
        <v>20</v>
      </c>
      <c r="K7" s="1" t="s">
        <v>21</v>
      </c>
      <c r="L7" s="1" t="s">
        <v>22</v>
      </c>
      <c r="M7" s="1" t="s">
        <v>23</v>
      </c>
      <c r="N7" s="1" t="s">
        <v>24</v>
      </c>
      <c r="O7" s="1" t="s">
        <v>25</v>
      </c>
      <c r="P7" s="1" t="s">
        <v>26</v>
      </c>
      <c r="Q7" s="1" t="s">
        <v>27</v>
      </c>
      <c r="R7" s="1" t="s">
        <v>28</v>
      </c>
      <c r="S7" s="1" t="s">
        <v>29</v>
      </c>
      <c r="T7" s="1" t="s">
        <v>30</v>
      </c>
      <c r="U7" s="1" t="s">
        <v>31</v>
      </c>
      <c r="V7" s="1" t="s">
        <v>32</v>
      </c>
      <c r="W7" s="1" t="s">
        <v>33</v>
      </c>
      <c r="X7" s="1" t="s">
        <v>34</v>
      </c>
      <c r="Y7" s="1" t="s">
        <v>35</v>
      </c>
      <c r="Z7" s="1" t="s">
        <v>36</v>
      </c>
      <c r="AA7" s="1" t="s">
        <v>37</v>
      </c>
      <c r="AB7" s="1" t="s">
        <v>38</v>
      </c>
      <c r="AC7" s="1" t="s">
        <v>39</v>
      </c>
      <c r="AD7" s="1" t="s">
        <v>40</v>
      </c>
      <c r="AE7" s="1" t="s">
        <v>41</v>
      </c>
      <c r="AF7" s="1" t="s">
        <v>42</v>
      </c>
      <c r="AG7" s="1" t="s">
        <v>43</v>
      </c>
      <c r="AH7" s="1" t="s">
        <v>44</v>
      </c>
      <c r="AI7" s="1" t="s">
        <v>45</v>
      </c>
      <c r="AJ7" s="1" t="s">
        <v>46</v>
      </c>
      <c r="AK7" s="1" t="s">
        <v>47</v>
      </c>
      <c r="AL7" s="1" t="s">
        <v>48</v>
      </c>
      <c r="AM7" s="124" t="s">
        <v>190</v>
      </c>
      <c r="AN7" s="124" t="s">
        <v>191</v>
      </c>
      <c r="AO7" s="124" t="s">
        <v>192</v>
      </c>
      <c r="AP7" s="124" t="s">
        <v>49</v>
      </c>
      <c r="AQ7" s="124" t="s">
        <v>50</v>
      </c>
      <c r="AR7" s="124" t="s">
        <v>51</v>
      </c>
      <c r="AS7" s="124" t="s">
        <v>52</v>
      </c>
      <c r="AT7" s="124" t="s">
        <v>53</v>
      </c>
      <c r="AU7" s="124" t="s">
        <v>54</v>
      </c>
      <c r="AV7" s="124" t="s">
        <v>55</v>
      </c>
      <c r="AW7" s="124" t="s">
        <v>56</v>
      </c>
      <c r="AX7" s="124" t="s">
        <v>57</v>
      </c>
      <c r="AY7" s="124" t="s">
        <v>58</v>
      </c>
      <c r="AZ7" s="124" t="s">
        <v>59</v>
      </c>
      <c r="BA7" s="124" t="s">
        <v>60</v>
      </c>
      <c r="BB7" s="124" t="s">
        <v>61</v>
      </c>
      <c r="BC7" s="124" t="s">
        <v>62</v>
      </c>
      <c r="BD7" s="124" t="s">
        <v>63</v>
      </c>
      <c r="BE7" s="124" t="s">
        <v>193</v>
      </c>
      <c r="BF7" s="124" t="s">
        <v>194</v>
      </c>
      <c r="BG7" s="124" t="s">
        <v>195</v>
      </c>
      <c r="BH7" s="124" t="s">
        <v>196</v>
      </c>
      <c r="BI7" s="124" t="s">
        <v>197</v>
      </c>
      <c r="BJ7" s="1" t="s">
        <v>64</v>
      </c>
      <c r="BK7" s="1" t="s">
        <v>65</v>
      </c>
      <c r="BL7" s="1" t="s">
        <v>66</v>
      </c>
      <c r="BM7" s="1" t="s">
        <v>67</v>
      </c>
      <c r="BN7" s="1" t="s">
        <v>68</v>
      </c>
      <c r="BO7" s="1" t="s">
        <v>69</v>
      </c>
      <c r="BP7" s="1" t="s">
        <v>70</v>
      </c>
      <c r="BQ7" s="1" t="s">
        <v>71</v>
      </c>
      <c r="BR7" s="1" t="s">
        <v>72</v>
      </c>
      <c r="BS7" s="1" t="s">
        <v>73</v>
      </c>
      <c r="BT7" s="1" t="s">
        <v>74</v>
      </c>
      <c r="BU7" s="1" t="s">
        <v>75</v>
      </c>
      <c r="BV7" s="1" t="s">
        <v>76</v>
      </c>
    </row>
    <row r="8" spans="1:74" s="13" customFormat="1" x14ac:dyDescent="0.25">
      <c r="A8" s="8" t="s">
        <v>77</v>
      </c>
      <c r="B8" s="16" t="s">
        <v>1</v>
      </c>
      <c r="C8" s="8" t="s">
        <v>148</v>
      </c>
      <c r="D8" s="8" t="s">
        <v>2</v>
      </c>
      <c r="E8" s="8" t="s">
        <v>78</v>
      </c>
      <c r="F8" s="15" t="s">
        <v>79</v>
      </c>
      <c r="G8" s="8" t="s">
        <v>80</v>
      </c>
      <c r="H8" s="8" t="s">
        <v>81</v>
      </c>
      <c r="I8" s="8" t="s">
        <v>82</v>
      </c>
      <c r="J8" s="8" t="s">
        <v>83</v>
      </c>
      <c r="K8" s="8" t="s">
        <v>84</v>
      </c>
      <c r="L8" s="8" t="s">
        <v>85</v>
      </c>
      <c r="M8" s="8" t="s">
        <v>86</v>
      </c>
      <c r="N8" s="8" t="s">
        <v>87</v>
      </c>
      <c r="O8" s="8" t="s">
        <v>88</v>
      </c>
      <c r="P8" s="8" t="s">
        <v>89</v>
      </c>
      <c r="Q8" s="8" t="s">
        <v>90</v>
      </c>
      <c r="R8" s="8" t="s">
        <v>91</v>
      </c>
      <c r="S8" s="8" t="s">
        <v>92</v>
      </c>
      <c r="T8" s="8" t="s">
        <v>93</v>
      </c>
      <c r="U8" s="8" t="s">
        <v>94</v>
      </c>
      <c r="V8" s="8" t="s">
        <v>95</v>
      </c>
      <c r="W8" s="8" t="s">
        <v>96</v>
      </c>
      <c r="X8" s="8" t="s">
        <v>97</v>
      </c>
      <c r="Y8" s="8" t="s">
        <v>98</v>
      </c>
      <c r="Z8" s="8" t="s">
        <v>99</v>
      </c>
      <c r="AA8" s="8" t="s">
        <v>100</v>
      </c>
      <c r="AB8" s="8" t="s">
        <v>101</v>
      </c>
      <c r="AC8" s="8" t="s">
        <v>102</v>
      </c>
      <c r="AD8" s="8" t="s">
        <v>103</v>
      </c>
      <c r="AE8" s="8" t="s">
        <v>104</v>
      </c>
      <c r="AF8" s="8" t="s">
        <v>105</v>
      </c>
      <c r="AG8" s="8" t="s">
        <v>106</v>
      </c>
      <c r="AH8" s="8" t="s">
        <v>107</v>
      </c>
      <c r="AI8" s="8" t="s">
        <v>108</v>
      </c>
      <c r="AJ8" s="8" t="s">
        <v>109</v>
      </c>
      <c r="AK8" s="8" t="s">
        <v>110</v>
      </c>
      <c r="AL8" s="8" t="s">
        <v>111</v>
      </c>
      <c r="AM8" s="8" t="s">
        <v>112</v>
      </c>
      <c r="AN8" s="8" t="s">
        <v>113</v>
      </c>
      <c r="AO8" s="8" t="s">
        <v>114</v>
      </c>
      <c r="AP8" s="8" t="s">
        <v>115</v>
      </c>
      <c r="AQ8" s="8" t="s">
        <v>116</v>
      </c>
      <c r="AR8" s="8" t="s">
        <v>117</v>
      </c>
      <c r="AS8" s="8" t="s">
        <v>118</v>
      </c>
      <c r="AT8" s="8" t="s">
        <v>119</v>
      </c>
      <c r="AU8" s="8" t="s">
        <v>120</v>
      </c>
      <c r="AV8" s="8" t="s">
        <v>121</v>
      </c>
      <c r="AW8" s="8" t="s">
        <v>122</v>
      </c>
      <c r="AX8" s="8" t="s">
        <v>123</v>
      </c>
      <c r="AY8" s="8" t="s">
        <v>124</v>
      </c>
      <c r="AZ8" s="8" t="s">
        <v>125</v>
      </c>
      <c r="BA8" s="8" t="s">
        <v>126</v>
      </c>
      <c r="BB8" s="8" t="s">
        <v>127</v>
      </c>
      <c r="BC8" s="8" t="s">
        <v>128</v>
      </c>
      <c r="BD8" s="8" t="s">
        <v>129</v>
      </c>
      <c r="BE8" s="8" t="s">
        <v>130</v>
      </c>
      <c r="BF8" s="8" t="s">
        <v>131</v>
      </c>
      <c r="BG8" s="8" t="s">
        <v>132</v>
      </c>
      <c r="BH8" s="8" t="s">
        <v>133</v>
      </c>
      <c r="BI8" s="8" t="s">
        <v>134</v>
      </c>
      <c r="BJ8" s="8" t="s">
        <v>135</v>
      </c>
      <c r="BK8" s="8" t="s">
        <v>136</v>
      </c>
      <c r="BL8" s="8" t="s">
        <v>137</v>
      </c>
      <c r="BM8" s="8" t="s">
        <v>138</v>
      </c>
      <c r="BN8" s="8" t="s">
        <v>139</v>
      </c>
      <c r="BO8" s="8" t="s">
        <v>140</v>
      </c>
      <c r="BP8" s="8" t="s">
        <v>141</v>
      </c>
      <c r="BQ8" s="8" t="s">
        <v>142</v>
      </c>
      <c r="BR8" s="8" t="s">
        <v>143</v>
      </c>
      <c r="BS8" s="8" t="s">
        <v>144</v>
      </c>
      <c r="BT8" s="8" t="s">
        <v>145</v>
      </c>
      <c r="BU8" s="8" t="s">
        <v>146</v>
      </c>
      <c r="BV8" s="8" t="s">
        <v>147</v>
      </c>
    </row>
    <row r="9" spans="1:74" s="18" customFormat="1" x14ac:dyDescent="0.25">
      <c r="A9" s="20">
        <v>41291</v>
      </c>
      <c r="B9" s="14">
        <f>A9-$B$2</f>
        <v>0</v>
      </c>
      <c r="C9" s="56" t="s">
        <v>177</v>
      </c>
      <c r="D9" s="135">
        <v>1</v>
      </c>
      <c r="E9" s="53">
        <v>29.403599999999997</v>
      </c>
      <c r="F9" s="53">
        <v>13.327999999999999</v>
      </c>
      <c r="G9" s="53">
        <v>39.300799999999995</v>
      </c>
      <c r="H9" s="53">
        <v>50.924800000000005</v>
      </c>
      <c r="I9" s="53">
        <v>87.140200000000007</v>
      </c>
      <c r="J9" s="53">
        <v>6.9770000000000003</v>
      </c>
      <c r="K9" s="53" t="s">
        <v>158</v>
      </c>
      <c r="L9" s="53" t="s">
        <v>158</v>
      </c>
      <c r="M9" s="53" t="s">
        <v>158</v>
      </c>
      <c r="N9" s="54" t="s">
        <v>157</v>
      </c>
      <c r="O9" s="54" t="s">
        <v>157</v>
      </c>
      <c r="P9" s="53" t="s">
        <v>157</v>
      </c>
      <c r="Q9" s="53" t="s">
        <v>157</v>
      </c>
      <c r="R9" s="53" t="s">
        <v>157</v>
      </c>
      <c r="S9" s="53" t="s">
        <v>157</v>
      </c>
      <c r="T9" s="53" t="s">
        <v>157</v>
      </c>
      <c r="U9" s="53">
        <v>43.765199999999993</v>
      </c>
      <c r="V9" s="53" t="s">
        <v>157</v>
      </c>
      <c r="W9" s="54" t="s">
        <v>157</v>
      </c>
      <c r="X9" s="54" t="s">
        <v>157</v>
      </c>
      <c r="Y9" s="53">
        <v>10.848399999999998</v>
      </c>
      <c r="Z9" s="53" t="s">
        <v>158</v>
      </c>
      <c r="AA9" s="53" t="s">
        <v>158</v>
      </c>
      <c r="AB9" s="53" t="s">
        <v>157</v>
      </c>
      <c r="AC9" s="53">
        <v>30.113599999999998</v>
      </c>
      <c r="AD9" s="53" t="s">
        <v>157</v>
      </c>
      <c r="AE9" s="53" t="s">
        <v>157</v>
      </c>
      <c r="AF9" s="53">
        <v>2.4927999999999999</v>
      </c>
      <c r="AG9" s="53" t="s">
        <v>158</v>
      </c>
      <c r="AH9" s="53">
        <v>12.948800000000002</v>
      </c>
      <c r="AI9" s="53" t="s">
        <v>157</v>
      </c>
      <c r="AJ9" s="53">
        <v>87.961600000000004</v>
      </c>
      <c r="AK9" s="53" t="s">
        <v>157</v>
      </c>
      <c r="AL9" s="53" t="s">
        <v>157</v>
      </c>
      <c r="AM9" s="53" t="s">
        <v>157</v>
      </c>
      <c r="AN9" s="53">
        <v>2.5402</v>
      </c>
      <c r="AO9" s="53" t="s">
        <v>158</v>
      </c>
      <c r="AP9" s="53" t="s">
        <v>157</v>
      </c>
      <c r="AQ9" s="53" t="s">
        <v>157</v>
      </c>
      <c r="AR9" s="53" t="s">
        <v>157</v>
      </c>
      <c r="AS9" s="53" t="s">
        <v>157</v>
      </c>
      <c r="AT9" s="53" t="s">
        <v>157</v>
      </c>
      <c r="AU9" s="53">
        <v>2.9052000000000002</v>
      </c>
      <c r="AV9" s="53" t="s">
        <v>157</v>
      </c>
      <c r="AW9" s="53" t="s">
        <v>157</v>
      </c>
      <c r="AX9" s="53" t="s">
        <v>157</v>
      </c>
      <c r="AY9" s="53" t="s">
        <v>157</v>
      </c>
      <c r="AZ9" s="53" t="s">
        <v>157</v>
      </c>
      <c r="BA9" s="53" t="s">
        <v>157</v>
      </c>
      <c r="BB9" s="53" t="s">
        <v>157</v>
      </c>
      <c r="BC9" s="53" t="s">
        <v>157</v>
      </c>
      <c r="BD9" s="53">
        <v>3.1568000000000001</v>
      </c>
      <c r="BE9" s="53" t="s">
        <v>157</v>
      </c>
      <c r="BF9" s="53" t="s">
        <v>157</v>
      </c>
      <c r="BG9" s="53" t="s">
        <v>157</v>
      </c>
      <c r="BH9" s="53" t="s">
        <v>157</v>
      </c>
      <c r="BI9" s="53" t="s">
        <v>157</v>
      </c>
      <c r="BJ9" s="53" t="s">
        <v>157</v>
      </c>
      <c r="BK9" s="53" t="s">
        <v>157</v>
      </c>
      <c r="BL9" s="53">
        <v>110.8698</v>
      </c>
      <c r="BM9" s="53">
        <v>56.9178</v>
      </c>
      <c r="BN9" s="53">
        <v>18.160800000000002</v>
      </c>
      <c r="BO9" s="53" t="s">
        <v>158</v>
      </c>
      <c r="BP9" s="53" t="s">
        <v>157</v>
      </c>
      <c r="BQ9" s="53" t="s">
        <v>157</v>
      </c>
      <c r="BR9" s="53" t="s">
        <v>157</v>
      </c>
      <c r="BS9" s="53" t="s">
        <v>157</v>
      </c>
      <c r="BT9" s="53" t="s">
        <v>157</v>
      </c>
      <c r="BU9" s="53" t="s">
        <v>157</v>
      </c>
      <c r="BV9" s="53" t="s">
        <v>158</v>
      </c>
    </row>
    <row r="10" spans="1:74" s="18" customFormat="1" x14ac:dyDescent="0.25">
      <c r="A10" s="20">
        <v>41298</v>
      </c>
      <c r="B10" s="14">
        <f t="shared" ref="B10:B27" si="0">A10-$B$2</f>
        <v>7</v>
      </c>
      <c r="C10" s="51"/>
      <c r="D10" s="135">
        <v>1.0314238113966385</v>
      </c>
      <c r="E10" s="51"/>
      <c r="F10" s="52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</row>
    <row r="11" spans="1:74" x14ac:dyDescent="0.25">
      <c r="A11" s="21">
        <v>41305</v>
      </c>
      <c r="B11" s="14">
        <f t="shared" si="0"/>
        <v>14</v>
      </c>
      <c r="C11" s="55" t="s">
        <v>176</v>
      </c>
      <c r="D11" s="135">
        <v>1.0381018372254471</v>
      </c>
      <c r="E11" s="54" t="s">
        <v>158</v>
      </c>
      <c r="F11" s="54">
        <v>20.367999999999999</v>
      </c>
      <c r="G11" s="54">
        <v>62.612800000000007</v>
      </c>
      <c r="H11" s="54">
        <v>69.079599999999999</v>
      </c>
      <c r="I11" s="54">
        <v>74.565599999999989</v>
      </c>
      <c r="J11" s="54">
        <v>2.7625999999999999</v>
      </c>
      <c r="K11" s="54" t="s">
        <v>158</v>
      </c>
      <c r="L11" s="54" t="s">
        <v>158</v>
      </c>
      <c r="M11" s="54" t="s">
        <v>158</v>
      </c>
      <c r="N11" s="54" t="s">
        <v>157</v>
      </c>
      <c r="O11" s="54" t="s">
        <v>157</v>
      </c>
      <c r="P11" s="53" t="s">
        <v>157</v>
      </c>
      <c r="Q11" s="53" t="s">
        <v>157</v>
      </c>
      <c r="R11" s="54" t="s">
        <v>157</v>
      </c>
      <c r="S11" s="53" t="s">
        <v>157</v>
      </c>
      <c r="T11" s="53" t="s">
        <v>157</v>
      </c>
      <c r="U11" s="54" t="s">
        <v>158</v>
      </c>
      <c r="V11" s="54" t="s">
        <v>157</v>
      </c>
      <c r="W11" s="54" t="s">
        <v>157</v>
      </c>
      <c r="X11" s="54" t="s">
        <v>157</v>
      </c>
      <c r="Y11" s="54" t="s">
        <v>157</v>
      </c>
      <c r="Z11" s="54" t="s">
        <v>157</v>
      </c>
      <c r="AA11" s="54" t="s">
        <v>157</v>
      </c>
      <c r="AB11" s="54" t="s">
        <v>157</v>
      </c>
      <c r="AC11" s="54">
        <v>27.608799999999999</v>
      </c>
      <c r="AD11" s="54" t="s">
        <v>157</v>
      </c>
      <c r="AE11" s="54" t="s">
        <v>157</v>
      </c>
      <c r="AF11" s="54">
        <v>3.4195999999999995</v>
      </c>
      <c r="AG11" s="54" t="s">
        <v>157</v>
      </c>
      <c r="AH11" s="54">
        <v>8.2256</v>
      </c>
      <c r="AI11" s="54" t="s">
        <v>157</v>
      </c>
      <c r="AJ11" s="54">
        <v>14.2926</v>
      </c>
      <c r="AK11" s="54" t="s">
        <v>157</v>
      </c>
      <c r="AL11" s="54" t="s">
        <v>157</v>
      </c>
      <c r="AM11" s="54" t="s">
        <v>157</v>
      </c>
      <c r="AN11" s="54">
        <v>5.4895999999999994</v>
      </c>
      <c r="AO11" s="54" t="s">
        <v>158</v>
      </c>
      <c r="AP11" s="54" t="s">
        <v>157</v>
      </c>
      <c r="AQ11" s="54" t="s">
        <v>157</v>
      </c>
      <c r="AR11" s="54" t="s">
        <v>157</v>
      </c>
      <c r="AS11" s="54" t="s">
        <v>157</v>
      </c>
      <c r="AT11" s="54" t="s">
        <v>157</v>
      </c>
      <c r="AU11" s="54">
        <v>6.129999999999999</v>
      </c>
      <c r="AV11" s="54" t="s">
        <v>158</v>
      </c>
      <c r="AW11" s="54" t="s">
        <v>157</v>
      </c>
      <c r="AX11" s="54" t="s">
        <v>157</v>
      </c>
      <c r="AY11" s="54" t="s">
        <v>158</v>
      </c>
      <c r="AZ11" s="54" t="s">
        <v>158</v>
      </c>
      <c r="BA11" s="54" t="s">
        <v>157</v>
      </c>
      <c r="BB11" s="54" t="s">
        <v>157</v>
      </c>
      <c r="BC11" s="54" t="s">
        <v>157</v>
      </c>
      <c r="BD11" s="54" t="s">
        <v>157</v>
      </c>
      <c r="BE11" s="54" t="s">
        <v>157</v>
      </c>
      <c r="BF11" s="53" t="s">
        <v>157</v>
      </c>
      <c r="BG11" s="53" t="s">
        <v>157</v>
      </c>
      <c r="BH11" s="53" t="s">
        <v>157</v>
      </c>
      <c r="BI11" s="53" t="s">
        <v>157</v>
      </c>
      <c r="BJ11" s="53" t="s">
        <v>157</v>
      </c>
      <c r="BK11" s="53" t="s">
        <v>157</v>
      </c>
      <c r="BL11" s="54">
        <v>5.1129999999999995</v>
      </c>
      <c r="BM11" s="54">
        <v>2.7355999999999998</v>
      </c>
      <c r="BN11" s="54" t="s">
        <v>158</v>
      </c>
      <c r="BO11" s="54" t="s">
        <v>158</v>
      </c>
      <c r="BP11" s="54" t="s">
        <v>157</v>
      </c>
      <c r="BQ11" s="53" t="s">
        <v>157</v>
      </c>
      <c r="BR11" s="53" t="s">
        <v>157</v>
      </c>
      <c r="BS11" s="53" t="s">
        <v>157</v>
      </c>
      <c r="BT11" s="53" t="s">
        <v>157</v>
      </c>
      <c r="BU11" s="53" t="s">
        <v>157</v>
      </c>
      <c r="BV11" s="54" t="s">
        <v>158</v>
      </c>
    </row>
    <row r="12" spans="1:74" x14ac:dyDescent="0.25">
      <c r="A12" s="21">
        <v>41311</v>
      </c>
      <c r="B12" s="14">
        <f t="shared" si="0"/>
        <v>20</v>
      </c>
      <c r="C12" s="50"/>
      <c r="D12" s="135">
        <v>1.0757371535005134</v>
      </c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</row>
    <row r="13" spans="1:74" x14ac:dyDescent="0.25">
      <c r="A13" s="21">
        <v>41318</v>
      </c>
      <c r="B13" s="14">
        <f t="shared" si="0"/>
        <v>27</v>
      </c>
      <c r="C13" s="55" t="s">
        <v>178</v>
      </c>
      <c r="D13" s="135">
        <v>1.0933092703344349</v>
      </c>
      <c r="E13" s="54" t="s">
        <v>158</v>
      </c>
      <c r="F13" s="54">
        <v>19.399999999999999</v>
      </c>
      <c r="G13" s="54">
        <v>60.300699999999992</v>
      </c>
      <c r="H13" s="54">
        <v>66.938699999999997</v>
      </c>
      <c r="I13" s="54">
        <v>88.897466666666674</v>
      </c>
      <c r="J13" s="54">
        <v>6.6612</v>
      </c>
      <c r="K13" s="54">
        <v>2.36</v>
      </c>
      <c r="L13" s="54" t="s">
        <v>158</v>
      </c>
      <c r="M13" s="54" t="s">
        <v>158</v>
      </c>
      <c r="N13" s="54" t="s">
        <v>157</v>
      </c>
      <c r="O13" s="54" t="s">
        <v>158</v>
      </c>
      <c r="P13" s="53" t="s">
        <v>157</v>
      </c>
      <c r="Q13" s="53" t="s">
        <v>157</v>
      </c>
      <c r="R13" s="54" t="s">
        <v>157</v>
      </c>
      <c r="S13" s="53" t="s">
        <v>157</v>
      </c>
      <c r="T13" s="53" t="s">
        <v>157</v>
      </c>
      <c r="U13" s="54">
        <v>17.916699999999999</v>
      </c>
      <c r="V13" s="54" t="s">
        <v>157</v>
      </c>
      <c r="W13" s="54" t="s">
        <v>157</v>
      </c>
      <c r="X13" s="54" t="s">
        <v>157</v>
      </c>
      <c r="Y13" s="54" t="s">
        <v>157</v>
      </c>
      <c r="Z13" s="54" t="s">
        <v>157</v>
      </c>
      <c r="AA13" s="54" t="s">
        <v>157</v>
      </c>
      <c r="AB13" s="54" t="s">
        <v>157</v>
      </c>
      <c r="AC13" s="54">
        <v>38.289066666666663</v>
      </c>
      <c r="AD13" s="54" t="s">
        <v>157</v>
      </c>
      <c r="AE13" s="54" t="s">
        <v>157</v>
      </c>
      <c r="AF13" s="54">
        <v>3.84</v>
      </c>
      <c r="AG13" s="54" t="s">
        <v>158</v>
      </c>
      <c r="AH13" s="54">
        <v>16.436666666666664</v>
      </c>
      <c r="AI13" s="54" t="s">
        <v>157</v>
      </c>
      <c r="AJ13" s="54">
        <v>27.685466666666667</v>
      </c>
      <c r="AK13" s="54" t="s">
        <v>157</v>
      </c>
      <c r="AL13" s="54" t="s">
        <v>157</v>
      </c>
      <c r="AM13" s="54" t="s">
        <v>157</v>
      </c>
      <c r="AN13" s="54">
        <v>5.7799999999999994</v>
      </c>
      <c r="AO13" s="54" t="s">
        <v>158</v>
      </c>
      <c r="AP13" s="54" t="s">
        <v>157</v>
      </c>
      <c r="AQ13" s="54" t="s">
        <v>157</v>
      </c>
      <c r="AR13" s="54" t="s">
        <v>157</v>
      </c>
      <c r="AS13" s="54" t="s">
        <v>157</v>
      </c>
      <c r="AT13" s="54" t="s">
        <v>157</v>
      </c>
      <c r="AU13" s="54">
        <v>6.0245333333333333</v>
      </c>
      <c r="AV13" s="54" t="s">
        <v>158</v>
      </c>
      <c r="AW13" s="54" t="s">
        <v>157</v>
      </c>
      <c r="AX13" s="54" t="s">
        <v>157</v>
      </c>
      <c r="AY13" s="54" t="s">
        <v>158</v>
      </c>
      <c r="AZ13" s="54" t="s">
        <v>157</v>
      </c>
      <c r="BA13" s="54" t="s">
        <v>157</v>
      </c>
      <c r="BB13" s="54" t="s">
        <v>157</v>
      </c>
      <c r="BC13" s="54" t="s">
        <v>157</v>
      </c>
      <c r="BD13" s="54" t="s">
        <v>158</v>
      </c>
      <c r="BE13" s="54" t="s">
        <v>157</v>
      </c>
      <c r="BF13" s="53" t="s">
        <v>157</v>
      </c>
      <c r="BG13" s="53" t="s">
        <v>157</v>
      </c>
      <c r="BH13" s="53" t="s">
        <v>157</v>
      </c>
      <c r="BI13" s="53" t="s">
        <v>157</v>
      </c>
      <c r="BJ13" s="53" t="s">
        <v>157</v>
      </c>
      <c r="BK13" s="53" t="s">
        <v>157</v>
      </c>
      <c r="BL13" s="54">
        <v>40.207999999999998</v>
      </c>
      <c r="BM13" s="54">
        <v>44.221399999999996</v>
      </c>
      <c r="BN13" s="54">
        <v>18.335599999999999</v>
      </c>
      <c r="BO13" s="54" t="s">
        <v>158</v>
      </c>
      <c r="BP13" s="54" t="s">
        <v>157</v>
      </c>
      <c r="BQ13" s="53" t="s">
        <v>157</v>
      </c>
      <c r="BR13" s="53" t="s">
        <v>157</v>
      </c>
      <c r="BS13" s="53" t="s">
        <v>157</v>
      </c>
      <c r="BT13" s="53" t="s">
        <v>157</v>
      </c>
      <c r="BU13" s="53" t="s">
        <v>157</v>
      </c>
      <c r="BV13" s="54" t="s">
        <v>158</v>
      </c>
    </row>
    <row r="14" spans="1:74" x14ac:dyDescent="0.25">
      <c r="A14" s="21">
        <v>41326</v>
      </c>
      <c r="B14" s="14">
        <f t="shared" si="0"/>
        <v>35</v>
      </c>
      <c r="C14" s="50"/>
      <c r="D14" s="135">
        <v>1.0933092703344349</v>
      </c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</row>
    <row r="15" spans="1:74" x14ac:dyDescent="0.25">
      <c r="A15" s="21">
        <v>41332</v>
      </c>
      <c r="B15" s="14">
        <f t="shared" si="0"/>
        <v>41</v>
      </c>
      <c r="C15" s="55" t="s">
        <v>176</v>
      </c>
      <c r="D15" s="135">
        <v>1.0933092703344349</v>
      </c>
      <c r="E15" s="54" t="s">
        <v>158</v>
      </c>
      <c r="F15" s="54">
        <v>28.827999999999999</v>
      </c>
      <c r="G15" s="54">
        <v>61.653599999999997</v>
      </c>
      <c r="H15" s="54">
        <v>80.088399999999993</v>
      </c>
      <c r="I15" s="54">
        <v>103.41550000000001</v>
      </c>
      <c r="J15" s="54">
        <v>7.9597999999999995</v>
      </c>
      <c r="K15" s="54">
        <v>2.4144000000000001</v>
      </c>
      <c r="L15" s="54" t="s">
        <v>158</v>
      </c>
      <c r="M15" s="54" t="s">
        <v>158</v>
      </c>
      <c r="N15" s="54" t="s">
        <v>158</v>
      </c>
      <c r="O15" s="54" t="s">
        <v>158</v>
      </c>
      <c r="P15" s="53" t="s">
        <v>157</v>
      </c>
      <c r="Q15" s="54" t="s">
        <v>158</v>
      </c>
      <c r="R15" s="54" t="s">
        <v>157</v>
      </c>
      <c r="S15" s="53" t="s">
        <v>157</v>
      </c>
      <c r="T15" s="53" t="s">
        <v>157</v>
      </c>
      <c r="U15" s="54">
        <v>49.624400000000001</v>
      </c>
      <c r="V15" s="54" t="s">
        <v>157</v>
      </c>
      <c r="W15" s="54" t="s">
        <v>157</v>
      </c>
      <c r="X15" s="54" t="s">
        <v>157</v>
      </c>
      <c r="Y15" s="54" t="s">
        <v>157</v>
      </c>
      <c r="Z15" s="54" t="s">
        <v>157</v>
      </c>
      <c r="AA15" s="54" t="s">
        <v>157</v>
      </c>
      <c r="AB15" s="54" t="s">
        <v>157</v>
      </c>
      <c r="AC15" s="54">
        <v>51.306200000000004</v>
      </c>
      <c r="AD15" s="54">
        <v>4.5331999999999999</v>
      </c>
      <c r="AE15" s="54" t="s">
        <v>157</v>
      </c>
      <c r="AF15" s="54">
        <v>2.5344000000000002</v>
      </c>
      <c r="AG15" s="54" t="s">
        <v>157</v>
      </c>
      <c r="AH15" s="54">
        <v>17.145199999999999</v>
      </c>
      <c r="AI15" s="54" t="s">
        <v>157</v>
      </c>
      <c r="AJ15" s="54">
        <v>27.061599999999999</v>
      </c>
      <c r="AK15" s="54" t="s">
        <v>157</v>
      </c>
      <c r="AL15" s="54" t="s">
        <v>157</v>
      </c>
      <c r="AM15" s="54" t="s">
        <v>157</v>
      </c>
      <c r="AN15" s="54">
        <v>4.9882</v>
      </c>
      <c r="AO15" s="54" t="s">
        <v>158</v>
      </c>
      <c r="AP15" s="54" t="s">
        <v>157</v>
      </c>
      <c r="AQ15" s="54" t="s">
        <v>157</v>
      </c>
      <c r="AR15" s="54" t="s">
        <v>157</v>
      </c>
      <c r="AS15" s="54" t="s">
        <v>157</v>
      </c>
      <c r="AT15" s="54" t="s">
        <v>157</v>
      </c>
      <c r="AU15" s="54">
        <v>6.2807999999999993</v>
      </c>
      <c r="AV15" s="54" t="s">
        <v>158</v>
      </c>
      <c r="AW15" s="54" t="s">
        <v>157</v>
      </c>
      <c r="AX15" s="54" t="s">
        <v>157</v>
      </c>
      <c r="AY15" s="54" t="s">
        <v>158</v>
      </c>
      <c r="AZ15" s="54" t="s">
        <v>157</v>
      </c>
      <c r="BA15" s="54" t="s">
        <v>157</v>
      </c>
      <c r="BB15" s="54" t="s">
        <v>157</v>
      </c>
      <c r="BC15" s="54" t="s">
        <v>157</v>
      </c>
      <c r="BD15" s="54">
        <v>4.3587999999999996</v>
      </c>
      <c r="BE15" s="54" t="s">
        <v>157</v>
      </c>
      <c r="BF15" s="53" t="s">
        <v>157</v>
      </c>
      <c r="BG15" s="53" t="s">
        <v>157</v>
      </c>
      <c r="BH15" s="53" t="s">
        <v>157</v>
      </c>
      <c r="BI15" s="53" t="s">
        <v>157</v>
      </c>
      <c r="BJ15" s="53" t="s">
        <v>157</v>
      </c>
      <c r="BK15" s="53" t="s">
        <v>157</v>
      </c>
      <c r="BL15" s="54">
        <v>85.751800000000003</v>
      </c>
      <c r="BM15" s="54">
        <v>78.632000000000005</v>
      </c>
      <c r="BN15" s="54">
        <v>42.897999999999996</v>
      </c>
      <c r="BO15" s="54">
        <v>7.1661999999999999</v>
      </c>
      <c r="BP15" s="54" t="s">
        <v>158</v>
      </c>
      <c r="BQ15" s="53" t="s">
        <v>157</v>
      </c>
      <c r="BR15" s="53" t="s">
        <v>157</v>
      </c>
      <c r="BS15" s="53" t="s">
        <v>157</v>
      </c>
      <c r="BT15" s="53" t="s">
        <v>157</v>
      </c>
      <c r="BU15" s="53" t="s">
        <v>157</v>
      </c>
      <c r="BV15" s="54">
        <v>3.0340000000000003</v>
      </c>
    </row>
    <row r="16" spans="1:74" x14ac:dyDescent="0.25">
      <c r="A16" s="21">
        <v>41339</v>
      </c>
      <c r="B16" s="14">
        <f t="shared" si="0"/>
        <v>48</v>
      </c>
      <c r="C16" s="50"/>
      <c r="D16" s="135">
        <v>1.0933092703344349</v>
      </c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</row>
    <row r="17" spans="1:74" x14ac:dyDescent="0.25">
      <c r="A17" s="21">
        <v>41353</v>
      </c>
      <c r="B17" s="14">
        <f t="shared" si="0"/>
        <v>62</v>
      </c>
      <c r="C17" s="56" t="s">
        <v>177</v>
      </c>
      <c r="D17" s="135">
        <v>1.0933092703344349</v>
      </c>
      <c r="E17" s="54" t="s">
        <v>158</v>
      </c>
      <c r="F17" s="54">
        <v>20.170200000000001</v>
      </c>
      <c r="G17" s="54">
        <v>65.056399999999996</v>
      </c>
      <c r="H17" s="54">
        <v>81.527999999999992</v>
      </c>
      <c r="I17" s="54">
        <v>114.23</v>
      </c>
      <c r="J17" s="54">
        <v>13.742000000000001</v>
      </c>
      <c r="K17" s="54">
        <v>4.9587999999999992</v>
      </c>
      <c r="L17" s="54">
        <v>6.1059999999999999</v>
      </c>
      <c r="M17" s="54">
        <v>3.0354000000000001</v>
      </c>
      <c r="N17" s="54" t="s">
        <v>158</v>
      </c>
      <c r="O17" s="54" t="s">
        <v>158</v>
      </c>
      <c r="P17" s="53" t="s">
        <v>157</v>
      </c>
      <c r="Q17" s="54" t="s">
        <v>158</v>
      </c>
      <c r="R17" s="54" t="s">
        <v>157</v>
      </c>
      <c r="S17" s="54" t="s">
        <v>157</v>
      </c>
      <c r="T17" s="53" t="s">
        <v>157</v>
      </c>
      <c r="U17" s="54">
        <v>90.958200000000005</v>
      </c>
      <c r="V17" s="54" t="s">
        <v>157</v>
      </c>
      <c r="W17" s="54" t="s">
        <v>157</v>
      </c>
      <c r="X17" s="54" t="s">
        <v>157</v>
      </c>
      <c r="Y17" s="54" t="s">
        <v>158</v>
      </c>
      <c r="Z17" s="54" t="s">
        <v>157</v>
      </c>
      <c r="AA17" s="54" t="s">
        <v>157</v>
      </c>
      <c r="AB17" s="54" t="s">
        <v>157</v>
      </c>
      <c r="AC17" s="54">
        <v>102.6544</v>
      </c>
      <c r="AD17" s="54">
        <v>5.6260000000000003</v>
      </c>
      <c r="AE17" s="54" t="s">
        <v>157</v>
      </c>
      <c r="AF17" s="54">
        <v>3.6547999999999998</v>
      </c>
      <c r="AG17" s="54" t="s">
        <v>158</v>
      </c>
      <c r="AH17" s="54">
        <v>17.0242</v>
      </c>
      <c r="AI17" s="54" t="s">
        <v>157</v>
      </c>
      <c r="AJ17" s="54">
        <v>29.051999999999996</v>
      </c>
      <c r="AK17" s="54" t="s">
        <v>157</v>
      </c>
      <c r="AL17" s="54" t="s">
        <v>158</v>
      </c>
      <c r="AM17" s="54" t="s">
        <v>157</v>
      </c>
      <c r="AN17" s="54">
        <v>4.5529999999999999</v>
      </c>
      <c r="AO17" s="54" t="s">
        <v>158</v>
      </c>
      <c r="AP17" s="54" t="s">
        <v>157</v>
      </c>
      <c r="AQ17" s="54" t="s">
        <v>157</v>
      </c>
      <c r="AR17" s="54" t="s">
        <v>157</v>
      </c>
      <c r="AS17" s="54" t="s">
        <v>157</v>
      </c>
      <c r="AT17" s="54" t="s">
        <v>157</v>
      </c>
      <c r="AU17" s="54">
        <v>8.5551999999999992</v>
      </c>
      <c r="AV17" s="54" t="s">
        <v>158</v>
      </c>
      <c r="AW17" s="54" t="s">
        <v>157</v>
      </c>
      <c r="AX17" s="54" t="s">
        <v>157</v>
      </c>
      <c r="AY17" s="54">
        <v>2.6166</v>
      </c>
      <c r="AZ17" s="54" t="s">
        <v>157</v>
      </c>
      <c r="BA17" s="54" t="s">
        <v>157</v>
      </c>
      <c r="BB17" s="54" t="s">
        <v>157</v>
      </c>
      <c r="BC17" s="54" t="s">
        <v>157</v>
      </c>
      <c r="BD17" s="54">
        <v>6.3725999999999994</v>
      </c>
      <c r="BE17" s="54" t="s">
        <v>157</v>
      </c>
      <c r="BF17" s="53" t="s">
        <v>157</v>
      </c>
      <c r="BG17" s="53" t="s">
        <v>157</v>
      </c>
      <c r="BH17" s="53" t="s">
        <v>157</v>
      </c>
      <c r="BI17" s="53" t="s">
        <v>157</v>
      </c>
      <c r="BJ17" s="53" t="s">
        <v>157</v>
      </c>
      <c r="BK17" s="53" t="s">
        <v>157</v>
      </c>
      <c r="BL17" s="54">
        <v>58.971799999999995</v>
      </c>
      <c r="BM17" s="54">
        <v>79.816000000000003</v>
      </c>
      <c r="BN17" s="54">
        <v>87.948999999999998</v>
      </c>
      <c r="BO17" s="54">
        <v>21.131999999999998</v>
      </c>
      <c r="BP17" s="54">
        <v>2.5011999999999999</v>
      </c>
      <c r="BQ17" s="53" t="s">
        <v>157</v>
      </c>
      <c r="BR17" s="53" t="s">
        <v>157</v>
      </c>
      <c r="BS17" s="53" t="s">
        <v>157</v>
      </c>
      <c r="BT17" s="53" t="s">
        <v>157</v>
      </c>
      <c r="BU17" s="53" t="s">
        <v>157</v>
      </c>
      <c r="BV17" s="54">
        <v>6.9144000000000005</v>
      </c>
    </row>
    <row r="18" spans="1:74" x14ac:dyDescent="0.25">
      <c r="A18" s="21">
        <v>41367</v>
      </c>
      <c r="B18" s="14">
        <f t="shared" si="0"/>
        <v>76</v>
      </c>
      <c r="C18" s="50"/>
      <c r="D18" s="135">
        <v>1.0933092703344349</v>
      </c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</row>
    <row r="19" spans="1:74" x14ac:dyDescent="0.25">
      <c r="A19" s="21">
        <v>41381</v>
      </c>
      <c r="B19" s="14">
        <f t="shared" si="0"/>
        <v>90</v>
      </c>
      <c r="C19" s="55" t="s">
        <v>179</v>
      </c>
      <c r="D19" s="135">
        <v>1.0933092703344349</v>
      </c>
      <c r="E19" s="54">
        <v>27.113866666666667</v>
      </c>
      <c r="F19" s="54">
        <v>26.570399999999999</v>
      </c>
      <c r="G19" s="54">
        <v>79.805466666666675</v>
      </c>
      <c r="H19" s="54">
        <v>84.239466666666658</v>
      </c>
      <c r="I19" s="54">
        <v>128.9871</v>
      </c>
      <c r="J19" s="54">
        <v>14.388599999999999</v>
      </c>
      <c r="K19" s="54">
        <v>5.7491000000000003</v>
      </c>
      <c r="L19" s="54">
        <v>5.1063999999999998</v>
      </c>
      <c r="M19" s="54">
        <v>4.46</v>
      </c>
      <c r="N19" s="54">
        <v>5.0600000000000005</v>
      </c>
      <c r="O19" s="54">
        <v>2.44</v>
      </c>
      <c r="P19" s="53" t="s">
        <v>157</v>
      </c>
      <c r="Q19" s="54" t="s">
        <v>158</v>
      </c>
      <c r="R19" s="54" t="s">
        <v>157</v>
      </c>
      <c r="S19" s="54" t="s">
        <v>157</v>
      </c>
      <c r="T19" s="53" t="s">
        <v>157</v>
      </c>
      <c r="U19" s="54">
        <v>104.61346666666667</v>
      </c>
      <c r="V19" s="54" t="s">
        <v>157</v>
      </c>
      <c r="W19" s="54" t="s">
        <v>157</v>
      </c>
      <c r="X19" s="54" t="s">
        <v>157</v>
      </c>
      <c r="Y19" s="54" t="s">
        <v>157</v>
      </c>
      <c r="Z19" s="54" t="s">
        <v>157</v>
      </c>
      <c r="AA19" s="54" t="s">
        <v>157</v>
      </c>
      <c r="AB19" s="54" t="s">
        <v>157</v>
      </c>
      <c r="AC19" s="54">
        <v>194.6242666666667</v>
      </c>
      <c r="AD19" s="54">
        <v>5.242</v>
      </c>
      <c r="AE19" s="54" t="s">
        <v>157</v>
      </c>
      <c r="AF19" s="54">
        <v>5.14</v>
      </c>
      <c r="AG19" s="54" t="s">
        <v>158</v>
      </c>
      <c r="AH19" s="54">
        <v>19.528300000000002</v>
      </c>
      <c r="AI19" s="54" t="s">
        <v>157</v>
      </c>
      <c r="AJ19" s="54">
        <v>34.4788</v>
      </c>
      <c r="AK19" s="54" t="s">
        <v>157</v>
      </c>
      <c r="AL19" s="54" t="s">
        <v>158</v>
      </c>
      <c r="AM19" s="54" t="s">
        <v>157</v>
      </c>
      <c r="AN19" s="54">
        <v>6.8371999999999993</v>
      </c>
      <c r="AO19" s="54">
        <v>4.6027999999999993</v>
      </c>
      <c r="AP19" s="54" t="s">
        <v>157</v>
      </c>
      <c r="AQ19" s="54" t="s">
        <v>157</v>
      </c>
      <c r="AR19" s="54" t="s">
        <v>157</v>
      </c>
      <c r="AS19" s="54" t="s">
        <v>157</v>
      </c>
      <c r="AT19" s="54" t="s">
        <v>157</v>
      </c>
      <c r="AU19" s="54">
        <v>21.351466666666667</v>
      </c>
      <c r="AV19" s="54">
        <v>10.2646</v>
      </c>
      <c r="AW19" s="54" t="s">
        <v>157</v>
      </c>
      <c r="AX19" s="54" t="s">
        <v>157</v>
      </c>
      <c r="AY19" s="54">
        <v>4.1669999999999998</v>
      </c>
      <c r="AZ19" s="54" t="s">
        <v>158</v>
      </c>
      <c r="BA19" s="54" t="s">
        <v>158</v>
      </c>
      <c r="BB19" s="54" t="s">
        <v>157</v>
      </c>
      <c r="BC19" s="54" t="s">
        <v>157</v>
      </c>
      <c r="BD19" s="54">
        <v>5.633</v>
      </c>
      <c r="BE19" s="54" t="s">
        <v>157</v>
      </c>
      <c r="BF19" s="53" t="s">
        <v>157</v>
      </c>
      <c r="BG19" s="53" t="s">
        <v>157</v>
      </c>
      <c r="BH19" s="53" t="s">
        <v>157</v>
      </c>
      <c r="BI19" s="53" t="s">
        <v>157</v>
      </c>
      <c r="BJ19" s="53" t="s">
        <v>157</v>
      </c>
      <c r="BK19" s="53" t="s">
        <v>157</v>
      </c>
      <c r="BL19" s="54">
        <v>23.497600000000002</v>
      </c>
      <c r="BM19" s="54">
        <v>51.964533333333328</v>
      </c>
      <c r="BN19" s="54">
        <v>85.676000000000002</v>
      </c>
      <c r="BO19" s="54">
        <v>27.576400000000003</v>
      </c>
      <c r="BP19" s="54">
        <v>3.9216000000000002</v>
      </c>
      <c r="BQ19" s="53" t="s">
        <v>157</v>
      </c>
      <c r="BR19" s="53" t="s">
        <v>157</v>
      </c>
      <c r="BS19" s="53" t="s">
        <v>157</v>
      </c>
      <c r="BT19" s="53" t="s">
        <v>157</v>
      </c>
      <c r="BU19" s="53" t="s">
        <v>157</v>
      </c>
      <c r="BV19" s="54">
        <v>11.044933333333333</v>
      </c>
    </row>
    <row r="20" spans="1:74" x14ac:dyDescent="0.25">
      <c r="A20" s="21">
        <v>41395</v>
      </c>
      <c r="B20" s="14">
        <f t="shared" si="0"/>
        <v>104</v>
      </c>
      <c r="C20" s="50"/>
      <c r="D20" s="135">
        <v>1.0933092703344349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</row>
    <row r="21" spans="1:74" x14ac:dyDescent="0.25">
      <c r="A21" s="21">
        <v>41410</v>
      </c>
      <c r="B21" s="14">
        <f t="shared" si="0"/>
        <v>119</v>
      </c>
      <c r="C21" s="55" t="s">
        <v>176</v>
      </c>
      <c r="D21" s="135">
        <v>1.0933092703344349</v>
      </c>
      <c r="E21" s="54" t="s">
        <v>158</v>
      </c>
      <c r="F21" s="54">
        <v>27.509199999999996</v>
      </c>
      <c r="G21" s="54">
        <v>73.381199999999993</v>
      </c>
      <c r="H21" s="54">
        <v>85.858799999999988</v>
      </c>
      <c r="I21" s="54">
        <v>128.16840000000002</v>
      </c>
      <c r="J21" s="54">
        <v>12.447600000000001</v>
      </c>
      <c r="K21" s="54">
        <v>2.4216000000000002</v>
      </c>
      <c r="L21" s="54" t="s">
        <v>158</v>
      </c>
      <c r="M21" s="54" t="s">
        <v>158</v>
      </c>
      <c r="N21" s="54" t="s">
        <v>158</v>
      </c>
      <c r="O21" s="54" t="s">
        <v>158</v>
      </c>
      <c r="P21" s="53" t="s">
        <v>157</v>
      </c>
      <c r="Q21" s="54" t="s">
        <v>158</v>
      </c>
      <c r="R21" s="54" t="s">
        <v>157</v>
      </c>
      <c r="S21" s="54" t="s">
        <v>157</v>
      </c>
      <c r="T21" s="53" t="s">
        <v>157</v>
      </c>
      <c r="U21" s="54">
        <v>120.49259999999998</v>
      </c>
      <c r="V21" s="54" t="s">
        <v>157</v>
      </c>
      <c r="W21" s="54" t="s">
        <v>157</v>
      </c>
      <c r="X21" s="54" t="s">
        <v>157</v>
      </c>
      <c r="Y21" s="54" t="s">
        <v>157</v>
      </c>
      <c r="Z21" s="54" t="s">
        <v>157</v>
      </c>
      <c r="AA21" s="54" t="s">
        <v>157</v>
      </c>
      <c r="AB21" s="54" t="s">
        <v>157</v>
      </c>
      <c r="AC21" s="54">
        <v>211.07040000000003</v>
      </c>
      <c r="AD21" s="54">
        <v>7.7296000000000005</v>
      </c>
      <c r="AE21" s="54" t="s">
        <v>157</v>
      </c>
      <c r="AF21" s="54">
        <v>3.4759999999999995</v>
      </c>
      <c r="AG21" s="54" t="s">
        <v>157</v>
      </c>
      <c r="AH21" s="54">
        <v>15.449399999999999</v>
      </c>
      <c r="AI21" s="54" t="s">
        <v>157</v>
      </c>
      <c r="AJ21" s="54">
        <v>32.700400000000002</v>
      </c>
      <c r="AK21" s="54" t="s">
        <v>157</v>
      </c>
      <c r="AL21" s="54" t="s">
        <v>157</v>
      </c>
      <c r="AM21" s="54" t="s">
        <v>157</v>
      </c>
      <c r="AN21" s="54">
        <v>3.6399999999999997</v>
      </c>
      <c r="AO21" s="54" t="s">
        <v>158</v>
      </c>
      <c r="AP21" s="54" t="s">
        <v>157</v>
      </c>
      <c r="AQ21" s="54" t="s">
        <v>157</v>
      </c>
      <c r="AR21" s="54" t="s">
        <v>157</v>
      </c>
      <c r="AS21" s="54" t="s">
        <v>157</v>
      </c>
      <c r="AT21" s="54" t="s">
        <v>157</v>
      </c>
      <c r="AU21" s="54">
        <v>18.3596</v>
      </c>
      <c r="AV21" s="54" t="s">
        <v>158</v>
      </c>
      <c r="AW21" s="54" t="s">
        <v>157</v>
      </c>
      <c r="AX21" s="54" t="s">
        <v>157</v>
      </c>
      <c r="AY21" s="54" t="s">
        <v>158</v>
      </c>
      <c r="AZ21" s="54">
        <v>2.0299999999999998</v>
      </c>
      <c r="BA21" s="54" t="s">
        <v>158</v>
      </c>
      <c r="BB21" s="54" t="s">
        <v>157</v>
      </c>
      <c r="BC21" s="54" t="s">
        <v>157</v>
      </c>
      <c r="BD21" s="54">
        <v>4.5351999999999997</v>
      </c>
      <c r="BE21" s="54" t="s">
        <v>157</v>
      </c>
      <c r="BF21" s="53" t="s">
        <v>157</v>
      </c>
      <c r="BG21" s="53" t="s">
        <v>157</v>
      </c>
      <c r="BH21" s="53" t="s">
        <v>157</v>
      </c>
      <c r="BI21" s="53" t="s">
        <v>157</v>
      </c>
      <c r="BJ21" s="53" t="s">
        <v>157</v>
      </c>
      <c r="BK21" s="53" t="s">
        <v>157</v>
      </c>
      <c r="BL21" s="54">
        <v>6.5492000000000008</v>
      </c>
      <c r="BM21" s="54">
        <v>18.0306</v>
      </c>
      <c r="BN21" s="54">
        <v>27.953999999999997</v>
      </c>
      <c r="BO21" s="54">
        <v>13.047599999999999</v>
      </c>
      <c r="BP21" s="54" t="s">
        <v>158</v>
      </c>
      <c r="BQ21" s="53" t="s">
        <v>157</v>
      </c>
      <c r="BR21" s="53" t="s">
        <v>157</v>
      </c>
      <c r="BS21" s="53" t="s">
        <v>157</v>
      </c>
      <c r="BT21" s="53" t="s">
        <v>157</v>
      </c>
      <c r="BU21" s="53" t="s">
        <v>157</v>
      </c>
      <c r="BV21" s="138">
        <v>2.4392</v>
      </c>
    </row>
    <row r="22" spans="1:74" x14ac:dyDescent="0.25">
      <c r="A22" s="21">
        <v>41424</v>
      </c>
      <c r="B22" s="14">
        <f t="shared" si="0"/>
        <v>133</v>
      </c>
      <c r="C22" s="55">
        <v>41457</v>
      </c>
      <c r="D22" s="135">
        <v>1.0933092703344349</v>
      </c>
      <c r="E22" s="54">
        <v>22.9</v>
      </c>
      <c r="F22" s="54">
        <v>19.600000000000001</v>
      </c>
      <c r="G22" s="54">
        <v>70.699999999999989</v>
      </c>
      <c r="H22" s="138">
        <v>59.524000000000001</v>
      </c>
      <c r="I22" s="54">
        <v>117.64000000000001</v>
      </c>
      <c r="J22" s="54">
        <v>16.8</v>
      </c>
      <c r="K22" s="54">
        <v>4.5600000000000005</v>
      </c>
      <c r="L22" s="54">
        <v>5.18</v>
      </c>
      <c r="M22" s="54">
        <v>3.8000000000000003</v>
      </c>
      <c r="N22" s="54">
        <v>2.48</v>
      </c>
      <c r="O22" s="54" t="s">
        <v>158</v>
      </c>
      <c r="P22" s="53" t="s">
        <v>157</v>
      </c>
      <c r="Q22" s="54" t="s">
        <v>157</v>
      </c>
      <c r="R22" s="54" t="s">
        <v>157</v>
      </c>
      <c r="S22" s="54" t="s">
        <v>157</v>
      </c>
      <c r="T22" s="53" t="s">
        <v>157</v>
      </c>
      <c r="U22" s="54">
        <v>70.52</v>
      </c>
      <c r="V22" s="54" t="s">
        <v>157</v>
      </c>
      <c r="W22" s="54" t="s">
        <v>157</v>
      </c>
      <c r="X22" s="54" t="s">
        <v>157</v>
      </c>
      <c r="Y22" s="54" t="s">
        <v>158</v>
      </c>
      <c r="Z22" s="54" t="s">
        <v>157</v>
      </c>
      <c r="AA22" s="54" t="s">
        <v>157</v>
      </c>
      <c r="AB22" s="54" t="s">
        <v>157</v>
      </c>
      <c r="AC22" s="54">
        <v>216.15999999999997</v>
      </c>
      <c r="AD22" s="54">
        <v>5.9820000000000002</v>
      </c>
      <c r="AE22" s="54" t="s">
        <v>157</v>
      </c>
      <c r="AF22" s="54">
        <v>4.0999999999999996</v>
      </c>
      <c r="AG22" s="54" t="s">
        <v>158</v>
      </c>
      <c r="AH22" s="54">
        <v>16.28</v>
      </c>
      <c r="AI22" s="54" t="s">
        <v>157</v>
      </c>
      <c r="AJ22" s="54">
        <v>36.211919999999999</v>
      </c>
      <c r="AK22" s="54" t="s">
        <v>157</v>
      </c>
      <c r="AL22" s="54" t="s">
        <v>158</v>
      </c>
      <c r="AM22" s="54" t="s">
        <v>157</v>
      </c>
      <c r="AN22" s="54">
        <v>6.5861999999999998</v>
      </c>
      <c r="AO22" s="54">
        <v>4.9786000000000001</v>
      </c>
      <c r="AP22" s="54" t="s">
        <v>157</v>
      </c>
      <c r="AQ22" s="54" t="s">
        <v>157</v>
      </c>
      <c r="AR22" s="54" t="s">
        <v>157</v>
      </c>
      <c r="AS22" s="54" t="s">
        <v>157</v>
      </c>
      <c r="AT22" s="54" t="s">
        <v>157</v>
      </c>
      <c r="AU22" s="54">
        <v>23.495399999999997</v>
      </c>
      <c r="AV22" s="54">
        <v>9.27</v>
      </c>
      <c r="AW22" s="54" t="s">
        <v>157</v>
      </c>
      <c r="AX22" s="54" t="s">
        <v>157</v>
      </c>
      <c r="AY22" s="54">
        <v>3.5459999999999998</v>
      </c>
      <c r="AZ22" s="54" t="s">
        <v>157</v>
      </c>
      <c r="BA22" s="54" t="s">
        <v>157</v>
      </c>
      <c r="BB22" s="54" t="s">
        <v>157</v>
      </c>
      <c r="BC22" s="54" t="s">
        <v>157</v>
      </c>
      <c r="BD22" s="54">
        <v>5.8544</v>
      </c>
      <c r="BE22" s="54" t="s">
        <v>157</v>
      </c>
      <c r="BF22" s="53" t="s">
        <v>157</v>
      </c>
      <c r="BG22" s="53" t="s">
        <v>157</v>
      </c>
      <c r="BH22" s="53" t="s">
        <v>157</v>
      </c>
      <c r="BI22" s="53" t="s">
        <v>157</v>
      </c>
      <c r="BJ22" s="53" t="s">
        <v>157</v>
      </c>
      <c r="BK22" s="53" t="s">
        <v>157</v>
      </c>
      <c r="BL22" s="54">
        <v>6.3</v>
      </c>
      <c r="BM22" s="54">
        <v>17.559999999999999</v>
      </c>
      <c r="BN22" s="54">
        <v>59.11999999999999</v>
      </c>
      <c r="BO22" s="54">
        <v>56.48</v>
      </c>
      <c r="BP22" s="54">
        <v>11.08</v>
      </c>
      <c r="BQ22" s="53" t="s">
        <v>157</v>
      </c>
      <c r="BR22" s="53" t="s">
        <v>157</v>
      </c>
      <c r="BS22" s="53" t="s">
        <v>157</v>
      </c>
      <c r="BT22" s="53" t="s">
        <v>157</v>
      </c>
      <c r="BU22" s="53" t="s">
        <v>157</v>
      </c>
      <c r="BV22" s="54">
        <v>11.44</v>
      </c>
    </row>
    <row r="23" spans="1:74" x14ac:dyDescent="0.25">
      <c r="A23" s="21">
        <v>41436</v>
      </c>
      <c r="B23" s="14">
        <f t="shared" si="0"/>
        <v>145</v>
      </c>
      <c r="C23" s="55">
        <v>41837</v>
      </c>
      <c r="D23" s="135">
        <v>1.0933092703344349</v>
      </c>
      <c r="E23" s="54" t="s">
        <v>158</v>
      </c>
      <c r="F23" s="54" t="s">
        <v>158</v>
      </c>
      <c r="G23" s="54">
        <v>88.869399999999999</v>
      </c>
      <c r="H23" s="54">
        <v>78.020133333333334</v>
      </c>
      <c r="I23" s="54">
        <v>141.95399999999998</v>
      </c>
      <c r="J23" s="54">
        <v>13.642199999999999</v>
      </c>
      <c r="K23" s="54">
        <v>3.4895999999999998</v>
      </c>
      <c r="L23" s="54" t="s">
        <v>158</v>
      </c>
      <c r="M23" s="54">
        <v>2.1008</v>
      </c>
      <c r="N23" s="54" t="s">
        <v>157</v>
      </c>
      <c r="O23" s="54" t="s">
        <v>158</v>
      </c>
      <c r="P23" s="53" t="s">
        <v>157</v>
      </c>
      <c r="Q23" s="54" t="s">
        <v>158</v>
      </c>
      <c r="R23" s="54" t="s">
        <v>157</v>
      </c>
      <c r="S23" s="54" t="s">
        <v>157</v>
      </c>
      <c r="T23" s="53" t="s">
        <v>157</v>
      </c>
      <c r="U23" s="54">
        <v>220.34039999999999</v>
      </c>
      <c r="V23" s="54" t="s">
        <v>157</v>
      </c>
      <c r="W23" s="54" t="s">
        <v>157</v>
      </c>
      <c r="X23" s="54" t="s">
        <v>157</v>
      </c>
      <c r="Y23" s="54" t="s">
        <v>157</v>
      </c>
      <c r="Z23" s="54" t="s">
        <v>157</v>
      </c>
      <c r="AA23" s="54" t="s">
        <v>157</v>
      </c>
      <c r="AB23" s="54" t="s">
        <v>157</v>
      </c>
      <c r="AC23" s="54">
        <v>393.1182</v>
      </c>
      <c r="AD23" s="54">
        <v>8.3040000000000003</v>
      </c>
      <c r="AE23" s="54" t="s">
        <v>157</v>
      </c>
      <c r="AF23" s="54">
        <v>2.4472</v>
      </c>
      <c r="AG23" s="54">
        <v>2.3512</v>
      </c>
      <c r="AH23" s="54">
        <v>17.773199999999999</v>
      </c>
      <c r="AI23" s="54" t="s">
        <v>157</v>
      </c>
      <c r="AJ23" s="54">
        <v>30.1508</v>
      </c>
      <c r="AK23" s="54" t="s">
        <v>157</v>
      </c>
      <c r="AL23" s="54" t="s">
        <v>157</v>
      </c>
      <c r="AM23" s="54" t="s">
        <v>157</v>
      </c>
      <c r="AN23" s="54">
        <v>6.4526000000000003</v>
      </c>
      <c r="AO23" s="54" t="s">
        <v>158</v>
      </c>
      <c r="AP23" s="54" t="s">
        <v>157</v>
      </c>
      <c r="AQ23" s="54" t="s">
        <v>157</v>
      </c>
      <c r="AR23" s="54" t="s">
        <v>157</v>
      </c>
      <c r="AS23" s="54" t="s">
        <v>157</v>
      </c>
      <c r="AT23" s="54" t="s">
        <v>157</v>
      </c>
      <c r="AU23" s="54">
        <v>21.551199999999998</v>
      </c>
      <c r="AV23" s="54">
        <v>7.3275999999999994</v>
      </c>
      <c r="AW23" s="54" t="s">
        <v>157</v>
      </c>
      <c r="AX23" s="54" t="s">
        <v>157</v>
      </c>
      <c r="AY23" s="54" t="s">
        <v>157</v>
      </c>
      <c r="AZ23" s="54" t="s">
        <v>157</v>
      </c>
      <c r="BA23" s="54" t="s">
        <v>157</v>
      </c>
      <c r="BB23" s="54" t="s">
        <v>157</v>
      </c>
      <c r="BC23" s="54" t="s">
        <v>157</v>
      </c>
      <c r="BD23" s="138">
        <v>3.3444000000000003</v>
      </c>
      <c r="BE23" s="54" t="s">
        <v>157</v>
      </c>
      <c r="BF23" s="53" t="s">
        <v>157</v>
      </c>
      <c r="BG23" s="53" t="s">
        <v>157</v>
      </c>
      <c r="BH23" s="53" t="s">
        <v>157</v>
      </c>
      <c r="BI23" s="53" t="s">
        <v>157</v>
      </c>
      <c r="BJ23" s="53" t="s">
        <v>157</v>
      </c>
      <c r="BK23" s="53" t="s">
        <v>157</v>
      </c>
      <c r="BL23" s="54">
        <v>4.0175999999999998</v>
      </c>
      <c r="BM23" s="54">
        <v>11.462533333333333</v>
      </c>
      <c r="BN23" s="54">
        <v>28.456266666666664</v>
      </c>
      <c r="BO23" s="54">
        <v>21.519066666666664</v>
      </c>
      <c r="BP23" s="54">
        <v>5.4108000000000001</v>
      </c>
      <c r="BQ23" s="53" t="s">
        <v>157</v>
      </c>
      <c r="BR23" s="53" t="s">
        <v>157</v>
      </c>
      <c r="BS23" s="53" t="s">
        <v>157</v>
      </c>
      <c r="BT23" s="53" t="s">
        <v>157</v>
      </c>
      <c r="BU23" s="53" t="s">
        <v>157</v>
      </c>
      <c r="BV23" s="54">
        <v>3.7929333333333326</v>
      </c>
    </row>
    <row r="24" spans="1:74" x14ac:dyDescent="0.25">
      <c r="A24" s="21">
        <v>41452</v>
      </c>
      <c r="B24" s="14">
        <f t="shared" si="0"/>
        <v>161</v>
      </c>
      <c r="C24" s="50"/>
      <c r="D24" s="135">
        <v>1.0933092703344349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</row>
    <row r="25" spans="1:74" x14ac:dyDescent="0.25">
      <c r="A25" s="21">
        <v>41465</v>
      </c>
      <c r="B25" s="14">
        <f t="shared" si="0"/>
        <v>174</v>
      </c>
      <c r="C25" s="55" t="s">
        <v>176</v>
      </c>
      <c r="D25" s="135">
        <v>1.0933092703344349</v>
      </c>
      <c r="E25" s="54" t="s">
        <v>158</v>
      </c>
      <c r="F25" s="54">
        <v>31.6892</v>
      </c>
      <c r="G25" s="54">
        <v>100.0568</v>
      </c>
      <c r="H25" s="138">
        <v>127.05840000000001</v>
      </c>
      <c r="I25" s="54">
        <v>136.41659999999999</v>
      </c>
      <c r="J25" s="54">
        <v>14.863199999999999</v>
      </c>
      <c r="K25" s="54">
        <v>2.6788000000000003</v>
      </c>
      <c r="L25" s="54" t="s">
        <v>158</v>
      </c>
      <c r="M25" s="54" t="s">
        <v>158</v>
      </c>
      <c r="N25" s="54" t="s">
        <v>158</v>
      </c>
      <c r="O25" s="54" t="s">
        <v>158</v>
      </c>
      <c r="P25" s="53" t="s">
        <v>157</v>
      </c>
      <c r="Q25" s="54" t="s">
        <v>158</v>
      </c>
      <c r="R25" s="54" t="s">
        <v>157</v>
      </c>
      <c r="S25" s="54" t="s">
        <v>157</v>
      </c>
      <c r="T25" s="53" t="s">
        <v>157</v>
      </c>
      <c r="U25" s="54">
        <v>354.08459999999997</v>
      </c>
      <c r="V25" s="54" t="s">
        <v>157</v>
      </c>
      <c r="W25" s="54" t="s">
        <v>157</v>
      </c>
      <c r="X25" s="54" t="s">
        <v>157</v>
      </c>
      <c r="Y25" s="54">
        <v>6.8444000000000003</v>
      </c>
      <c r="Z25" s="54" t="s">
        <v>157</v>
      </c>
      <c r="AA25" s="54" t="s">
        <v>157</v>
      </c>
      <c r="AB25" s="54" t="s">
        <v>157</v>
      </c>
      <c r="AC25" s="54">
        <v>643.19439999999997</v>
      </c>
      <c r="AD25" s="54">
        <v>15.2492</v>
      </c>
      <c r="AE25" s="54" t="s">
        <v>157</v>
      </c>
      <c r="AF25" s="54">
        <v>3.3207999999999998</v>
      </c>
      <c r="AG25" s="54" t="s">
        <v>157</v>
      </c>
      <c r="AH25" s="54">
        <v>14.320799999999998</v>
      </c>
      <c r="AI25" s="54" t="s">
        <v>157</v>
      </c>
      <c r="AJ25" s="54">
        <v>23.734400000000001</v>
      </c>
      <c r="AK25" s="54" t="s">
        <v>157</v>
      </c>
      <c r="AL25" s="54" t="s">
        <v>157</v>
      </c>
      <c r="AM25" s="54" t="s">
        <v>157</v>
      </c>
      <c r="AN25" s="54">
        <v>2.5161999999999995</v>
      </c>
      <c r="AO25" s="54" t="s">
        <v>158</v>
      </c>
      <c r="AP25" s="54" t="s">
        <v>157</v>
      </c>
      <c r="AQ25" s="54" t="s">
        <v>157</v>
      </c>
      <c r="AR25" s="54" t="s">
        <v>157</v>
      </c>
      <c r="AS25" s="54" t="s">
        <v>157</v>
      </c>
      <c r="AT25" s="54" t="s">
        <v>157</v>
      </c>
      <c r="AU25" s="54">
        <v>20.260399999999997</v>
      </c>
      <c r="AV25" s="54" t="s">
        <v>158</v>
      </c>
      <c r="AW25" s="54" t="s">
        <v>157</v>
      </c>
      <c r="AX25" s="54" t="s">
        <v>157</v>
      </c>
      <c r="AY25" s="54" t="s">
        <v>158</v>
      </c>
      <c r="AZ25" s="54" t="s">
        <v>158</v>
      </c>
      <c r="BA25" s="54" t="s">
        <v>158</v>
      </c>
      <c r="BB25" s="54" t="s">
        <v>157</v>
      </c>
      <c r="BC25" s="54" t="s">
        <v>157</v>
      </c>
      <c r="BD25" s="138">
        <v>3.024</v>
      </c>
      <c r="BE25" s="54" t="s">
        <v>157</v>
      </c>
      <c r="BF25" s="53" t="s">
        <v>157</v>
      </c>
      <c r="BG25" s="53" t="s">
        <v>157</v>
      </c>
      <c r="BH25" s="53" t="s">
        <v>157</v>
      </c>
      <c r="BI25" s="53" t="s">
        <v>157</v>
      </c>
      <c r="BJ25" s="53" t="s">
        <v>157</v>
      </c>
      <c r="BK25" s="53" t="s">
        <v>157</v>
      </c>
      <c r="BL25" s="54" t="s">
        <v>158</v>
      </c>
      <c r="BM25" s="54">
        <v>3.3050000000000002</v>
      </c>
      <c r="BN25" s="54">
        <v>21.683399999999999</v>
      </c>
      <c r="BO25" s="54">
        <v>18.350199999999997</v>
      </c>
      <c r="BP25" s="54">
        <v>2.3148</v>
      </c>
      <c r="BQ25" s="53" t="s">
        <v>157</v>
      </c>
      <c r="BR25" s="53" t="s">
        <v>157</v>
      </c>
      <c r="BS25" s="53" t="s">
        <v>157</v>
      </c>
      <c r="BT25" s="53" t="s">
        <v>157</v>
      </c>
      <c r="BU25" s="53" t="s">
        <v>157</v>
      </c>
      <c r="BV25" s="54">
        <v>3.39</v>
      </c>
    </row>
    <row r="26" spans="1:74" x14ac:dyDescent="0.25">
      <c r="A26" s="21">
        <v>41479</v>
      </c>
      <c r="B26" s="14">
        <f t="shared" si="0"/>
        <v>188</v>
      </c>
      <c r="C26" s="50"/>
      <c r="D26" s="135">
        <v>1.0933092703344349</v>
      </c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</row>
    <row r="27" spans="1:74" x14ac:dyDescent="0.25">
      <c r="A27" s="21">
        <v>41493</v>
      </c>
      <c r="B27" s="14">
        <f t="shared" si="0"/>
        <v>202</v>
      </c>
      <c r="C27" s="55" t="s">
        <v>176</v>
      </c>
      <c r="D27" s="135">
        <v>1.0933092703344349</v>
      </c>
      <c r="E27" s="54" t="s">
        <v>158</v>
      </c>
      <c r="F27" s="54">
        <v>29.136799999999997</v>
      </c>
      <c r="G27" s="54">
        <v>124.0204</v>
      </c>
      <c r="H27" s="138">
        <v>120.7088</v>
      </c>
      <c r="I27" s="54">
        <v>142.22200000000001</v>
      </c>
      <c r="J27" s="54">
        <v>11.311999999999999</v>
      </c>
      <c r="K27" s="54" t="s">
        <v>158</v>
      </c>
      <c r="L27" s="54" t="s">
        <v>158</v>
      </c>
      <c r="M27" s="54" t="s">
        <v>158</v>
      </c>
      <c r="N27" s="54" t="s">
        <v>158</v>
      </c>
      <c r="O27" s="54" t="s">
        <v>158</v>
      </c>
      <c r="P27" s="53" t="s">
        <v>157</v>
      </c>
      <c r="Q27" s="54" t="s">
        <v>158</v>
      </c>
      <c r="R27" s="54" t="s">
        <v>157</v>
      </c>
      <c r="S27" s="54" t="s">
        <v>157</v>
      </c>
      <c r="T27" s="53" t="s">
        <v>157</v>
      </c>
      <c r="U27" s="54">
        <v>508.8306</v>
      </c>
      <c r="V27" s="54" t="s">
        <v>157</v>
      </c>
      <c r="W27" s="54" t="s">
        <v>157</v>
      </c>
      <c r="X27" s="54" t="s">
        <v>157</v>
      </c>
      <c r="Y27" s="54">
        <v>9.0007999999999999</v>
      </c>
      <c r="Z27" s="54" t="s">
        <v>157</v>
      </c>
      <c r="AA27" s="54" t="s">
        <v>157</v>
      </c>
      <c r="AB27" s="54" t="s">
        <v>157</v>
      </c>
      <c r="AC27" s="54">
        <v>854.73399999999992</v>
      </c>
      <c r="AD27" s="54">
        <v>9.5912000000000006</v>
      </c>
      <c r="AE27" s="54" t="s">
        <v>157</v>
      </c>
      <c r="AF27" s="54">
        <v>3.1728000000000001</v>
      </c>
      <c r="AG27" s="54" t="s">
        <v>157</v>
      </c>
      <c r="AH27" s="54">
        <v>18.102399999999999</v>
      </c>
      <c r="AI27" s="54" t="s">
        <v>157</v>
      </c>
      <c r="AJ27" s="54">
        <v>23.855199999999996</v>
      </c>
      <c r="AK27" s="54" t="s">
        <v>157</v>
      </c>
      <c r="AL27" s="54" t="s">
        <v>157</v>
      </c>
      <c r="AM27" s="54" t="s">
        <v>157</v>
      </c>
      <c r="AN27" s="54">
        <v>3.9091999999999998</v>
      </c>
      <c r="AO27" s="54" t="s">
        <v>158</v>
      </c>
      <c r="AP27" s="54" t="s">
        <v>157</v>
      </c>
      <c r="AQ27" s="54" t="s">
        <v>157</v>
      </c>
      <c r="AR27" s="54" t="s">
        <v>157</v>
      </c>
      <c r="AS27" s="54" t="s">
        <v>157</v>
      </c>
      <c r="AT27" s="54" t="s">
        <v>157</v>
      </c>
      <c r="AU27" s="54">
        <v>28.361599999999996</v>
      </c>
      <c r="AV27" s="54" t="s">
        <v>158</v>
      </c>
      <c r="AW27" s="54" t="s">
        <v>157</v>
      </c>
      <c r="AX27" s="54" t="s">
        <v>157</v>
      </c>
      <c r="AY27" s="54" t="s">
        <v>158</v>
      </c>
      <c r="AZ27" s="54">
        <v>6.0747999999999998</v>
      </c>
      <c r="BA27" s="54" t="s">
        <v>158</v>
      </c>
      <c r="BB27" s="54" t="s">
        <v>157</v>
      </c>
      <c r="BC27" s="54" t="s">
        <v>157</v>
      </c>
      <c r="BD27" s="138">
        <v>2.7768000000000002</v>
      </c>
      <c r="BE27" s="54" t="s">
        <v>157</v>
      </c>
      <c r="BF27" s="53" t="s">
        <v>157</v>
      </c>
      <c r="BG27" s="53" t="s">
        <v>157</v>
      </c>
      <c r="BH27" s="53" t="s">
        <v>157</v>
      </c>
      <c r="BI27" s="53" t="s">
        <v>157</v>
      </c>
      <c r="BJ27" s="53" t="s">
        <v>157</v>
      </c>
      <c r="BK27" s="53" t="s">
        <v>157</v>
      </c>
      <c r="BL27" s="54" t="s">
        <v>158</v>
      </c>
      <c r="BM27" s="54">
        <v>3.2816000000000005</v>
      </c>
      <c r="BN27" s="54">
        <v>10.7622</v>
      </c>
      <c r="BO27" s="54">
        <v>10.826799999999999</v>
      </c>
      <c r="BP27" s="54" t="s">
        <v>158</v>
      </c>
      <c r="BQ27" s="53" t="s">
        <v>157</v>
      </c>
      <c r="BR27" s="53" t="s">
        <v>157</v>
      </c>
      <c r="BS27" s="53" t="s">
        <v>157</v>
      </c>
      <c r="BT27" s="53" t="s">
        <v>157</v>
      </c>
      <c r="BU27" s="53" t="s">
        <v>157</v>
      </c>
      <c r="BV27" s="54" t="s">
        <v>158</v>
      </c>
    </row>
    <row r="28" spans="1:74" x14ac:dyDescent="0.25">
      <c r="A28" s="21">
        <v>41507</v>
      </c>
      <c r="B28" s="14">
        <f>A28-$B$2</f>
        <v>216</v>
      </c>
      <c r="C28" s="50"/>
      <c r="D28" s="135">
        <v>1.0933092703344349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</row>
    <row r="29" spans="1:74" x14ac:dyDescent="0.25">
      <c r="A29" s="21">
        <v>41521</v>
      </c>
      <c r="B29" s="14">
        <f>A29-$B$2</f>
        <v>230</v>
      </c>
      <c r="C29" s="55" t="s">
        <v>176</v>
      </c>
      <c r="D29" s="135">
        <v>1.0933092703344349</v>
      </c>
      <c r="E29" s="54" t="s">
        <v>158</v>
      </c>
      <c r="F29" s="54">
        <v>31.186800000000002</v>
      </c>
      <c r="G29" s="54">
        <v>111.17</v>
      </c>
      <c r="H29" s="138">
        <v>120.2428</v>
      </c>
      <c r="I29" s="54">
        <v>144.79640000000001</v>
      </c>
      <c r="J29" s="54">
        <v>11.347</v>
      </c>
      <c r="K29" s="54" t="s">
        <v>158</v>
      </c>
      <c r="L29" s="54" t="s">
        <v>158</v>
      </c>
      <c r="M29" s="54" t="s">
        <v>158</v>
      </c>
      <c r="N29" s="54" t="s">
        <v>158</v>
      </c>
      <c r="O29" s="54" t="s">
        <v>158</v>
      </c>
      <c r="P29" s="53" t="s">
        <v>157</v>
      </c>
      <c r="Q29" s="54" t="s">
        <v>158</v>
      </c>
      <c r="R29" s="54" t="s">
        <v>157</v>
      </c>
      <c r="S29" s="54" t="s">
        <v>157</v>
      </c>
      <c r="T29" s="53" t="s">
        <v>157</v>
      </c>
      <c r="U29" s="54">
        <v>500.89879999999994</v>
      </c>
      <c r="V29" s="54" t="s">
        <v>157</v>
      </c>
      <c r="W29" s="54" t="s">
        <v>157</v>
      </c>
      <c r="X29" s="54" t="s">
        <v>157</v>
      </c>
      <c r="Y29" s="54">
        <v>16.830000000000002</v>
      </c>
      <c r="Z29" s="54" t="s">
        <v>157</v>
      </c>
      <c r="AA29" s="54" t="s">
        <v>157</v>
      </c>
      <c r="AB29" s="54" t="s">
        <v>157</v>
      </c>
      <c r="AC29" s="54">
        <v>976.08680000000004</v>
      </c>
      <c r="AD29" s="54">
        <v>21.711199999999998</v>
      </c>
      <c r="AE29" s="54" t="s">
        <v>157</v>
      </c>
      <c r="AF29" s="54">
        <v>3.3295999999999997</v>
      </c>
      <c r="AG29" s="54" t="s">
        <v>157</v>
      </c>
      <c r="AH29" s="54">
        <v>14.965199999999998</v>
      </c>
      <c r="AI29" s="54" t="s">
        <v>157</v>
      </c>
      <c r="AJ29" s="54">
        <v>29.334</v>
      </c>
      <c r="AK29" s="54" t="s">
        <v>157</v>
      </c>
      <c r="AL29" s="54" t="s">
        <v>157</v>
      </c>
      <c r="AM29" s="54" t="s">
        <v>157</v>
      </c>
      <c r="AN29" s="54">
        <v>4.0251999999999999</v>
      </c>
      <c r="AO29" s="54" t="s">
        <v>158</v>
      </c>
      <c r="AP29" s="54" t="s">
        <v>157</v>
      </c>
      <c r="AQ29" s="54" t="s">
        <v>157</v>
      </c>
      <c r="AR29" s="54" t="s">
        <v>157</v>
      </c>
      <c r="AS29" s="54" t="s">
        <v>157</v>
      </c>
      <c r="AT29" s="54" t="s">
        <v>157</v>
      </c>
      <c r="AU29" s="54">
        <v>29.422199999999997</v>
      </c>
      <c r="AV29" s="54" t="s">
        <v>158</v>
      </c>
      <c r="AW29" s="54" t="s">
        <v>157</v>
      </c>
      <c r="AX29" s="54" t="s">
        <v>157</v>
      </c>
      <c r="AY29" s="54" t="s">
        <v>158</v>
      </c>
      <c r="AZ29" s="54">
        <v>5.3836000000000004</v>
      </c>
      <c r="BA29" s="54" t="s">
        <v>158</v>
      </c>
      <c r="BB29" s="54" t="s">
        <v>157</v>
      </c>
      <c r="BC29" s="54" t="s">
        <v>157</v>
      </c>
      <c r="BD29" s="138">
        <v>2.7596000000000003</v>
      </c>
      <c r="BE29" s="54" t="s">
        <v>157</v>
      </c>
      <c r="BF29" s="53" t="s">
        <v>157</v>
      </c>
      <c r="BG29" s="53" t="s">
        <v>157</v>
      </c>
      <c r="BH29" s="53" t="s">
        <v>157</v>
      </c>
      <c r="BI29" s="53" t="s">
        <v>157</v>
      </c>
      <c r="BJ29" s="53" t="s">
        <v>157</v>
      </c>
      <c r="BK29" s="53" t="s">
        <v>157</v>
      </c>
      <c r="BL29" s="54" t="s">
        <v>157</v>
      </c>
      <c r="BM29" s="54">
        <v>3.9855999999999998</v>
      </c>
      <c r="BN29" s="54">
        <v>8.7338000000000005</v>
      </c>
      <c r="BO29" s="54">
        <v>14.148399999999999</v>
      </c>
      <c r="BP29" s="54">
        <v>3.1595999999999997</v>
      </c>
      <c r="BQ29" s="53" t="s">
        <v>157</v>
      </c>
      <c r="BR29" s="53" t="s">
        <v>157</v>
      </c>
      <c r="BS29" s="53" t="s">
        <v>157</v>
      </c>
      <c r="BT29" s="53" t="s">
        <v>157</v>
      </c>
      <c r="BU29" s="53" t="s">
        <v>157</v>
      </c>
      <c r="BV29" s="54" t="s">
        <v>158</v>
      </c>
    </row>
    <row r="30" spans="1:74" x14ac:dyDescent="0.25">
      <c r="A30" s="21">
        <v>41535</v>
      </c>
      <c r="B30" s="14">
        <f>A30-$B$2</f>
        <v>244</v>
      </c>
      <c r="C30" s="50"/>
      <c r="D30" s="135">
        <v>1.0933092703344349</v>
      </c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</row>
    <row r="31" spans="1:74" x14ac:dyDescent="0.25">
      <c r="A31" s="21">
        <v>41551</v>
      </c>
      <c r="B31" s="14">
        <f>A31-$B$2</f>
        <v>260</v>
      </c>
      <c r="C31" s="50"/>
      <c r="D31" s="135">
        <v>1.0933092703344349</v>
      </c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</row>
    <row r="32" spans="1:74" x14ac:dyDescent="0.25">
      <c r="A32" s="21">
        <v>41564</v>
      </c>
      <c r="B32" s="14">
        <f>A32-$B$2</f>
        <v>273</v>
      </c>
      <c r="C32" s="130" t="s">
        <v>176</v>
      </c>
      <c r="D32" s="135">
        <v>1.0933092703344349</v>
      </c>
      <c r="E32" s="129" t="s">
        <v>158</v>
      </c>
      <c r="F32" s="129">
        <v>30.509600000000002</v>
      </c>
      <c r="G32" s="129">
        <v>123.21</v>
      </c>
      <c r="H32" s="139">
        <v>132.04300000000001</v>
      </c>
      <c r="I32" s="129">
        <v>149.19999999999999</v>
      </c>
      <c r="J32" s="129">
        <v>12.077999999999999</v>
      </c>
      <c r="K32" s="129" t="s">
        <v>158</v>
      </c>
      <c r="L32" s="129" t="s">
        <v>158</v>
      </c>
      <c r="M32" s="129" t="s">
        <v>158</v>
      </c>
      <c r="N32" s="129" t="s">
        <v>158</v>
      </c>
      <c r="O32" s="129" t="s">
        <v>158</v>
      </c>
      <c r="P32" s="129" t="s">
        <v>157</v>
      </c>
      <c r="Q32" s="129" t="s">
        <v>158</v>
      </c>
      <c r="R32" s="129" t="s">
        <v>157</v>
      </c>
      <c r="S32" s="129" t="s">
        <v>157</v>
      </c>
      <c r="T32" s="129" t="s">
        <v>157</v>
      </c>
      <c r="U32" s="129">
        <v>636.59859999999992</v>
      </c>
      <c r="V32" s="129" t="s">
        <v>157</v>
      </c>
      <c r="W32" s="129" t="s">
        <v>157</v>
      </c>
      <c r="X32" s="129" t="s">
        <v>157</v>
      </c>
      <c r="Y32" s="129">
        <v>12.564</v>
      </c>
      <c r="Z32" s="129" t="s">
        <v>157</v>
      </c>
      <c r="AA32" s="129" t="s">
        <v>157</v>
      </c>
      <c r="AB32" s="129" t="s">
        <v>157</v>
      </c>
      <c r="AC32" s="129">
        <v>1680.5259999999998</v>
      </c>
      <c r="AD32" s="129">
        <v>25.501999999999999</v>
      </c>
      <c r="AE32" s="129" t="s">
        <v>157</v>
      </c>
      <c r="AF32" s="129">
        <v>3.4043999999999994</v>
      </c>
      <c r="AG32" s="129" t="s">
        <v>157</v>
      </c>
      <c r="AH32" s="129">
        <v>18.847200000000001</v>
      </c>
      <c r="AI32" s="129" t="s">
        <v>157</v>
      </c>
      <c r="AJ32" s="129">
        <v>24.098799999999997</v>
      </c>
      <c r="AK32" s="129" t="s">
        <v>157</v>
      </c>
      <c r="AL32" s="129" t="s">
        <v>157</v>
      </c>
      <c r="AM32" s="129" t="s">
        <v>157</v>
      </c>
      <c r="AN32" s="129">
        <v>6.4343999999999992</v>
      </c>
      <c r="AO32" s="129" t="s">
        <v>157</v>
      </c>
      <c r="AP32" s="129" t="s">
        <v>157</v>
      </c>
      <c r="AQ32" s="129" t="s">
        <v>157</v>
      </c>
      <c r="AR32" s="129" t="s">
        <v>157</v>
      </c>
      <c r="AS32" s="129" t="s">
        <v>157</v>
      </c>
      <c r="AT32" s="129" t="s">
        <v>157</v>
      </c>
      <c r="AU32" s="129">
        <v>52.395199999999996</v>
      </c>
      <c r="AV32" s="129" t="s">
        <v>158</v>
      </c>
      <c r="AW32" s="129" t="s">
        <v>157</v>
      </c>
      <c r="AX32" s="129" t="s">
        <v>157</v>
      </c>
      <c r="AY32" s="129" t="s">
        <v>158</v>
      </c>
      <c r="AZ32" s="129">
        <v>20.459199999999999</v>
      </c>
      <c r="BA32" s="129" t="s">
        <v>158</v>
      </c>
      <c r="BB32" s="129" t="s">
        <v>157</v>
      </c>
      <c r="BC32" s="129" t="s">
        <v>157</v>
      </c>
      <c r="BD32" s="139">
        <v>3.1776</v>
      </c>
      <c r="BE32" s="129" t="s">
        <v>157</v>
      </c>
      <c r="BF32" s="129" t="s">
        <v>157</v>
      </c>
      <c r="BG32" s="129" t="s">
        <v>157</v>
      </c>
      <c r="BH32" s="129" t="s">
        <v>157</v>
      </c>
      <c r="BI32" s="129" t="s">
        <v>157</v>
      </c>
      <c r="BJ32" s="129" t="s">
        <v>157</v>
      </c>
      <c r="BK32" s="129" t="s">
        <v>157</v>
      </c>
      <c r="BL32" s="129" t="s">
        <v>157</v>
      </c>
      <c r="BM32" s="129" t="s">
        <v>158</v>
      </c>
      <c r="BN32" s="129">
        <v>8.4131999999999998</v>
      </c>
      <c r="BO32" s="129">
        <v>16.129199999999997</v>
      </c>
      <c r="BP32" s="129">
        <v>3.6623999999999999</v>
      </c>
      <c r="BQ32" s="129" t="s">
        <v>157</v>
      </c>
      <c r="BR32" s="129" t="s">
        <v>157</v>
      </c>
      <c r="BS32" s="129" t="s">
        <v>157</v>
      </c>
      <c r="BT32" s="129" t="s">
        <v>157</v>
      </c>
      <c r="BU32" s="129" t="s">
        <v>157</v>
      </c>
      <c r="BV32" s="129" t="s">
        <v>158</v>
      </c>
    </row>
    <row r="33" spans="1:75" x14ac:dyDescent="0.25">
      <c r="B33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  <c r="AX33" s="124"/>
      <c r="AY33" s="124"/>
      <c r="AZ33" s="124"/>
      <c r="BA33" s="124"/>
      <c r="BB33" s="124"/>
      <c r="BC33" s="124"/>
      <c r="BD33" s="124"/>
      <c r="BE33" s="124"/>
      <c r="BF33" s="124"/>
      <c r="BG33" s="124"/>
      <c r="BH33" s="124"/>
      <c r="BI33" s="124"/>
      <c r="BJ33" s="124"/>
      <c r="BK33" s="124"/>
      <c r="BL33" s="124"/>
      <c r="BM33" s="124"/>
      <c r="BN33" s="124"/>
      <c r="BO33" s="124"/>
      <c r="BP33" s="124"/>
      <c r="BQ33" s="124"/>
      <c r="BR33" s="124"/>
      <c r="BS33" s="124"/>
      <c r="BT33" s="124"/>
      <c r="BU33" s="124"/>
      <c r="BV33" s="124"/>
    </row>
    <row r="34" spans="1:75" s="162" customFormat="1" x14ac:dyDescent="0.25">
      <c r="A34" s="127"/>
      <c r="B34" s="205"/>
      <c r="C34" s="130" t="s">
        <v>240</v>
      </c>
      <c r="D34" s="130"/>
      <c r="E34" s="129">
        <f>COUNTIF(E9:E32,"ND")</f>
        <v>0</v>
      </c>
      <c r="F34" s="129">
        <f t="shared" ref="F34:BQ34" si="1">COUNTIF(F9:F32,"ND")</f>
        <v>0</v>
      </c>
      <c r="G34" s="129">
        <f t="shared" si="1"/>
        <v>0</v>
      </c>
      <c r="H34" s="129">
        <f t="shared" si="1"/>
        <v>0</v>
      </c>
      <c r="I34" s="129">
        <f t="shared" si="1"/>
        <v>0</v>
      </c>
      <c r="J34" s="129">
        <f t="shared" si="1"/>
        <v>0</v>
      </c>
      <c r="K34" s="129">
        <f t="shared" si="1"/>
        <v>0</v>
      </c>
      <c r="L34" s="129">
        <f t="shared" si="1"/>
        <v>0</v>
      </c>
      <c r="M34" s="129">
        <f t="shared" si="1"/>
        <v>0</v>
      </c>
      <c r="N34" s="129">
        <f t="shared" si="1"/>
        <v>4</v>
      </c>
      <c r="O34" s="129">
        <f t="shared" si="1"/>
        <v>2</v>
      </c>
      <c r="P34" s="129">
        <f t="shared" si="1"/>
        <v>13</v>
      </c>
      <c r="Q34" s="129">
        <f t="shared" si="1"/>
        <v>4</v>
      </c>
      <c r="R34" s="129">
        <f t="shared" si="1"/>
        <v>13</v>
      </c>
      <c r="S34" s="129">
        <f>COUNTIF(S9:S32,"ND")</f>
        <v>13</v>
      </c>
      <c r="T34" s="129">
        <f t="shared" si="1"/>
        <v>13</v>
      </c>
      <c r="U34" s="129">
        <f t="shared" si="1"/>
        <v>0</v>
      </c>
      <c r="V34" s="129">
        <f t="shared" si="1"/>
        <v>13</v>
      </c>
      <c r="W34" s="129">
        <f t="shared" si="1"/>
        <v>13</v>
      </c>
      <c r="X34" s="129">
        <f t="shared" si="1"/>
        <v>13</v>
      </c>
      <c r="Y34" s="129">
        <f t="shared" si="1"/>
        <v>6</v>
      </c>
      <c r="Z34" s="129">
        <f t="shared" si="1"/>
        <v>12</v>
      </c>
      <c r="AA34" s="129">
        <f t="shared" si="1"/>
        <v>12</v>
      </c>
      <c r="AB34" s="129">
        <f t="shared" si="1"/>
        <v>13</v>
      </c>
      <c r="AC34" s="129">
        <f t="shared" si="1"/>
        <v>0</v>
      </c>
      <c r="AD34" s="129">
        <f t="shared" si="1"/>
        <v>3</v>
      </c>
      <c r="AE34" s="129">
        <f t="shared" si="1"/>
        <v>13</v>
      </c>
      <c r="AF34" s="129">
        <f t="shared" si="1"/>
        <v>0</v>
      </c>
      <c r="AG34" s="129">
        <f t="shared" si="1"/>
        <v>7</v>
      </c>
      <c r="AH34" s="129">
        <f t="shared" si="1"/>
        <v>0</v>
      </c>
      <c r="AI34" s="129">
        <f t="shared" si="1"/>
        <v>13</v>
      </c>
      <c r="AJ34" s="129">
        <f t="shared" si="1"/>
        <v>0</v>
      </c>
      <c r="AK34" s="129">
        <f t="shared" si="1"/>
        <v>13</v>
      </c>
      <c r="AL34" s="129">
        <f t="shared" si="1"/>
        <v>10</v>
      </c>
      <c r="AM34" s="129">
        <f t="shared" si="1"/>
        <v>13</v>
      </c>
      <c r="AN34" s="129">
        <f t="shared" si="1"/>
        <v>0</v>
      </c>
      <c r="AO34" s="129">
        <f t="shared" si="1"/>
        <v>1</v>
      </c>
      <c r="AP34" s="129">
        <f t="shared" si="1"/>
        <v>13</v>
      </c>
      <c r="AQ34" s="129">
        <f t="shared" si="1"/>
        <v>13</v>
      </c>
      <c r="AR34" s="129">
        <f t="shared" si="1"/>
        <v>13</v>
      </c>
      <c r="AS34" s="129">
        <f t="shared" si="1"/>
        <v>13</v>
      </c>
      <c r="AT34" s="129">
        <f t="shared" si="1"/>
        <v>13</v>
      </c>
      <c r="AU34" s="129">
        <f t="shared" si="1"/>
        <v>0</v>
      </c>
      <c r="AV34" s="129">
        <f t="shared" si="1"/>
        <v>1</v>
      </c>
      <c r="AW34" s="129">
        <f t="shared" si="1"/>
        <v>13</v>
      </c>
      <c r="AX34" s="129">
        <f t="shared" si="1"/>
        <v>13</v>
      </c>
      <c r="AY34" s="129">
        <f t="shared" si="1"/>
        <v>2</v>
      </c>
      <c r="AZ34" s="129">
        <f t="shared" si="1"/>
        <v>6</v>
      </c>
      <c r="BA34" s="129">
        <f t="shared" si="1"/>
        <v>7</v>
      </c>
      <c r="BB34" s="129">
        <f t="shared" si="1"/>
        <v>13</v>
      </c>
      <c r="BC34" s="129">
        <f t="shared" si="1"/>
        <v>13</v>
      </c>
      <c r="BD34" s="129">
        <f t="shared" si="1"/>
        <v>1</v>
      </c>
      <c r="BE34" s="129">
        <f t="shared" si="1"/>
        <v>13</v>
      </c>
      <c r="BF34" s="129">
        <f t="shared" si="1"/>
        <v>13</v>
      </c>
      <c r="BG34" s="129">
        <f t="shared" si="1"/>
        <v>13</v>
      </c>
      <c r="BH34" s="129">
        <f t="shared" si="1"/>
        <v>13</v>
      </c>
      <c r="BI34" s="129">
        <f t="shared" si="1"/>
        <v>13</v>
      </c>
      <c r="BJ34" s="129">
        <f t="shared" si="1"/>
        <v>13</v>
      </c>
      <c r="BK34" s="129">
        <f t="shared" si="1"/>
        <v>13</v>
      </c>
      <c r="BL34" s="129">
        <f t="shared" si="1"/>
        <v>2</v>
      </c>
      <c r="BM34" s="129">
        <f t="shared" si="1"/>
        <v>0</v>
      </c>
      <c r="BN34" s="129">
        <f t="shared" si="1"/>
        <v>0</v>
      </c>
      <c r="BO34" s="129">
        <f t="shared" si="1"/>
        <v>0</v>
      </c>
      <c r="BP34" s="129">
        <f t="shared" si="1"/>
        <v>3</v>
      </c>
      <c r="BQ34" s="129">
        <f t="shared" si="1"/>
        <v>13</v>
      </c>
      <c r="BR34" s="129">
        <f t="shared" ref="BR34:BV34" si="2">COUNTIF(BR9:BR32,"ND")</f>
        <v>13</v>
      </c>
      <c r="BS34" s="129">
        <f t="shared" si="2"/>
        <v>13</v>
      </c>
      <c r="BT34" s="129">
        <f t="shared" si="2"/>
        <v>13</v>
      </c>
      <c r="BU34" s="129">
        <f t="shared" si="2"/>
        <v>13</v>
      </c>
      <c r="BV34" s="129">
        <f t="shared" si="2"/>
        <v>0</v>
      </c>
    </row>
    <row r="35" spans="1:75" s="162" customFormat="1" x14ac:dyDescent="0.25">
      <c r="A35" s="127"/>
      <c r="B35" s="205"/>
      <c r="C35" s="130" t="s">
        <v>241</v>
      </c>
      <c r="D35" s="130"/>
      <c r="E35" s="129">
        <f>COUNTIF(E9:E32,"&lt;LOQ")</f>
        <v>10</v>
      </c>
      <c r="F35" s="129">
        <f t="shared" ref="F35:BQ35" si="3">COUNTIF(F9:F32,"&lt;LOQ")</f>
        <v>1</v>
      </c>
      <c r="G35" s="129">
        <f t="shared" si="3"/>
        <v>0</v>
      </c>
      <c r="H35" s="129">
        <f t="shared" si="3"/>
        <v>0</v>
      </c>
      <c r="I35" s="129">
        <f t="shared" si="3"/>
        <v>0</v>
      </c>
      <c r="J35" s="129">
        <f t="shared" si="3"/>
        <v>0</v>
      </c>
      <c r="K35" s="129">
        <f t="shared" si="3"/>
        <v>5</v>
      </c>
      <c r="L35" s="129">
        <f t="shared" si="3"/>
        <v>10</v>
      </c>
      <c r="M35" s="129">
        <f t="shared" si="3"/>
        <v>9</v>
      </c>
      <c r="N35" s="129">
        <f t="shared" si="3"/>
        <v>7</v>
      </c>
      <c r="O35" s="129">
        <f t="shared" si="3"/>
        <v>10</v>
      </c>
      <c r="P35" s="129">
        <f t="shared" si="3"/>
        <v>0</v>
      </c>
      <c r="Q35" s="129">
        <f t="shared" si="3"/>
        <v>9</v>
      </c>
      <c r="R35" s="129">
        <f t="shared" si="3"/>
        <v>0</v>
      </c>
      <c r="S35" s="129">
        <f t="shared" si="3"/>
        <v>0</v>
      </c>
      <c r="T35" s="129">
        <f t="shared" si="3"/>
        <v>0</v>
      </c>
      <c r="U35" s="129">
        <f t="shared" si="3"/>
        <v>1</v>
      </c>
      <c r="V35" s="129">
        <f t="shared" si="3"/>
        <v>0</v>
      </c>
      <c r="W35" s="129">
        <f t="shared" si="3"/>
        <v>0</v>
      </c>
      <c r="X35" s="129">
        <f t="shared" si="3"/>
        <v>0</v>
      </c>
      <c r="Y35" s="129">
        <f t="shared" si="3"/>
        <v>2</v>
      </c>
      <c r="Z35" s="129">
        <f t="shared" si="3"/>
        <v>1</v>
      </c>
      <c r="AA35" s="129">
        <f t="shared" si="3"/>
        <v>1</v>
      </c>
      <c r="AB35" s="129">
        <f t="shared" si="3"/>
        <v>0</v>
      </c>
      <c r="AC35" s="129">
        <f t="shared" si="3"/>
        <v>0</v>
      </c>
      <c r="AD35" s="129">
        <f t="shared" si="3"/>
        <v>0</v>
      </c>
      <c r="AE35" s="129">
        <f t="shared" si="3"/>
        <v>0</v>
      </c>
      <c r="AF35" s="129">
        <f t="shared" si="3"/>
        <v>0</v>
      </c>
      <c r="AG35" s="129">
        <f t="shared" si="3"/>
        <v>5</v>
      </c>
      <c r="AH35" s="129">
        <f t="shared" si="3"/>
        <v>0</v>
      </c>
      <c r="AI35" s="129">
        <f t="shared" si="3"/>
        <v>0</v>
      </c>
      <c r="AJ35" s="129">
        <f t="shared" si="3"/>
        <v>0</v>
      </c>
      <c r="AK35" s="129">
        <f t="shared" si="3"/>
        <v>0</v>
      </c>
      <c r="AL35" s="129">
        <f t="shared" si="3"/>
        <v>3</v>
      </c>
      <c r="AM35" s="129">
        <f t="shared" si="3"/>
        <v>0</v>
      </c>
      <c r="AN35" s="129">
        <f t="shared" si="3"/>
        <v>0</v>
      </c>
      <c r="AO35" s="129">
        <f t="shared" si="3"/>
        <v>10</v>
      </c>
      <c r="AP35" s="129">
        <f t="shared" si="3"/>
        <v>0</v>
      </c>
      <c r="AQ35" s="129">
        <f t="shared" si="3"/>
        <v>0</v>
      </c>
      <c r="AR35" s="129">
        <f t="shared" si="3"/>
        <v>0</v>
      </c>
      <c r="AS35" s="129">
        <f t="shared" si="3"/>
        <v>0</v>
      </c>
      <c r="AT35" s="129">
        <f t="shared" si="3"/>
        <v>0</v>
      </c>
      <c r="AU35" s="129">
        <f t="shared" si="3"/>
        <v>0</v>
      </c>
      <c r="AV35" s="129">
        <f t="shared" si="3"/>
        <v>9</v>
      </c>
      <c r="AW35" s="129">
        <f t="shared" si="3"/>
        <v>0</v>
      </c>
      <c r="AX35" s="129">
        <f t="shared" si="3"/>
        <v>0</v>
      </c>
      <c r="AY35" s="129">
        <f t="shared" si="3"/>
        <v>8</v>
      </c>
      <c r="AZ35" s="129">
        <f t="shared" si="3"/>
        <v>3</v>
      </c>
      <c r="BA35" s="129">
        <f t="shared" si="3"/>
        <v>6</v>
      </c>
      <c r="BB35" s="129">
        <f t="shared" si="3"/>
        <v>0</v>
      </c>
      <c r="BC35" s="129">
        <f t="shared" si="3"/>
        <v>0</v>
      </c>
      <c r="BD35" s="129">
        <f t="shared" si="3"/>
        <v>1</v>
      </c>
      <c r="BE35" s="129">
        <f t="shared" si="3"/>
        <v>0</v>
      </c>
      <c r="BF35" s="129">
        <f t="shared" si="3"/>
        <v>0</v>
      </c>
      <c r="BG35" s="129">
        <f t="shared" si="3"/>
        <v>0</v>
      </c>
      <c r="BH35" s="129">
        <f t="shared" si="3"/>
        <v>0</v>
      </c>
      <c r="BI35" s="129">
        <f t="shared" si="3"/>
        <v>0</v>
      </c>
      <c r="BJ35" s="129">
        <f t="shared" si="3"/>
        <v>0</v>
      </c>
      <c r="BK35" s="129">
        <f t="shared" si="3"/>
        <v>0</v>
      </c>
      <c r="BL35" s="129">
        <f t="shared" si="3"/>
        <v>2</v>
      </c>
      <c r="BM35" s="129">
        <f t="shared" si="3"/>
        <v>1</v>
      </c>
      <c r="BN35" s="129">
        <f t="shared" si="3"/>
        <v>1</v>
      </c>
      <c r="BO35" s="129">
        <f t="shared" si="3"/>
        <v>3</v>
      </c>
      <c r="BP35" s="129">
        <f t="shared" si="3"/>
        <v>3</v>
      </c>
      <c r="BQ35" s="129">
        <f t="shared" si="3"/>
        <v>0</v>
      </c>
      <c r="BR35" s="129">
        <f t="shared" ref="BR35:BV35" si="4">COUNTIF(BR9:BR32,"&lt;LOQ")</f>
        <v>0</v>
      </c>
      <c r="BS35" s="129">
        <f t="shared" si="4"/>
        <v>0</v>
      </c>
      <c r="BT35" s="129">
        <f t="shared" si="4"/>
        <v>0</v>
      </c>
      <c r="BU35" s="129">
        <f t="shared" si="4"/>
        <v>0</v>
      </c>
      <c r="BV35" s="129">
        <f t="shared" si="4"/>
        <v>6</v>
      </c>
    </row>
    <row r="36" spans="1:75" x14ac:dyDescent="0.25">
      <c r="B36"/>
      <c r="C36"/>
      <c r="D36" s="162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</row>
    <row r="37" spans="1:75" s="45" customFormat="1" x14ac:dyDescent="0.25">
      <c r="A37" s="48">
        <v>41291</v>
      </c>
      <c r="B37" s="45" t="s">
        <v>156</v>
      </c>
      <c r="C37" s="48">
        <v>41815</v>
      </c>
      <c r="D37" s="125"/>
      <c r="E37" s="45" t="s">
        <v>157</v>
      </c>
      <c r="F37" s="45" t="s">
        <v>157</v>
      </c>
      <c r="G37" s="45" t="s">
        <v>157</v>
      </c>
      <c r="H37" s="45" t="s">
        <v>158</v>
      </c>
      <c r="I37" s="45" t="s">
        <v>158</v>
      </c>
      <c r="J37" s="45" t="s">
        <v>158</v>
      </c>
      <c r="K37" s="45" t="s">
        <v>157</v>
      </c>
      <c r="L37" s="45" t="s">
        <v>157</v>
      </c>
      <c r="M37" s="45" t="s">
        <v>157</v>
      </c>
      <c r="N37" s="45" t="s">
        <v>157</v>
      </c>
      <c r="O37" s="45" t="s">
        <v>157</v>
      </c>
      <c r="P37" s="45" t="s">
        <v>157</v>
      </c>
      <c r="Q37" s="45" t="s">
        <v>157</v>
      </c>
      <c r="R37" s="45" t="s">
        <v>157</v>
      </c>
      <c r="S37" s="45" t="s">
        <v>157</v>
      </c>
      <c r="T37" s="45" t="s">
        <v>157</v>
      </c>
      <c r="U37" s="45" t="s">
        <v>157</v>
      </c>
      <c r="V37" s="45" t="s">
        <v>157</v>
      </c>
      <c r="W37" s="45" t="s">
        <v>157</v>
      </c>
      <c r="X37" s="45" t="s">
        <v>157</v>
      </c>
      <c r="Y37" s="45" t="s">
        <v>157</v>
      </c>
      <c r="Z37" s="45" t="s">
        <v>157</v>
      </c>
      <c r="AA37" s="45" t="s">
        <v>157</v>
      </c>
      <c r="AB37" s="45" t="s">
        <v>157</v>
      </c>
      <c r="AC37" s="45" t="s">
        <v>157</v>
      </c>
      <c r="AD37" s="45" t="s">
        <v>157</v>
      </c>
      <c r="AE37" s="45" t="s">
        <v>157</v>
      </c>
      <c r="AF37" s="45" t="s">
        <v>157</v>
      </c>
      <c r="AG37" s="45" t="s">
        <v>157</v>
      </c>
      <c r="AH37" s="45" t="s">
        <v>157</v>
      </c>
      <c r="AI37" s="45" t="s">
        <v>157</v>
      </c>
      <c r="AJ37" s="45" t="s">
        <v>158</v>
      </c>
      <c r="AK37" s="45" t="s">
        <v>157</v>
      </c>
      <c r="AL37" s="45" t="s">
        <v>157</v>
      </c>
      <c r="AM37" s="45" t="s">
        <v>157</v>
      </c>
      <c r="AN37" s="45" t="s">
        <v>158</v>
      </c>
      <c r="AO37" s="45" t="s">
        <v>158</v>
      </c>
      <c r="AP37" s="45" t="s">
        <v>157</v>
      </c>
      <c r="AQ37" s="45" t="s">
        <v>157</v>
      </c>
      <c r="AR37" s="45" t="s">
        <v>157</v>
      </c>
      <c r="AS37" s="45" t="s">
        <v>157</v>
      </c>
      <c r="AT37" s="45" t="s">
        <v>157</v>
      </c>
      <c r="AU37" s="45" t="s">
        <v>157</v>
      </c>
      <c r="AV37" s="45" t="s">
        <v>157</v>
      </c>
      <c r="AW37" s="45" t="s">
        <v>157</v>
      </c>
      <c r="AX37" s="45" t="s">
        <v>157</v>
      </c>
      <c r="AY37" s="45" t="s">
        <v>158</v>
      </c>
      <c r="AZ37" s="45" t="s">
        <v>157</v>
      </c>
      <c r="BA37" s="45" t="s">
        <v>157</v>
      </c>
      <c r="BB37" s="45" t="s">
        <v>157</v>
      </c>
      <c r="BC37" s="45" t="s">
        <v>157</v>
      </c>
      <c r="BD37" s="45" t="s">
        <v>157</v>
      </c>
      <c r="BE37" s="45" t="s">
        <v>157</v>
      </c>
      <c r="BF37" s="45" t="s">
        <v>157</v>
      </c>
      <c r="BG37" s="45" t="s">
        <v>157</v>
      </c>
      <c r="BH37" s="45" t="s">
        <v>157</v>
      </c>
      <c r="BI37" s="45" t="s">
        <v>157</v>
      </c>
      <c r="BJ37" s="45" t="s">
        <v>157</v>
      </c>
      <c r="BK37" s="45" t="s">
        <v>157</v>
      </c>
      <c r="BL37" s="45" t="s">
        <v>158</v>
      </c>
      <c r="BM37" s="45" t="s">
        <v>157</v>
      </c>
      <c r="BN37" s="45" t="s">
        <v>158</v>
      </c>
      <c r="BO37" s="45" t="s">
        <v>157</v>
      </c>
      <c r="BP37" s="45" t="s">
        <v>157</v>
      </c>
      <c r="BQ37" s="45" t="s">
        <v>157</v>
      </c>
      <c r="BR37" s="45" t="s">
        <v>157</v>
      </c>
      <c r="BS37" s="45" t="s">
        <v>157</v>
      </c>
      <c r="BT37" s="45" t="s">
        <v>157</v>
      </c>
      <c r="BU37" s="45" t="s">
        <v>157</v>
      </c>
      <c r="BV37" s="45" t="s">
        <v>157</v>
      </c>
    </row>
    <row r="38" spans="1:75" s="45" customFormat="1" x14ac:dyDescent="0.25">
      <c r="D38" s="162"/>
    </row>
    <row r="39" spans="1:75" s="45" customFormat="1" x14ac:dyDescent="0.25">
      <c r="D39" s="162"/>
    </row>
    <row r="40" spans="1:75" s="45" customFormat="1" x14ac:dyDescent="0.25">
      <c r="D40" s="162"/>
    </row>
    <row r="41" spans="1:75" s="49" customFormat="1" x14ac:dyDescent="0.25">
      <c r="A41" s="49" t="s">
        <v>159</v>
      </c>
    </row>
    <row r="42" spans="1:75" s="45" customFormat="1" x14ac:dyDescent="0.25">
      <c r="D42" s="162"/>
    </row>
    <row r="43" spans="1:75" x14ac:dyDescent="0.25">
      <c r="B43" s="59" t="s">
        <v>163</v>
      </c>
      <c r="C43" s="67">
        <v>41479</v>
      </c>
      <c r="D43" s="161"/>
      <c r="E43" s="58" t="s">
        <v>157</v>
      </c>
      <c r="F43" s="58" t="s">
        <v>157</v>
      </c>
      <c r="G43" s="58" t="s">
        <v>157</v>
      </c>
      <c r="H43" s="58" t="s">
        <v>157</v>
      </c>
      <c r="I43" s="58" t="s">
        <v>157</v>
      </c>
      <c r="J43" s="58" t="s">
        <v>157</v>
      </c>
      <c r="K43" s="58" t="s">
        <v>157</v>
      </c>
      <c r="L43" s="58" t="s">
        <v>157</v>
      </c>
      <c r="M43" s="58" t="s">
        <v>157</v>
      </c>
      <c r="N43" s="58" t="s">
        <v>157</v>
      </c>
      <c r="O43" s="58" t="s">
        <v>157</v>
      </c>
      <c r="P43" s="58" t="s">
        <v>157</v>
      </c>
      <c r="Q43" s="58" t="s">
        <v>157</v>
      </c>
      <c r="R43" s="58" t="s">
        <v>157</v>
      </c>
      <c r="S43" s="58" t="s">
        <v>157</v>
      </c>
      <c r="T43" s="58" t="s">
        <v>157</v>
      </c>
      <c r="U43" s="58" t="s">
        <v>157</v>
      </c>
      <c r="V43" s="58" t="s">
        <v>157</v>
      </c>
      <c r="W43" s="58" t="s">
        <v>157</v>
      </c>
      <c r="X43" s="58" t="s">
        <v>157</v>
      </c>
      <c r="Y43" s="58" t="s">
        <v>157</v>
      </c>
      <c r="Z43" s="58" t="s">
        <v>157</v>
      </c>
      <c r="AA43" s="58" t="s">
        <v>157</v>
      </c>
      <c r="AB43" s="58" t="s">
        <v>157</v>
      </c>
      <c r="AC43" s="58" t="s">
        <v>157</v>
      </c>
      <c r="AD43" s="58" t="s">
        <v>157</v>
      </c>
      <c r="AE43" s="58" t="s">
        <v>157</v>
      </c>
      <c r="AF43" s="58" t="s">
        <v>157</v>
      </c>
      <c r="AG43" s="58" t="s">
        <v>157</v>
      </c>
      <c r="AH43" s="58" t="s">
        <v>157</v>
      </c>
      <c r="AI43" s="58" t="s">
        <v>157</v>
      </c>
      <c r="AJ43" s="58" t="s">
        <v>157</v>
      </c>
      <c r="AK43" s="58" t="s">
        <v>157</v>
      </c>
      <c r="AL43" s="58" t="s">
        <v>157</v>
      </c>
      <c r="AM43" s="58" t="s">
        <v>157</v>
      </c>
      <c r="AN43" s="58" t="s">
        <v>157</v>
      </c>
      <c r="AO43" s="58" t="s">
        <v>157</v>
      </c>
      <c r="AP43" s="58" t="s">
        <v>157</v>
      </c>
      <c r="AQ43" s="58" t="s">
        <v>157</v>
      </c>
      <c r="AR43" s="58" t="s">
        <v>157</v>
      </c>
      <c r="AS43" s="58" t="s">
        <v>157</v>
      </c>
      <c r="AT43" s="58" t="s">
        <v>157</v>
      </c>
      <c r="AU43" s="58" t="s">
        <v>157</v>
      </c>
      <c r="AV43" s="58" t="s">
        <v>157</v>
      </c>
      <c r="AW43" s="58" t="s">
        <v>157</v>
      </c>
      <c r="AX43" s="58" t="s">
        <v>157</v>
      </c>
      <c r="AY43" s="58" t="s">
        <v>157</v>
      </c>
      <c r="AZ43" s="58" t="s">
        <v>157</v>
      </c>
      <c r="BA43" s="58" t="s">
        <v>157</v>
      </c>
      <c r="BB43" s="58" t="s">
        <v>157</v>
      </c>
      <c r="BC43" s="58" t="s">
        <v>157</v>
      </c>
      <c r="BD43" s="58" t="s">
        <v>157</v>
      </c>
      <c r="BE43" s="58" t="s">
        <v>157</v>
      </c>
      <c r="BF43" s="58" t="s">
        <v>157</v>
      </c>
      <c r="BG43" s="58" t="s">
        <v>157</v>
      </c>
      <c r="BH43" s="58" t="s">
        <v>157</v>
      </c>
      <c r="BI43" s="58" t="s">
        <v>157</v>
      </c>
      <c r="BJ43" s="58" t="s">
        <v>157</v>
      </c>
      <c r="BK43" s="58" t="s">
        <v>157</v>
      </c>
      <c r="BL43" s="58" t="s">
        <v>157</v>
      </c>
      <c r="BM43" s="58" t="s">
        <v>157</v>
      </c>
      <c r="BN43" s="58" t="s">
        <v>157</v>
      </c>
      <c r="BO43" s="58" t="s">
        <v>157</v>
      </c>
      <c r="BP43" s="58" t="s">
        <v>157</v>
      </c>
      <c r="BQ43" s="58" t="s">
        <v>157</v>
      </c>
      <c r="BR43" s="58" t="s">
        <v>157</v>
      </c>
      <c r="BS43" s="58" t="s">
        <v>157</v>
      </c>
      <c r="BT43" s="58" t="s">
        <v>157</v>
      </c>
      <c r="BU43" s="58" t="s">
        <v>157</v>
      </c>
      <c r="BV43" s="58" t="s">
        <v>157</v>
      </c>
      <c r="BW43" s="99"/>
    </row>
    <row r="44" spans="1:75" x14ac:dyDescent="0.25">
      <c r="B44" s="59" t="s">
        <v>164</v>
      </c>
      <c r="C44" s="67">
        <v>41479</v>
      </c>
      <c r="D44" s="161"/>
      <c r="E44" s="58" t="s">
        <v>157</v>
      </c>
      <c r="F44" s="58" t="s">
        <v>157</v>
      </c>
      <c r="G44" s="58" t="s">
        <v>157</v>
      </c>
      <c r="H44" s="58" t="s">
        <v>157</v>
      </c>
      <c r="I44" s="58" t="s">
        <v>157</v>
      </c>
      <c r="J44" s="58" t="s">
        <v>157</v>
      </c>
      <c r="K44" s="58" t="s">
        <v>157</v>
      </c>
      <c r="L44" s="58" t="s">
        <v>157</v>
      </c>
      <c r="M44" s="58" t="s">
        <v>157</v>
      </c>
      <c r="N44" s="58" t="s">
        <v>157</v>
      </c>
      <c r="O44" s="58" t="s">
        <v>157</v>
      </c>
      <c r="P44" s="58" t="s">
        <v>157</v>
      </c>
      <c r="Q44" s="58" t="s">
        <v>157</v>
      </c>
      <c r="R44" s="58" t="s">
        <v>157</v>
      </c>
      <c r="S44" s="58" t="s">
        <v>157</v>
      </c>
      <c r="T44" s="58" t="s">
        <v>157</v>
      </c>
      <c r="U44" s="58" t="s">
        <v>157</v>
      </c>
      <c r="V44" s="58" t="s">
        <v>157</v>
      </c>
      <c r="W44" s="58" t="s">
        <v>157</v>
      </c>
      <c r="X44" s="58" t="s">
        <v>157</v>
      </c>
      <c r="Y44" s="58" t="s">
        <v>157</v>
      </c>
      <c r="Z44" s="58" t="s">
        <v>157</v>
      </c>
      <c r="AA44" s="58" t="s">
        <v>157</v>
      </c>
      <c r="AB44" s="58" t="s">
        <v>157</v>
      </c>
      <c r="AC44" s="58" t="s">
        <v>157</v>
      </c>
      <c r="AD44" s="58" t="s">
        <v>157</v>
      </c>
      <c r="AE44" s="58" t="s">
        <v>157</v>
      </c>
      <c r="AF44" s="58" t="s">
        <v>157</v>
      </c>
      <c r="AG44" s="58" t="s">
        <v>157</v>
      </c>
      <c r="AH44" s="58" t="s">
        <v>157</v>
      </c>
      <c r="AI44" s="58" t="s">
        <v>157</v>
      </c>
      <c r="AJ44" s="57" t="s">
        <v>157</v>
      </c>
      <c r="AK44" s="57" t="s">
        <v>157</v>
      </c>
      <c r="AL44" s="57" t="s">
        <v>157</v>
      </c>
      <c r="AM44" s="57" t="s">
        <v>157</v>
      </c>
      <c r="AN44" s="57" t="s">
        <v>157</v>
      </c>
      <c r="AO44" s="57" t="s">
        <v>157</v>
      </c>
      <c r="AP44" s="57" t="s">
        <v>157</v>
      </c>
      <c r="AQ44" s="57" t="s">
        <v>157</v>
      </c>
      <c r="AR44" s="57" t="s">
        <v>157</v>
      </c>
      <c r="AS44" s="57" t="s">
        <v>157</v>
      </c>
      <c r="AT44" s="57" t="s">
        <v>157</v>
      </c>
      <c r="AU44" s="57" t="s">
        <v>157</v>
      </c>
      <c r="AV44" s="57" t="s">
        <v>157</v>
      </c>
      <c r="AW44" s="57" t="s">
        <v>157</v>
      </c>
      <c r="AX44" s="57" t="s">
        <v>157</v>
      </c>
      <c r="AY44" s="57" t="s">
        <v>157</v>
      </c>
      <c r="AZ44" s="57" t="s">
        <v>157</v>
      </c>
      <c r="BA44" s="58" t="s">
        <v>157</v>
      </c>
      <c r="BB44" s="58" t="s">
        <v>157</v>
      </c>
      <c r="BC44" s="58" t="s">
        <v>157</v>
      </c>
      <c r="BD44" s="58" t="s">
        <v>157</v>
      </c>
      <c r="BE44" s="58" t="s">
        <v>157</v>
      </c>
      <c r="BF44" s="58" t="s">
        <v>157</v>
      </c>
      <c r="BG44" s="58" t="s">
        <v>157</v>
      </c>
      <c r="BH44" s="58" t="s">
        <v>157</v>
      </c>
      <c r="BI44" s="58" t="s">
        <v>157</v>
      </c>
      <c r="BJ44" s="58" t="s">
        <v>157</v>
      </c>
      <c r="BK44" s="58" t="s">
        <v>157</v>
      </c>
      <c r="BL44" s="58" t="s">
        <v>157</v>
      </c>
      <c r="BM44" s="58" t="s">
        <v>157</v>
      </c>
      <c r="BN44" s="58" t="s">
        <v>157</v>
      </c>
      <c r="BO44" s="58" t="s">
        <v>157</v>
      </c>
      <c r="BP44" s="58" t="s">
        <v>157</v>
      </c>
      <c r="BQ44" s="58" t="s">
        <v>157</v>
      </c>
      <c r="BR44" s="58" t="s">
        <v>157</v>
      </c>
      <c r="BS44" s="58" t="s">
        <v>157</v>
      </c>
      <c r="BT44" s="58" t="s">
        <v>157</v>
      </c>
      <c r="BU44" s="57" t="s">
        <v>157</v>
      </c>
      <c r="BV44" s="57" t="s">
        <v>157</v>
      </c>
      <c r="BW44" s="99"/>
    </row>
    <row r="45" spans="1:75" x14ac:dyDescent="0.25">
      <c r="B45" s="59" t="s">
        <v>165</v>
      </c>
      <c r="C45" s="67">
        <v>41479</v>
      </c>
      <c r="D45" s="161"/>
      <c r="E45" s="58">
        <v>91.083333333333329</v>
      </c>
      <c r="F45" s="58">
        <v>91.850000000000009</v>
      </c>
      <c r="G45" s="58">
        <v>95.166666666666671</v>
      </c>
      <c r="H45" s="58">
        <v>105.8</v>
      </c>
      <c r="I45" s="58">
        <v>95.283333333333346</v>
      </c>
      <c r="J45" s="58">
        <v>94.199999999999989</v>
      </c>
      <c r="K45" s="58">
        <v>93.183333333333337</v>
      </c>
      <c r="L45" s="58">
        <v>94.716666666666654</v>
      </c>
      <c r="M45" s="58">
        <v>92.5</v>
      </c>
      <c r="N45" s="58">
        <v>91.7</v>
      </c>
      <c r="O45" s="58">
        <v>91.916666666666671</v>
      </c>
      <c r="P45" s="58" t="s">
        <v>166</v>
      </c>
      <c r="Q45" s="58">
        <v>109.96666666666665</v>
      </c>
      <c r="R45" s="58" t="s">
        <v>166</v>
      </c>
      <c r="S45" s="58">
        <v>101.63333333333334</v>
      </c>
      <c r="T45" s="58" t="s">
        <v>166</v>
      </c>
      <c r="U45" s="58">
        <v>124.73333333333335</v>
      </c>
      <c r="V45" s="58">
        <v>91.416666666666671</v>
      </c>
      <c r="W45" s="58">
        <v>92.183333333333337</v>
      </c>
      <c r="X45" s="58" t="s">
        <v>166</v>
      </c>
      <c r="Y45" s="58">
        <v>66.600000000000009</v>
      </c>
      <c r="Z45" s="58">
        <v>90.733333333333334</v>
      </c>
      <c r="AA45" s="58" t="s">
        <v>166</v>
      </c>
      <c r="AB45" s="58">
        <v>120.16666666666667</v>
      </c>
      <c r="AC45" s="58">
        <v>90.649999999999991</v>
      </c>
      <c r="AD45" s="58">
        <v>87.233333333333334</v>
      </c>
      <c r="AE45" s="58" t="s">
        <v>166</v>
      </c>
      <c r="AF45" s="58">
        <v>93.649999999999991</v>
      </c>
      <c r="AG45" s="58" t="s">
        <v>166</v>
      </c>
      <c r="AH45" s="58">
        <v>93.350000000000009</v>
      </c>
      <c r="AI45" s="58" t="s">
        <v>166</v>
      </c>
      <c r="AJ45" s="57">
        <v>92.600000000000009</v>
      </c>
      <c r="AK45" s="57" t="s">
        <v>166</v>
      </c>
      <c r="AL45" s="57">
        <v>84.95</v>
      </c>
      <c r="AM45" s="57">
        <v>82.466666666666683</v>
      </c>
      <c r="AN45" s="57">
        <v>103.13333333333334</v>
      </c>
      <c r="AO45" s="57">
        <v>107.51666666666665</v>
      </c>
      <c r="AP45" s="57" t="s">
        <v>166</v>
      </c>
      <c r="AQ45" s="57" t="s">
        <v>166</v>
      </c>
      <c r="AR45" s="57" t="s">
        <v>166</v>
      </c>
      <c r="AS45" s="58" t="s">
        <v>166</v>
      </c>
      <c r="AT45" s="58">
        <v>69.133333333333326</v>
      </c>
      <c r="AU45" s="69" t="s">
        <v>182</v>
      </c>
      <c r="AV45" s="57" t="s">
        <v>166</v>
      </c>
      <c r="AW45" s="57" t="s">
        <v>166</v>
      </c>
      <c r="AX45" s="57" t="s">
        <v>166</v>
      </c>
      <c r="AY45" s="57">
        <v>93.416666666666671</v>
      </c>
      <c r="AZ45" s="57" t="s">
        <v>166</v>
      </c>
      <c r="BA45" s="58" t="s">
        <v>166</v>
      </c>
      <c r="BB45" s="58" t="s">
        <v>166</v>
      </c>
      <c r="BC45" s="58" t="s">
        <v>166</v>
      </c>
      <c r="BD45" s="58">
        <v>77.116666666666674</v>
      </c>
      <c r="BE45" s="58" t="s">
        <v>166</v>
      </c>
      <c r="BF45" s="58" t="s">
        <v>166</v>
      </c>
      <c r="BG45" s="58">
        <v>114.60000000000002</v>
      </c>
      <c r="BH45" s="58">
        <v>120.55</v>
      </c>
      <c r="BI45" s="58">
        <v>119.63333333333333</v>
      </c>
      <c r="BJ45" s="58" t="s">
        <v>166</v>
      </c>
      <c r="BK45" s="58" t="s">
        <v>166</v>
      </c>
      <c r="BL45" s="58">
        <v>89.433333333333337</v>
      </c>
      <c r="BM45" s="58" t="s">
        <v>166</v>
      </c>
      <c r="BN45" s="58" t="s">
        <v>182</v>
      </c>
      <c r="BO45" s="58" t="s">
        <v>166</v>
      </c>
      <c r="BP45" s="58" t="s">
        <v>166</v>
      </c>
      <c r="BQ45" s="58" t="s">
        <v>166</v>
      </c>
      <c r="BR45" s="58" t="s">
        <v>166</v>
      </c>
      <c r="BS45" s="58" t="s">
        <v>166</v>
      </c>
      <c r="BT45" s="58" t="s">
        <v>166</v>
      </c>
      <c r="BU45" s="57" t="s">
        <v>166</v>
      </c>
      <c r="BV45" s="57" t="s">
        <v>166</v>
      </c>
      <c r="BW45" s="99"/>
    </row>
    <row r="46" spans="1:75" ht="17.25" x14ac:dyDescent="0.25">
      <c r="B46" s="60" t="s">
        <v>168</v>
      </c>
      <c r="C46" s="67">
        <v>41479</v>
      </c>
      <c r="D46" s="161"/>
      <c r="E46" s="58">
        <v>0.998</v>
      </c>
      <c r="F46" s="58">
        <v>0.999</v>
      </c>
      <c r="G46" s="58">
        <v>0.997</v>
      </c>
      <c r="H46" s="58">
        <v>0.996</v>
      </c>
      <c r="I46" s="58">
        <v>0.998</v>
      </c>
      <c r="J46" s="58">
        <v>0.997</v>
      </c>
      <c r="K46" s="58">
        <v>0.999</v>
      </c>
      <c r="L46" s="58">
        <v>0.999</v>
      </c>
      <c r="M46" s="58">
        <v>0.998</v>
      </c>
      <c r="N46" s="58">
        <v>0.999</v>
      </c>
      <c r="O46" s="58">
        <v>0.998</v>
      </c>
      <c r="P46" s="58" t="s">
        <v>166</v>
      </c>
      <c r="Q46" s="58">
        <v>0.999</v>
      </c>
      <c r="R46" s="58" t="s">
        <v>166</v>
      </c>
      <c r="S46" s="58">
        <v>0.998</v>
      </c>
      <c r="T46" s="58" t="s">
        <v>166</v>
      </c>
      <c r="U46" s="58">
        <v>0.98399999999999999</v>
      </c>
      <c r="V46" s="58">
        <v>0.98499999999999999</v>
      </c>
      <c r="W46" s="58">
        <v>0.98599999999999999</v>
      </c>
      <c r="X46" s="58" t="s">
        <v>166</v>
      </c>
      <c r="Y46" s="58">
        <v>0.99199999999999999</v>
      </c>
      <c r="Z46" s="58">
        <v>0.998</v>
      </c>
      <c r="AA46" s="58" t="s">
        <v>166</v>
      </c>
      <c r="AB46" s="58">
        <v>0.996</v>
      </c>
      <c r="AC46" s="58">
        <v>0.995</v>
      </c>
      <c r="AD46" s="58">
        <v>0.996</v>
      </c>
      <c r="AE46" s="58" t="s">
        <v>166</v>
      </c>
      <c r="AF46" s="58">
        <v>0.997</v>
      </c>
      <c r="AG46" s="58" t="s">
        <v>166</v>
      </c>
      <c r="AH46" s="58">
        <v>0.997</v>
      </c>
      <c r="AI46" s="58" t="s">
        <v>166</v>
      </c>
      <c r="AJ46" s="57">
        <v>0.997</v>
      </c>
      <c r="AK46" s="57" t="s">
        <v>166</v>
      </c>
      <c r="AL46" s="57">
        <v>0.999</v>
      </c>
      <c r="AM46" s="57">
        <v>0.98599999999999999</v>
      </c>
      <c r="AN46" s="57">
        <v>0.99199999999999999</v>
      </c>
      <c r="AO46" s="57">
        <v>0.99399999999999999</v>
      </c>
      <c r="AP46" s="57" t="s">
        <v>166</v>
      </c>
      <c r="AQ46" s="57" t="s">
        <v>166</v>
      </c>
      <c r="AR46" s="57" t="s">
        <v>166</v>
      </c>
      <c r="AS46" s="57" t="s">
        <v>166</v>
      </c>
      <c r="AT46" s="57">
        <v>0.997</v>
      </c>
      <c r="AU46" s="57">
        <v>0.996</v>
      </c>
      <c r="AV46" s="57" t="s">
        <v>166</v>
      </c>
      <c r="AW46" s="57" t="s">
        <v>166</v>
      </c>
      <c r="AX46" s="57" t="s">
        <v>166</v>
      </c>
      <c r="AY46" s="57">
        <v>0.998</v>
      </c>
      <c r="AZ46" s="57" t="s">
        <v>166</v>
      </c>
      <c r="BA46" s="57" t="s">
        <v>166</v>
      </c>
      <c r="BB46" s="57" t="s">
        <v>166</v>
      </c>
      <c r="BC46" s="57" t="s">
        <v>166</v>
      </c>
      <c r="BD46" s="57">
        <v>0.996</v>
      </c>
      <c r="BE46" s="57" t="s">
        <v>166</v>
      </c>
      <c r="BF46" s="57" t="s">
        <v>166</v>
      </c>
      <c r="BG46" s="57">
        <v>0.998</v>
      </c>
      <c r="BH46" s="57">
        <v>0.997</v>
      </c>
      <c r="BI46" s="57">
        <v>0.998</v>
      </c>
      <c r="BJ46" s="57" t="s">
        <v>166</v>
      </c>
      <c r="BK46" s="57" t="s">
        <v>166</v>
      </c>
      <c r="BL46" s="57">
        <v>0.999</v>
      </c>
      <c r="BM46" s="57" t="s">
        <v>166</v>
      </c>
      <c r="BN46" s="57">
        <v>0.996</v>
      </c>
      <c r="BO46" s="57" t="s">
        <v>166</v>
      </c>
      <c r="BP46" s="57" t="s">
        <v>166</v>
      </c>
      <c r="BQ46" s="57" t="s">
        <v>166</v>
      </c>
      <c r="BR46" s="57" t="s">
        <v>166</v>
      </c>
      <c r="BS46" s="57" t="s">
        <v>166</v>
      </c>
      <c r="BT46" s="57" t="s">
        <v>166</v>
      </c>
      <c r="BU46" s="57" t="s">
        <v>166</v>
      </c>
      <c r="BV46" s="57" t="s">
        <v>166</v>
      </c>
      <c r="BW46" s="99"/>
    </row>
    <row r="47" spans="1:75" x14ac:dyDescent="0.25">
      <c r="B47" s="60" t="s">
        <v>170</v>
      </c>
      <c r="C47" s="67">
        <v>41479</v>
      </c>
      <c r="D47" s="161"/>
      <c r="E47" s="58" t="s">
        <v>169</v>
      </c>
      <c r="F47" s="58" t="s">
        <v>169</v>
      </c>
      <c r="G47" s="58" t="s">
        <v>169</v>
      </c>
      <c r="H47" s="58" t="s">
        <v>169</v>
      </c>
      <c r="I47" s="58" t="s">
        <v>169</v>
      </c>
      <c r="J47" s="58" t="s">
        <v>169</v>
      </c>
      <c r="K47" s="58" t="s">
        <v>169</v>
      </c>
      <c r="L47" s="58" t="s">
        <v>169</v>
      </c>
      <c r="M47" s="58" t="s">
        <v>169</v>
      </c>
      <c r="N47" s="58" t="s">
        <v>169</v>
      </c>
      <c r="O47" s="58" t="s">
        <v>169</v>
      </c>
      <c r="P47" s="58" t="s">
        <v>169</v>
      </c>
      <c r="Q47" s="58" t="s">
        <v>169</v>
      </c>
      <c r="R47" s="58" t="s">
        <v>169</v>
      </c>
      <c r="S47" s="58" t="s">
        <v>169</v>
      </c>
      <c r="T47" s="58" t="s">
        <v>169</v>
      </c>
      <c r="U47" s="58" t="s">
        <v>169</v>
      </c>
      <c r="V47" s="58" t="s">
        <v>169</v>
      </c>
      <c r="W47" s="58" t="s">
        <v>169</v>
      </c>
      <c r="X47" s="58" t="s">
        <v>169</v>
      </c>
      <c r="Y47" s="58" t="s">
        <v>169</v>
      </c>
      <c r="Z47" s="58" t="s">
        <v>169</v>
      </c>
      <c r="AA47" s="58" t="s">
        <v>169</v>
      </c>
      <c r="AB47" s="58" t="s">
        <v>169</v>
      </c>
      <c r="AC47" s="58" t="s">
        <v>169</v>
      </c>
      <c r="AD47" s="58" t="s">
        <v>169</v>
      </c>
      <c r="AE47" s="58" t="s">
        <v>166</v>
      </c>
      <c r="AF47" s="58" t="s">
        <v>169</v>
      </c>
      <c r="AG47" s="58" t="s">
        <v>169</v>
      </c>
      <c r="AH47" s="58" t="s">
        <v>169</v>
      </c>
      <c r="AI47" s="58" t="s">
        <v>166</v>
      </c>
      <c r="AJ47" s="57" t="s">
        <v>169</v>
      </c>
      <c r="AK47" s="57" t="s">
        <v>166</v>
      </c>
      <c r="AL47" s="57" t="s">
        <v>169</v>
      </c>
      <c r="AM47" s="57" t="s">
        <v>169</v>
      </c>
      <c r="AN47" s="57" t="s">
        <v>169</v>
      </c>
      <c r="AO47" s="57" t="s">
        <v>169</v>
      </c>
      <c r="AP47" s="57" t="s">
        <v>166</v>
      </c>
      <c r="AQ47" s="57" t="s">
        <v>166</v>
      </c>
      <c r="AR47" s="57" t="s">
        <v>166</v>
      </c>
      <c r="AS47" s="57" t="s">
        <v>166</v>
      </c>
      <c r="AT47" s="57" t="s">
        <v>169</v>
      </c>
      <c r="AU47" s="57" t="s">
        <v>169</v>
      </c>
      <c r="AV47" s="57" t="s">
        <v>166</v>
      </c>
      <c r="AW47" s="57" t="s">
        <v>166</v>
      </c>
      <c r="AX47" s="57" t="s">
        <v>166</v>
      </c>
      <c r="AY47" s="57" t="s">
        <v>169</v>
      </c>
      <c r="AZ47" s="57" t="s">
        <v>166</v>
      </c>
      <c r="BA47" s="57" t="s">
        <v>166</v>
      </c>
      <c r="BB47" s="57" t="s">
        <v>166</v>
      </c>
      <c r="BC47" s="57" t="s">
        <v>166</v>
      </c>
      <c r="BD47" s="57" t="s">
        <v>169</v>
      </c>
      <c r="BE47" s="57" t="s">
        <v>166</v>
      </c>
      <c r="BF47" s="57" t="s">
        <v>169</v>
      </c>
      <c r="BG47" s="57" t="s">
        <v>169</v>
      </c>
      <c r="BH47" s="57" t="s">
        <v>169</v>
      </c>
      <c r="BI47" s="57" t="s">
        <v>169</v>
      </c>
      <c r="BJ47" s="57" t="s">
        <v>166</v>
      </c>
      <c r="BK47" s="57" t="s">
        <v>166</v>
      </c>
      <c r="BL47" s="57" t="s">
        <v>169</v>
      </c>
      <c r="BM47" s="57" t="s">
        <v>166</v>
      </c>
      <c r="BN47" s="57" t="s">
        <v>169</v>
      </c>
      <c r="BO47" s="57" t="s">
        <v>166</v>
      </c>
      <c r="BP47" s="57" t="s">
        <v>169</v>
      </c>
      <c r="BQ47" s="57" t="s">
        <v>169</v>
      </c>
      <c r="BR47" s="57" t="s">
        <v>169</v>
      </c>
      <c r="BS47" s="57" t="s">
        <v>169</v>
      </c>
      <c r="BT47" s="57" t="s">
        <v>169</v>
      </c>
      <c r="BU47" s="57" t="s">
        <v>169</v>
      </c>
      <c r="BV47" s="57" t="s">
        <v>169</v>
      </c>
      <c r="BW47" s="99"/>
    </row>
    <row r="48" spans="1:75" s="143" customFormat="1" x14ac:dyDescent="0.25">
      <c r="B48" s="146" t="s">
        <v>202</v>
      </c>
      <c r="C48" s="142">
        <v>41479</v>
      </c>
      <c r="D48" s="161"/>
      <c r="E48" s="145" t="s">
        <v>175</v>
      </c>
      <c r="F48" s="145">
        <v>2.895708526737891</v>
      </c>
      <c r="G48" s="145">
        <v>1.1112603419265892</v>
      </c>
      <c r="H48" s="145">
        <v>2.3133097914590883</v>
      </c>
      <c r="I48" s="145">
        <v>1.5901391048866413</v>
      </c>
      <c r="J48" s="145">
        <v>12.674982705206849</v>
      </c>
      <c r="K48" s="145">
        <v>24.644860996915423</v>
      </c>
      <c r="L48" s="145">
        <v>10.904221178598963</v>
      </c>
      <c r="M48" s="145">
        <v>13.390162015748434</v>
      </c>
      <c r="N48" s="145" t="s">
        <v>175</v>
      </c>
      <c r="O48" s="145" t="s">
        <v>175</v>
      </c>
      <c r="P48" s="145" t="s">
        <v>175</v>
      </c>
      <c r="Q48" s="145" t="s">
        <v>175</v>
      </c>
      <c r="R48" s="145" t="s">
        <v>175</v>
      </c>
      <c r="S48" s="145" t="s">
        <v>175</v>
      </c>
      <c r="T48" s="145" t="s">
        <v>175</v>
      </c>
      <c r="U48" s="145">
        <v>5.3233071837976151</v>
      </c>
      <c r="V48" s="145" t="s">
        <v>175</v>
      </c>
      <c r="W48" s="145" t="s">
        <v>175</v>
      </c>
      <c r="X48" s="145" t="s">
        <v>175</v>
      </c>
      <c r="Y48" s="145" t="s">
        <v>175</v>
      </c>
      <c r="Z48" s="145" t="s">
        <v>175</v>
      </c>
      <c r="AA48" s="145" t="s">
        <v>175</v>
      </c>
      <c r="AB48" s="145" t="s">
        <v>175</v>
      </c>
      <c r="AC48" s="145">
        <v>2.2389901020513192</v>
      </c>
      <c r="AD48" s="145" t="s">
        <v>175</v>
      </c>
      <c r="AE48" s="145" t="s">
        <v>175</v>
      </c>
      <c r="AF48" s="145">
        <v>11.097637345096949</v>
      </c>
      <c r="AG48" s="145" t="s">
        <v>175</v>
      </c>
      <c r="AH48" s="145">
        <v>1.8458327178915921</v>
      </c>
      <c r="AI48" s="145" t="s">
        <v>175</v>
      </c>
      <c r="AJ48" s="145">
        <v>4.4456765613855751</v>
      </c>
      <c r="AK48" s="145" t="s">
        <v>175</v>
      </c>
      <c r="AL48" s="145" t="s">
        <v>175</v>
      </c>
      <c r="AM48" s="145" t="s">
        <v>175</v>
      </c>
      <c r="AN48" s="145">
        <v>1.3729022503160735</v>
      </c>
      <c r="AO48" s="145" t="s">
        <v>175</v>
      </c>
      <c r="AP48" s="145" t="s">
        <v>175</v>
      </c>
      <c r="AQ48" s="145" t="s">
        <v>175</v>
      </c>
      <c r="AR48" s="145" t="s">
        <v>175</v>
      </c>
      <c r="AS48" s="145" t="s">
        <v>175</v>
      </c>
      <c r="AT48" s="145" t="s">
        <v>175</v>
      </c>
      <c r="AU48" s="145">
        <v>6.6121823563350451E-3</v>
      </c>
      <c r="AV48" s="145" t="s">
        <v>175</v>
      </c>
      <c r="AW48" s="145" t="s">
        <v>175</v>
      </c>
      <c r="AX48" s="145" t="s">
        <v>175</v>
      </c>
      <c r="AY48" s="145">
        <v>17.154757498173915</v>
      </c>
      <c r="AZ48" s="145" t="s">
        <v>175</v>
      </c>
      <c r="BA48" s="145" t="s">
        <v>175</v>
      </c>
      <c r="BB48" s="145" t="s">
        <v>175</v>
      </c>
      <c r="BC48" s="145" t="s">
        <v>175</v>
      </c>
      <c r="BD48" s="145">
        <v>2.2325249407578291</v>
      </c>
      <c r="BE48" s="145" t="s">
        <v>175</v>
      </c>
      <c r="BF48" s="145" t="s">
        <v>175</v>
      </c>
      <c r="BG48" s="145" t="s">
        <v>175</v>
      </c>
      <c r="BH48" s="145" t="s">
        <v>175</v>
      </c>
      <c r="BI48" s="145" t="s">
        <v>175</v>
      </c>
      <c r="BJ48" s="145" t="s">
        <v>175</v>
      </c>
      <c r="BK48" s="145" t="s">
        <v>175</v>
      </c>
      <c r="BL48" s="145">
        <v>0.15204070395418878</v>
      </c>
      <c r="BM48" s="145">
        <v>0.84835804057361619</v>
      </c>
      <c r="BN48" s="145">
        <v>1.6713476864212164</v>
      </c>
      <c r="BO48" s="145">
        <v>5.0861362265926538E-2</v>
      </c>
      <c r="BP48" s="145">
        <v>3.7769656951272474</v>
      </c>
      <c r="BQ48" s="145" t="s">
        <v>175</v>
      </c>
      <c r="BR48" s="145" t="s">
        <v>175</v>
      </c>
      <c r="BS48" s="145" t="s">
        <v>175</v>
      </c>
      <c r="BT48" s="145" t="s">
        <v>175</v>
      </c>
      <c r="BU48" s="145" t="s">
        <v>175</v>
      </c>
      <c r="BV48" s="145">
        <v>17.278832834270329</v>
      </c>
    </row>
    <row r="49" spans="2:75" x14ac:dyDescent="0.25">
      <c r="B49" s="60"/>
      <c r="C49" s="67"/>
      <c r="D49" s="161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99"/>
    </row>
    <row r="50" spans="2:75" x14ac:dyDescent="0.25">
      <c r="B50" s="59" t="s">
        <v>163</v>
      </c>
      <c r="C50" s="67">
        <v>41457</v>
      </c>
      <c r="D50" s="161"/>
      <c r="E50" s="58" t="s">
        <v>157</v>
      </c>
      <c r="F50" s="60" t="s">
        <v>157</v>
      </c>
      <c r="G50" s="60" t="s">
        <v>157</v>
      </c>
      <c r="H50" s="60" t="s">
        <v>157</v>
      </c>
      <c r="I50" s="60" t="s">
        <v>157</v>
      </c>
      <c r="J50" s="60" t="s">
        <v>157</v>
      </c>
      <c r="K50" s="60" t="s">
        <v>157</v>
      </c>
      <c r="L50" s="60" t="s">
        <v>157</v>
      </c>
      <c r="M50" s="60" t="s">
        <v>157</v>
      </c>
      <c r="N50" s="60" t="s">
        <v>157</v>
      </c>
      <c r="O50" s="60" t="s">
        <v>157</v>
      </c>
      <c r="P50" s="60" t="s">
        <v>157</v>
      </c>
      <c r="Q50" s="60" t="s">
        <v>157</v>
      </c>
      <c r="R50" s="60" t="s">
        <v>157</v>
      </c>
      <c r="S50" s="60" t="s">
        <v>157</v>
      </c>
      <c r="T50" s="60" t="s">
        <v>157</v>
      </c>
      <c r="U50" s="60" t="s">
        <v>157</v>
      </c>
      <c r="V50" s="60" t="s">
        <v>157</v>
      </c>
      <c r="W50" s="60" t="s">
        <v>157</v>
      </c>
      <c r="X50" s="60" t="s">
        <v>157</v>
      </c>
      <c r="Y50" s="60" t="s">
        <v>157</v>
      </c>
      <c r="Z50" s="60" t="s">
        <v>157</v>
      </c>
      <c r="AA50" s="60" t="s">
        <v>157</v>
      </c>
      <c r="AB50" s="60" t="s">
        <v>157</v>
      </c>
      <c r="AC50" s="60" t="s">
        <v>157</v>
      </c>
      <c r="AD50" s="60" t="s">
        <v>157</v>
      </c>
      <c r="AE50" s="60" t="s">
        <v>157</v>
      </c>
      <c r="AF50" s="60" t="s">
        <v>157</v>
      </c>
      <c r="AG50" s="60" t="s">
        <v>157</v>
      </c>
      <c r="AH50" s="58" t="s">
        <v>157</v>
      </c>
      <c r="AI50" s="60" t="s">
        <v>157</v>
      </c>
      <c r="AJ50" s="60" t="s">
        <v>157</v>
      </c>
      <c r="AK50" s="59" t="s">
        <v>157</v>
      </c>
      <c r="AL50" s="59" t="s">
        <v>157</v>
      </c>
      <c r="AM50" s="59" t="s">
        <v>157</v>
      </c>
      <c r="AN50" s="59" t="s">
        <v>157</v>
      </c>
      <c r="AO50" s="59" t="s">
        <v>157</v>
      </c>
      <c r="AP50" s="59" t="s">
        <v>157</v>
      </c>
      <c r="AQ50" s="59" t="s">
        <v>157</v>
      </c>
      <c r="AR50" s="59" t="s">
        <v>157</v>
      </c>
      <c r="AS50" s="59" t="s">
        <v>157</v>
      </c>
      <c r="AT50" s="60" t="s">
        <v>157</v>
      </c>
      <c r="AU50" s="59" t="s">
        <v>157</v>
      </c>
      <c r="AV50" s="59" t="s">
        <v>157</v>
      </c>
      <c r="AW50" s="59" t="s">
        <v>157</v>
      </c>
      <c r="AX50" s="59" t="s">
        <v>157</v>
      </c>
      <c r="AY50" s="60" t="s">
        <v>157</v>
      </c>
      <c r="AZ50" s="59" t="s">
        <v>157</v>
      </c>
      <c r="BA50" s="59" t="s">
        <v>157</v>
      </c>
      <c r="BB50" s="59" t="s">
        <v>157</v>
      </c>
      <c r="BC50" s="59" t="s">
        <v>157</v>
      </c>
      <c r="BD50" s="59" t="s">
        <v>157</v>
      </c>
      <c r="BE50" s="59" t="s">
        <v>157</v>
      </c>
      <c r="BF50" s="59" t="s">
        <v>157</v>
      </c>
      <c r="BG50" s="59" t="s">
        <v>157</v>
      </c>
      <c r="BH50" s="59" t="s">
        <v>157</v>
      </c>
      <c r="BI50" s="59" t="s">
        <v>157</v>
      </c>
      <c r="BJ50" s="59" t="s">
        <v>157</v>
      </c>
      <c r="BK50" s="59" t="s">
        <v>157</v>
      </c>
      <c r="BL50" s="59" t="s">
        <v>157</v>
      </c>
      <c r="BM50" s="59" t="s">
        <v>157</v>
      </c>
      <c r="BN50" s="60" t="s">
        <v>157</v>
      </c>
      <c r="BO50" s="59" t="s">
        <v>157</v>
      </c>
      <c r="BP50" s="59" t="s">
        <v>157</v>
      </c>
      <c r="BQ50" s="59" t="s">
        <v>157</v>
      </c>
      <c r="BR50" s="59" t="s">
        <v>157</v>
      </c>
      <c r="BS50" s="59" t="s">
        <v>157</v>
      </c>
      <c r="BT50" s="59" t="s">
        <v>157</v>
      </c>
      <c r="BU50" s="59" t="s">
        <v>157</v>
      </c>
      <c r="BV50" s="59" t="s">
        <v>157</v>
      </c>
      <c r="BW50" s="99"/>
    </row>
    <row r="51" spans="2:75" x14ac:dyDescent="0.25">
      <c r="B51" s="59" t="s">
        <v>164</v>
      </c>
      <c r="C51" s="67">
        <v>41457</v>
      </c>
      <c r="D51" s="161"/>
      <c r="E51" s="58" t="s">
        <v>157</v>
      </c>
      <c r="F51" s="60" t="s">
        <v>157</v>
      </c>
      <c r="G51" s="60" t="s">
        <v>157</v>
      </c>
      <c r="H51" s="60" t="s">
        <v>157</v>
      </c>
      <c r="I51" s="60" t="s">
        <v>157</v>
      </c>
      <c r="J51" s="60" t="s">
        <v>157</v>
      </c>
      <c r="K51" s="60" t="s">
        <v>157</v>
      </c>
      <c r="L51" s="60" t="s">
        <v>157</v>
      </c>
      <c r="M51" s="60" t="s">
        <v>157</v>
      </c>
      <c r="N51" s="60" t="s">
        <v>157</v>
      </c>
      <c r="O51" s="60" t="s">
        <v>157</v>
      </c>
      <c r="P51" s="60" t="s">
        <v>157</v>
      </c>
      <c r="Q51" s="60" t="s">
        <v>157</v>
      </c>
      <c r="R51" s="60" t="s">
        <v>157</v>
      </c>
      <c r="S51" s="60" t="s">
        <v>157</v>
      </c>
      <c r="T51" s="60" t="s">
        <v>157</v>
      </c>
      <c r="U51" s="60" t="s">
        <v>157</v>
      </c>
      <c r="V51" s="60" t="s">
        <v>157</v>
      </c>
      <c r="W51" s="60" t="s">
        <v>157</v>
      </c>
      <c r="X51" s="60" t="s">
        <v>157</v>
      </c>
      <c r="Y51" s="60" t="s">
        <v>157</v>
      </c>
      <c r="Z51" s="60" t="s">
        <v>157</v>
      </c>
      <c r="AA51" s="60" t="s">
        <v>157</v>
      </c>
      <c r="AB51" s="60" t="s">
        <v>157</v>
      </c>
      <c r="AC51" s="60" t="s">
        <v>157</v>
      </c>
      <c r="AD51" s="60" t="s">
        <v>157</v>
      </c>
      <c r="AE51" s="60" t="s">
        <v>157</v>
      </c>
      <c r="AF51" s="60" t="s">
        <v>157</v>
      </c>
      <c r="AG51" s="60" t="s">
        <v>157</v>
      </c>
      <c r="AH51" s="58" t="s">
        <v>157</v>
      </c>
      <c r="AI51" s="60" t="s">
        <v>157</v>
      </c>
      <c r="AJ51" s="60" t="s">
        <v>157</v>
      </c>
      <c r="AK51" s="59" t="s">
        <v>157</v>
      </c>
      <c r="AL51" s="59" t="s">
        <v>157</v>
      </c>
      <c r="AM51" s="59" t="s">
        <v>157</v>
      </c>
      <c r="AN51" s="59" t="s">
        <v>157</v>
      </c>
      <c r="AO51" s="59" t="s">
        <v>157</v>
      </c>
      <c r="AP51" s="59" t="s">
        <v>157</v>
      </c>
      <c r="AQ51" s="59" t="s">
        <v>157</v>
      </c>
      <c r="AR51" s="59" t="s">
        <v>157</v>
      </c>
      <c r="AS51" s="59" t="s">
        <v>157</v>
      </c>
      <c r="AT51" s="59" t="s">
        <v>157</v>
      </c>
      <c r="AU51" s="59" t="s">
        <v>157</v>
      </c>
      <c r="AV51" s="59" t="s">
        <v>157</v>
      </c>
      <c r="AW51" s="59" t="s">
        <v>157</v>
      </c>
      <c r="AX51" s="59" t="s">
        <v>157</v>
      </c>
      <c r="AY51" s="59" t="s">
        <v>157</v>
      </c>
      <c r="AZ51" s="59" t="s">
        <v>157</v>
      </c>
      <c r="BA51" s="59" t="s">
        <v>157</v>
      </c>
      <c r="BB51" s="59" t="s">
        <v>157</v>
      </c>
      <c r="BC51" s="59" t="s">
        <v>157</v>
      </c>
      <c r="BD51" s="59" t="s">
        <v>157</v>
      </c>
      <c r="BE51" s="59" t="s">
        <v>157</v>
      </c>
      <c r="BF51" s="59" t="s">
        <v>157</v>
      </c>
      <c r="BG51" s="59" t="s">
        <v>157</v>
      </c>
      <c r="BH51" s="59" t="s">
        <v>157</v>
      </c>
      <c r="BI51" s="59" t="s">
        <v>157</v>
      </c>
      <c r="BJ51" s="59" t="s">
        <v>157</v>
      </c>
      <c r="BK51" s="59" t="s">
        <v>157</v>
      </c>
      <c r="BL51" s="59" t="s">
        <v>157</v>
      </c>
      <c r="BM51" s="59" t="s">
        <v>157</v>
      </c>
      <c r="BN51" s="60" t="s">
        <v>157</v>
      </c>
      <c r="BO51" s="59" t="s">
        <v>157</v>
      </c>
      <c r="BP51" s="59" t="s">
        <v>157</v>
      </c>
      <c r="BQ51" s="59" t="s">
        <v>157</v>
      </c>
      <c r="BR51" s="59" t="s">
        <v>157</v>
      </c>
      <c r="BS51" s="59" t="s">
        <v>157</v>
      </c>
      <c r="BT51" s="59" t="s">
        <v>157</v>
      </c>
      <c r="BU51" s="59" t="s">
        <v>157</v>
      </c>
      <c r="BV51" s="59" t="s">
        <v>157</v>
      </c>
      <c r="BW51" s="99"/>
    </row>
    <row r="52" spans="2:75" x14ac:dyDescent="0.25">
      <c r="B52" s="59" t="s">
        <v>165</v>
      </c>
      <c r="C52" s="67">
        <v>41457</v>
      </c>
      <c r="D52" s="161"/>
      <c r="E52" s="60">
        <v>85.066666666666663</v>
      </c>
      <c r="F52" s="60">
        <v>83.55</v>
      </c>
      <c r="G52" s="60">
        <v>91.566666666666663</v>
      </c>
      <c r="H52" s="60">
        <v>101.08333333333333</v>
      </c>
      <c r="I52" s="60">
        <v>94.86666666666666</v>
      </c>
      <c r="J52" s="60">
        <v>101.81666666666666</v>
      </c>
      <c r="K52" s="60">
        <v>96.416666666666671</v>
      </c>
      <c r="L52" s="60">
        <v>91.75</v>
      </c>
      <c r="M52" s="60">
        <v>92.5</v>
      </c>
      <c r="N52" s="60">
        <v>99.600000000000009</v>
      </c>
      <c r="O52" s="60">
        <v>112.51666666666665</v>
      </c>
      <c r="P52" s="58" t="s">
        <v>166</v>
      </c>
      <c r="Q52" s="60">
        <v>119.96666666666668</v>
      </c>
      <c r="R52" s="58" t="s">
        <v>166</v>
      </c>
      <c r="S52" s="60">
        <v>102.26666666666667</v>
      </c>
      <c r="T52" s="58" t="s">
        <v>166</v>
      </c>
      <c r="U52" s="60">
        <v>95.183333333333337</v>
      </c>
      <c r="V52" s="60">
        <v>125.44999999999999</v>
      </c>
      <c r="W52" s="60">
        <v>71.95</v>
      </c>
      <c r="X52" s="58" t="s">
        <v>166</v>
      </c>
      <c r="Y52" s="60">
        <v>99.116666666666674</v>
      </c>
      <c r="Z52" s="60">
        <v>107.76666666666667</v>
      </c>
      <c r="AA52" s="58" t="s">
        <v>166</v>
      </c>
      <c r="AB52" s="60">
        <v>92.350000000000009</v>
      </c>
      <c r="AC52" s="60">
        <v>79.833333333333329</v>
      </c>
      <c r="AD52" s="60">
        <v>82.316666666666663</v>
      </c>
      <c r="AE52" s="58" t="s">
        <v>166</v>
      </c>
      <c r="AF52" s="60">
        <v>103.8</v>
      </c>
      <c r="AG52" s="58" t="s">
        <v>166</v>
      </c>
      <c r="AH52" s="60">
        <v>88.75</v>
      </c>
      <c r="AI52" s="58" t="s">
        <v>166</v>
      </c>
      <c r="AJ52" s="59">
        <v>93.05</v>
      </c>
      <c r="AK52" s="57" t="s">
        <v>166</v>
      </c>
      <c r="AL52" s="59">
        <v>101.95</v>
      </c>
      <c r="AM52" s="59">
        <v>71.2</v>
      </c>
      <c r="AN52" s="60">
        <v>110.91666666666667</v>
      </c>
      <c r="AO52" s="59">
        <v>88.216666666666654</v>
      </c>
      <c r="AP52" s="57" t="s">
        <v>166</v>
      </c>
      <c r="AQ52" s="57" t="s">
        <v>166</v>
      </c>
      <c r="AR52" s="57" t="s">
        <v>166</v>
      </c>
      <c r="AS52" s="57" t="s">
        <v>166</v>
      </c>
      <c r="AT52" s="59">
        <v>99.13333333333334</v>
      </c>
      <c r="AU52" s="59">
        <v>72.716666666666654</v>
      </c>
      <c r="AV52" s="57" t="s">
        <v>166</v>
      </c>
      <c r="AW52" s="57" t="s">
        <v>166</v>
      </c>
      <c r="AX52" s="57" t="s">
        <v>166</v>
      </c>
      <c r="AY52" s="59">
        <v>94.149999999999991</v>
      </c>
      <c r="AZ52" s="57" t="s">
        <v>166</v>
      </c>
      <c r="BA52" s="57" t="s">
        <v>166</v>
      </c>
      <c r="BB52" s="57" t="s">
        <v>166</v>
      </c>
      <c r="BC52" s="57" t="s">
        <v>166</v>
      </c>
      <c r="BD52" s="59">
        <v>95.883333333333326</v>
      </c>
      <c r="BE52" s="57" t="s">
        <v>166</v>
      </c>
      <c r="BF52" s="57" t="s">
        <v>166</v>
      </c>
      <c r="BG52" s="59">
        <v>102.06666666666666</v>
      </c>
      <c r="BH52" s="59">
        <v>111.21666666666668</v>
      </c>
      <c r="BI52" s="60">
        <v>113.8</v>
      </c>
      <c r="BJ52" s="57" t="s">
        <v>166</v>
      </c>
      <c r="BK52" s="57" t="s">
        <v>166</v>
      </c>
      <c r="BL52" s="59">
        <v>88.216666666666654</v>
      </c>
      <c r="BM52" s="57" t="s">
        <v>166</v>
      </c>
      <c r="BN52" s="59">
        <v>91.3</v>
      </c>
      <c r="BO52" s="57" t="s">
        <v>166</v>
      </c>
      <c r="BP52" s="57" t="s">
        <v>166</v>
      </c>
      <c r="BQ52" s="57" t="s">
        <v>166</v>
      </c>
      <c r="BR52" s="57" t="s">
        <v>166</v>
      </c>
      <c r="BS52" s="57" t="s">
        <v>166</v>
      </c>
      <c r="BT52" s="57" t="s">
        <v>166</v>
      </c>
      <c r="BU52" s="57" t="s">
        <v>166</v>
      </c>
      <c r="BV52" s="57" t="s">
        <v>166</v>
      </c>
      <c r="BW52" s="99"/>
    </row>
    <row r="53" spans="2:75" ht="17.25" x14ac:dyDescent="0.25">
      <c r="B53" s="60" t="s">
        <v>168</v>
      </c>
      <c r="C53" s="67">
        <v>41457</v>
      </c>
      <c r="D53" s="161"/>
      <c r="E53" s="60">
        <v>0.99</v>
      </c>
      <c r="F53" s="60">
        <v>0.99299999999999999</v>
      </c>
      <c r="G53" s="60">
        <v>0.997</v>
      </c>
      <c r="H53" s="60">
        <v>0.99099999999999999</v>
      </c>
      <c r="I53" s="60">
        <v>0.995</v>
      </c>
      <c r="J53" s="60">
        <v>0.995</v>
      </c>
      <c r="K53" s="60">
        <v>0.995</v>
      </c>
      <c r="L53" s="60">
        <v>0.99299999999999999</v>
      </c>
      <c r="M53" s="60">
        <v>0.996</v>
      </c>
      <c r="N53" s="60">
        <v>0.996</v>
      </c>
      <c r="O53" s="60">
        <v>0.98899999999999999</v>
      </c>
      <c r="P53" s="58" t="s">
        <v>166</v>
      </c>
      <c r="Q53" s="60">
        <v>0.98399999999999999</v>
      </c>
      <c r="R53" s="58" t="s">
        <v>166</v>
      </c>
      <c r="S53" s="60">
        <v>0.98899999999999999</v>
      </c>
      <c r="T53" s="58" t="s">
        <v>166</v>
      </c>
      <c r="U53" s="60">
        <v>0.99099999999999999</v>
      </c>
      <c r="V53" s="60">
        <v>0.98099999999999998</v>
      </c>
      <c r="W53" s="60">
        <v>0.98599999999999999</v>
      </c>
      <c r="X53" s="58" t="s">
        <v>166</v>
      </c>
      <c r="Y53" s="60">
        <v>0.98099999999999998</v>
      </c>
      <c r="Z53" s="60">
        <v>0.98699999999999999</v>
      </c>
      <c r="AA53" s="58" t="s">
        <v>166</v>
      </c>
      <c r="AB53" s="60">
        <v>0.98699999999999999</v>
      </c>
      <c r="AC53" s="60">
        <v>1</v>
      </c>
      <c r="AD53" s="60">
        <v>0.97399999999999998</v>
      </c>
      <c r="AE53" s="58" t="s">
        <v>166</v>
      </c>
      <c r="AF53" s="60">
        <v>0.997</v>
      </c>
      <c r="AG53" s="58" t="s">
        <v>166</v>
      </c>
      <c r="AH53" s="60">
        <v>0.99299999999999999</v>
      </c>
      <c r="AI53" s="58" t="s">
        <v>166</v>
      </c>
      <c r="AJ53" s="60">
        <v>0.995</v>
      </c>
      <c r="AK53" s="57" t="s">
        <v>166</v>
      </c>
      <c r="AL53" s="60">
        <v>0.995</v>
      </c>
      <c r="AM53" s="60">
        <v>0.999</v>
      </c>
      <c r="AN53" s="60">
        <v>0.996</v>
      </c>
      <c r="AO53" s="60">
        <v>0.98299999999999998</v>
      </c>
      <c r="AP53" s="57" t="s">
        <v>166</v>
      </c>
      <c r="AQ53" s="57" t="s">
        <v>166</v>
      </c>
      <c r="AR53" s="57" t="s">
        <v>166</v>
      </c>
      <c r="AS53" s="57" t="s">
        <v>166</v>
      </c>
      <c r="AT53" s="60">
        <v>0.998</v>
      </c>
      <c r="AU53" s="60">
        <v>0.997</v>
      </c>
      <c r="AV53" s="57" t="s">
        <v>166</v>
      </c>
      <c r="AW53" s="57" t="s">
        <v>166</v>
      </c>
      <c r="AX53" s="57" t="s">
        <v>166</v>
      </c>
      <c r="AY53" s="60">
        <v>0.995</v>
      </c>
      <c r="AZ53" s="57" t="s">
        <v>166</v>
      </c>
      <c r="BA53" s="57" t="s">
        <v>166</v>
      </c>
      <c r="BB53" s="57" t="s">
        <v>166</v>
      </c>
      <c r="BC53" s="57" t="s">
        <v>166</v>
      </c>
      <c r="BD53" s="60">
        <v>0.99099999999999999</v>
      </c>
      <c r="BE53" s="57" t="s">
        <v>166</v>
      </c>
      <c r="BF53" s="57" t="s">
        <v>166</v>
      </c>
      <c r="BG53" s="60">
        <v>0.999</v>
      </c>
      <c r="BH53" s="60">
        <v>0.998</v>
      </c>
      <c r="BI53" s="60">
        <v>0.999</v>
      </c>
      <c r="BJ53" s="57" t="s">
        <v>166</v>
      </c>
      <c r="BK53" s="57" t="s">
        <v>166</v>
      </c>
      <c r="BL53" s="60">
        <v>0.995</v>
      </c>
      <c r="BM53" s="57" t="s">
        <v>166</v>
      </c>
      <c r="BN53" s="60">
        <v>0.995</v>
      </c>
      <c r="BO53" s="57" t="s">
        <v>166</v>
      </c>
      <c r="BP53" s="57" t="s">
        <v>166</v>
      </c>
      <c r="BQ53" s="57" t="s">
        <v>166</v>
      </c>
      <c r="BR53" s="57" t="s">
        <v>166</v>
      </c>
      <c r="BS53" s="57" t="s">
        <v>166</v>
      </c>
      <c r="BT53" s="57" t="s">
        <v>166</v>
      </c>
      <c r="BU53" s="57" t="s">
        <v>166</v>
      </c>
      <c r="BV53" s="57" t="s">
        <v>166</v>
      </c>
      <c r="BW53" s="99"/>
    </row>
    <row r="54" spans="2:75" x14ac:dyDescent="0.25">
      <c r="B54" s="60" t="s">
        <v>170</v>
      </c>
      <c r="C54" s="67">
        <v>41457</v>
      </c>
      <c r="D54" s="161"/>
      <c r="E54" s="60" t="s">
        <v>169</v>
      </c>
      <c r="F54" s="60" t="s">
        <v>169</v>
      </c>
      <c r="G54" s="60" t="s">
        <v>169</v>
      </c>
      <c r="H54" s="60" t="s">
        <v>169</v>
      </c>
      <c r="I54" s="60" t="s">
        <v>169</v>
      </c>
      <c r="J54" s="60" t="s">
        <v>169</v>
      </c>
      <c r="K54" s="60" t="s">
        <v>169</v>
      </c>
      <c r="L54" s="60" t="s">
        <v>169</v>
      </c>
      <c r="M54" s="60" t="s">
        <v>169</v>
      </c>
      <c r="N54" s="60" t="s">
        <v>169</v>
      </c>
      <c r="O54" s="60" t="s">
        <v>169</v>
      </c>
      <c r="P54" s="58" t="s">
        <v>166</v>
      </c>
      <c r="Q54" s="60" t="s">
        <v>169</v>
      </c>
      <c r="R54" s="58" t="s">
        <v>166</v>
      </c>
      <c r="S54" s="60" t="s">
        <v>169</v>
      </c>
      <c r="T54" s="58" t="s">
        <v>166</v>
      </c>
      <c r="U54" s="60" t="s">
        <v>169</v>
      </c>
      <c r="V54" s="60" t="s">
        <v>169</v>
      </c>
      <c r="W54" s="60" t="s">
        <v>169</v>
      </c>
      <c r="X54" s="58" t="s">
        <v>166</v>
      </c>
      <c r="Y54" s="60" t="s">
        <v>169</v>
      </c>
      <c r="Z54" s="60" t="s">
        <v>169</v>
      </c>
      <c r="AA54" s="60" t="s">
        <v>169</v>
      </c>
      <c r="AB54" s="60" t="s">
        <v>169</v>
      </c>
      <c r="AC54" s="60" t="s">
        <v>169</v>
      </c>
      <c r="AD54" s="60" t="s">
        <v>169</v>
      </c>
      <c r="AE54" s="58" t="s">
        <v>166</v>
      </c>
      <c r="AF54" s="60" t="s">
        <v>169</v>
      </c>
      <c r="AG54" s="58" t="s">
        <v>166</v>
      </c>
      <c r="AH54" s="60" t="s">
        <v>169</v>
      </c>
      <c r="AI54" s="58" t="s">
        <v>166</v>
      </c>
      <c r="AJ54" s="60" t="s">
        <v>169</v>
      </c>
      <c r="AK54" s="57" t="s">
        <v>166</v>
      </c>
      <c r="AL54" s="60" t="s">
        <v>169</v>
      </c>
      <c r="AM54" s="60" t="s">
        <v>169</v>
      </c>
      <c r="AN54" s="60" t="s">
        <v>169</v>
      </c>
      <c r="AO54" s="60" t="s">
        <v>169</v>
      </c>
      <c r="AP54" s="57" t="s">
        <v>166</v>
      </c>
      <c r="AQ54" s="57" t="s">
        <v>166</v>
      </c>
      <c r="AR54" s="57" t="s">
        <v>166</v>
      </c>
      <c r="AS54" s="57" t="s">
        <v>166</v>
      </c>
      <c r="AT54" s="60" t="s">
        <v>169</v>
      </c>
      <c r="AU54" s="60" t="s">
        <v>169</v>
      </c>
      <c r="AV54" s="57" t="s">
        <v>166</v>
      </c>
      <c r="AW54" s="57" t="s">
        <v>166</v>
      </c>
      <c r="AX54" s="57" t="s">
        <v>166</v>
      </c>
      <c r="AY54" s="60" t="s">
        <v>169</v>
      </c>
      <c r="AZ54" s="57" t="s">
        <v>166</v>
      </c>
      <c r="BA54" s="57" t="s">
        <v>166</v>
      </c>
      <c r="BB54" s="57" t="s">
        <v>166</v>
      </c>
      <c r="BC54" s="57" t="s">
        <v>166</v>
      </c>
      <c r="BD54" s="70" t="s">
        <v>169</v>
      </c>
      <c r="BE54" s="57" t="s">
        <v>166</v>
      </c>
      <c r="BF54" s="60" t="s">
        <v>169</v>
      </c>
      <c r="BG54" s="60" t="s">
        <v>169</v>
      </c>
      <c r="BH54" s="60" t="s">
        <v>169</v>
      </c>
      <c r="BI54" s="60" t="s">
        <v>169</v>
      </c>
      <c r="BJ54" s="57" t="s">
        <v>166</v>
      </c>
      <c r="BK54" s="57" t="s">
        <v>166</v>
      </c>
      <c r="BL54" s="60" t="s">
        <v>169</v>
      </c>
      <c r="BM54" s="57" t="s">
        <v>166</v>
      </c>
      <c r="BN54" s="60" t="s">
        <v>169</v>
      </c>
      <c r="BO54" s="57" t="s">
        <v>166</v>
      </c>
      <c r="BP54" s="60" t="s">
        <v>169</v>
      </c>
      <c r="BQ54" s="60" t="s">
        <v>169</v>
      </c>
      <c r="BR54" s="60" t="s">
        <v>169</v>
      </c>
      <c r="BS54" s="60" t="s">
        <v>169</v>
      </c>
      <c r="BT54" s="60" t="s">
        <v>169</v>
      </c>
      <c r="BU54" s="60" t="s">
        <v>169</v>
      </c>
      <c r="BV54" s="60" t="s">
        <v>169</v>
      </c>
      <c r="BW54" s="99"/>
    </row>
    <row r="55" spans="2:75" x14ac:dyDescent="0.25">
      <c r="B55" s="148" t="s">
        <v>203</v>
      </c>
      <c r="C55" s="142">
        <v>41457</v>
      </c>
      <c r="D55" s="161"/>
      <c r="E55" s="147">
        <v>15.231040229150151</v>
      </c>
      <c r="F55" s="147">
        <v>5.7388929640933357</v>
      </c>
      <c r="G55" s="147">
        <v>7.381987687646725</v>
      </c>
      <c r="H55" s="147">
        <v>3.0932856666215578</v>
      </c>
      <c r="I55" s="147">
        <v>3.6921023626073968</v>
      </c>
      <c r="J55" s="147">
        <v>1.2089810017271132</v>
      </c>
      <c r="K55" s="147">
        <v>10.131668931363794</v>
      </c>
      <c r="L55" s="147">
        <v>32.581768000287049</v>
      </c>
      <c r="M55" s="147">
        <v>56.961229083085016</v>
      </c>
      <c r="N55" s="147">
        <v>63.395780382242194</v>
      </c>
      <c r="O55" s="147" t="s">
        <v>175</v>
      </c>
      <c r="P55" s="147" t="s">
        <v>175</v>
      </c>
      <c r="Q55" s="147" t="s">
        <v>175</v>
      </c>
      <c r="R55" s="147" t="s">
        <v>175</v>
      </c>
      <c r="S55" s="147" t="s">
        <v>175</v>
      </c>
      <c r="T55" s="147" t="s">
        <v>175</v>
      </c>
      <c r="U55" s="147" t="s">
        <v>175</v>
      </c>
      <c r="V55" s="147" t="s">
        <v>175</v>
      </c>
      <c r="W55" s="147" t="s">
        <v>175</v>
      </c>
      <c r="X55" s="147" t="s">
        <v>175</v>
      </c>
      <c r="Y55" s="147" t="s">
        <v>175</v>
      </c>
      <c r="Z55" s="147" t="s">
        <v>175</v>
      </c>
      <c r="AA55" s="147" t="s">
        <v>175</v>
      </c>
      <c r="AB55" s="147" t="s">
        <v>175</v>
      </c>
      <c r="AC55" s="147">
        <v>49.182184972174873</v>
      </c>
      <c r="AD55" s="147">
        <v>33.574854358498015</v>
      </c>
      <c r="AE55" s="147" t="s">
        <v>175</v>
      </c>
      <c r="AF55" s="147">
        <v>5.9640955920115584</v>
      </c>
      <c r="AG55" s="147" t="s">
        <v>175</v>
      </c>
      <c r="AH55" s="147">
        <v>10.678098948097729</v>
      </c>
      <c r="AI55" s="147" t="s">
        <v>175</v>
      </c>
      <c r="AJ55" s="147">
        <v>15.467487302534812</v>
      </c>
      <c r="AK55" s="147" t="s">
        <v>175</v>
      </c>
      <c r="AL55" s="147" t="s">
        <v>175</v>
      </c>
      <c r="AM55" s="147" t="s">
        <v>175</v>
      </c>
      <c r="AN55" s="147">
        <v>6.2045673679874103</v>
      </c>
      <c r="AO55" s="147">
        <v>0.93761537808169626</v>
      </c>
      <c r="AP55" s="147" t="s">
        <v>175</v>
      </c>
      <c r="AQ55" s="147" t="s">
        <v>175</v>
      </c>
      <c r="AR55" s="147" t="s">
        <v>175</v>
      </c>
      <c r="AS55" s="147" t="s">
        <v>175</v>
      </c>
      <c r="AT55" s="147" t="s">
        <v>175</v>
      </c>
      <c r="AU55" s="147" t="s">
        <v>175</v>
      </c>
      <c r="AV55" s="147" t="s">
        <v>175</v>
      </c>
      <c r="AW55" s="147" t="s">
        <v>175</v>
      </c>
      <c r="AX55" s="147" t="s">
        <v>175</v>
      </c>
      <c r="AY55" s="147" t="s">
        <v>175</v>
      </c>
      <c r="AZ55" s="147" t="s">
        <v>175</v>
      </c>
      <c r="BA55" s="147" t="s">
        <v>175</v>
      </c>
      <c r="BB55" s="147" t="s">
        <v>175</v>
      </c>
      <c r="BC55" s="147" t="s">
        <v>175</v>
      </c>
      <c r="BD55" s="147" t="s">
        <v>175</v>
      </c>
      <c r="BE55" s="147" t="s">
        <v>175</v>
      </c>
      <c r="BF55" s="147" t="s">
        <v>175</v>
      </c>
      <c r="BG55" s="147" t="s">
        <v>175</v>
      </c>
      <c r="BH55" s="147" t="s">
        <v>175</v>
      </c>
      <c r="BI55" s="147" t="s">
        <v>175</v>
      </c>
      <c r="BJ55" s="147" t="s">
        <v>175</v>
      </c>
      <c r="BK55" s="147" t="s">
        <v>175</v>
      </c>
      <c r="BL55" s="147" t="s">
        <v>175</v>
      </c>
      <c r="BM55" s="147" t="s">
        <v>175</v>
      </c>
      <c r="BN55" s="147" t="s">
        <v>175</v>
      </c>
      <c r="BO55" s="147" t="s">
        <v>175</v>
      </c>
      <c r="BP55" s="147" t="s">
        <v>175</v>
      </c>
      <c r="BQ55" s="147" t="s">
        <v>175</v>
      </c>
      <c r="BR55" s="147" t="s">
        <v>175</v>
      </c>
      <c r="BS55" s="147" t="s">
        <v>175</v>
      </c>
      <c r="BT55" s="147" t="s">
        <v>175</v>
      </c>
      <c r="BU55" s="147" t="s">
        <v>175</v>
      </c>
      <c r="BV55" s="147" t="s">
        <v>175</v>
      </c>
      <c r="BW55" s="99"/>
    </row>
    <row r="56" spans="2:75" x14ac:dyDescent="0.25">
      <c r="B56" s="61"/>
      <c r="C56" s="57"/>
      <c r="D56" s="162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</row>
    <row r="57" spans="2:75" x14ac:dyDescent="0.25">
      <c r="B57" s="59" t="s">
        <v>163</v>
      </c>
      <c r="C57" s="67">
        <v>41465</v>
      </c>
      <c r="D57" s="161"/>
      <c r="E57" s="60" t="s">
        <v>157</v>
      </c>
      <c r="F57" s="60" t="s">
        <v>157</v>
      </c>
      <c r="G57" s="60" t="s">
        <v>157</v>
      </c>
      <c r="H57" s="60" t="s">
        <v>157</v>
      </c>
      <c r="I57" s="60" t="s">
        <v>157</v>
      </c>
      <c r="J57" s="60" t="s">
        <v>157</v>
      </c>
      <c r="K57" s="60" t="s">
        <v>157</v>
      </c>
      <c r="L57" s="60" t="s">
        <v>157</v>
      </c>
      <c r="M57" s="60" t="s">
        <v>157</v>
      </c>
      <c r="N57" s="60" t="s">
        <v>157</v>
      </c>
      <c r="O57" s="60" t="s">
        <v>157</v>
      </c>
      <c r="P57" s="60" t="s">
        <v>157</v>
      </c>
      <c r="Q57" s="60" t="s">
        <v>157</v>
      </c>
      <c r="R57" s="60" t="s">
        <v>157</v>
      </c>
      <c r="S57" s="60" t="s">
        <v>157</v>
      </c>
      <c r="T57" s="60" t="s">
        <v>157</v>
      </c>
      <c r="U57" s="60" t="s">
        <v>157</v>
      </c>
      <c r="V57" s="60" t="s">
        <v>157</v>
      </c>
      <c r="W57" s="60" t="s">
        <v>157</v>
      </c>
      <c r="X57" s="60" t="s">
        <v>157</v>
      </c>
      <c r="Y57" s="60" t="s">
        <v>157</v>
      </c>
      <c r="Z57" s="60" t="s">
        <v>157</v>
      </c>
      <c r="AA57" s="60" t="s">
        <v>157</v>
      </c>
      <c r="AB57" s="60" t="s">
        <v>157</v>
      </c>
      <c r="AC57" s="60" t="s">
        <v>157</v>
      </c>
      <c r="AD57" s="60" t="s">
        <v>157</v>
      </c>
      <c r="AE57" s="60" t="s">
        <v>157</v>
      </c>
      <c r="AF57" s="60" t="s">
        <v>157</v>
      </c>
      <c r="AG57" s="60" t="s">
        <v>157</v>
      </c>
      <c r="AH57" s="60" t="s">
        <v>157</v>
      </c>
      <c r="AI57" s="60" t="s">
        <v>157</v>
      </c>
      <c r="AJ57" s="60" t="s">
        <v>157</v>
      </c>
      <c r="AK57" s="59" t="s">
        <v>157</v>
      </c>
      <c r="AL57" s="59" t="s">
        <v>157</v>
      </c>
      <c r="AM57" s="59" t="s">
        <v>157</v>
      </c>
      <c r="AN57" s="59" t="s">
        <v>157</v>
      </c>
      <c r="AO57" s="59" t="s">
        <v>157</v>
      </c>
      <c r="AP57" s="59" t="s">
        <v>157</v>
      </c>
      <c r="AQ57" s="59" t="s">
        <v>157</v>
      </c>
      <c r="AR57" s="59" t="s">
        <v>157</v>
      </c>
      <c r="AS57" s="59" t="s">
        <v>157</v>
      </c>
      <c r="AT57" s="59" t="s">
        <v>157</v>
      </c>
      <c r="AU57" s="59" t="s">
        <v>157</v>
      </c>
      <c r="AV57" s="59" t="s">
        <v>157</v>
      </c>
      <c r="AW57" s="59" t="s">
        <v>157</v>
      </c>
      <c r="AX57" s="59" t="s">
        <v>157</v>
      </c>
      <c r="AY57" s="59" t="s">
        <v>157</v>
      </c>
      <c r="AZ57" s="59" t="s">
        <v>157</v>
      </c>
      <c r="BA57" s="59" t="s">
        <v>157</v>
      </c>
      <c r="BB57" s="59" t="s">
        <v>157</v>
      </c>
      <c r="BC57" s="59" t="s">
        <v>157</v>
      </c>
      <c r="BD57" s="59" t="s">
        <v>157</v>
      </c>
      <c r="BE57" s="59" t="s">
        <v>157</v>
      </c>
      <c r="BF57" s="59" t="s">
        <v>157</v>
      </c>
      <c r="BG57" s="59" t="s">
        <v>157</v>
      </c>
      <c r="BH57" s="59" t="s">
        <v>157</v>
      </c>
      <c r="BI57" s="59" t="s">
        <v>157</v>
      </c>
      <c r="BJ57" s="59" t="s">
        <v>157</v>
      </c>
      <c r="BK57" s="59" t="s">
        <v>157</v>
      </c>
      <c r="BL57" s="59" t="s">
        <v>157</v>
      </c>
      <c r="BM57" s="59" t="s">
        <v>157</v>
      </c>
      <c r="BN57" s="59" t="s">
        <v>157</v>
      </c>
      <c r="BO57" s="59" t="s">
        <v>157</v>
      </c>
      <c r="BP57" s="59" t="s">
        <v>157</v>
      </c>
      <c r="BQ57" s="59" t="s">
        <v>157</v>
      </c>
      <c r="BR57" s="59" t="s">
        <v>157</v>
      </c>
      <c r="BS57" s="59" t="s">
        <v>157</v>
      </c>
      <c r="BT57" s="59" t="s">
        <v>157</v>
      </c>
      <c r="BU57" s="59" t="s">
        <v>157</v>
      </c>
      <c r="BV57" s="59" t="s">
        <v>157</v>
      </c>
      <c r="BW57" s="99"/>
    </row>
    <row r="58" spans="2:75" x14ac:dyDescent="0.25">
      <c r="B58" s="59" t="s">
        <v>164</v>
      </c>
      <c r="C58" s="67">
        <v>41465</v>
      </c>
      <c r="D58" s="161"/>
      <c r="E58" s="60" t="s">
        <v>157</v>
      </c>
      <c r="F58" s="60" t="s">
        <v>157</v>
      </c>
      <c r="G58" s="60" t="s">
        <v>157</v>
      </c>
      <c r="H58" s="60" t="s">
        <v>157</v>
      </c>
      <c r="I58" s="60" t="s">
        <v>157</v>
      </c>
      <c r="J58" s="60" t="s">
        <v>157</v>
      </c>
      <c r="K58" s="60" t="s">
        <v>157</v>
      </c>
      <c r="L58" s="60" t="s">
        <v>157</v>
      </c>
      <c r="M58" s="60" t="s">
        <v>157</v>
      </c>
      <c r="N58" s="60" t="s">
        <v>157</v>
      </c>
      <c r="O58" s="60" t="s">
        <v>157</v>
      </c>
      <c r="P58" s="60" t="s">
        <v>157</v>
      </c>
      <c r="Q58" s="60" t="s">
        <v>157</v>
      </c>
      <c r="R58" s="60" t="s">
        <v>157</v>
      </c>
      <c r="S58" s="60" t="s">
        <v>157</v>
      </c>
      <c r="T58" s="60" t="s">
        <v>157</v>
      </c>
      <c r="U58" s="60" t="s">
        <v>157</v>
      </c>
      <c r="V58" s="60" t="s">
        <v>157</v>
      </c>
      <c r="W58" s="60" t="s">
        <v>157</v>
      </c>
      <c r="X58" s="60" t="s">
        <v>157</v>
      </c>
      <c r="Y58" s="60" t="s">
        <v>157</v>
      </c>
      <c r="Z58" s="60" t="s">
        <v>157</v>
      </c>
      <c r="AA58" s="60" t="s">
        <v>157</v>
      </c>
      <c r="AB58" s="60" t="s">
        <v>157</v>
      </c>
      <c r="AC58" s="60" t="s">
        <v>157</v>
      </c>
      <c r="AD58" s="60" t="s">
        <v>157</v>
      </c>
      <c r="AE58" s="60" t="s">
        <v>157</v>
      </c>
      <c r="AF58" s="60" t="s">
        <v>157</v>
      </c>
      <c r="AG58" s="60" t="s">
        <v>157</v>
      </c>
      <c r="AH58" s="60" t="s">
        <v>157</v>
      </c>
      <c r="AI58" s="60" t="s">
        <v>157</v>
      </c>
      <c r="AJ58" s="60" t="s">
        <v>157</v>
      </c>
      <c r="AK58" s="59" t="s">
        <v>157</v>
      </c>
      <c r="AL58" s="59" t="s">
        <v>157</v>
      </c>
      <c r="AM58" s="59" t="s">
        <v>157</v>
      </c>
      <c r="AN58" s="59" t="s">
        <v>157</v>
      </c>
      <c r="AO58" s="59" t="s">
        <v>157</v>
      </c>
      <c r="AP58" s="59" t="s">
        <v>157</v>
      </c>
      <c r="AQ58" s="59" t="s">
        <v>157</v>
      </c>
      <c r="AR58" s="59" t="s">
        <v>157</v>
      </c>
      <c r="AS58" s="59" t="s">
        <v>157</v>
      </c>
      <c r="AT58" s="59" t="s">
        <v>157</v>
      </c>
      <c r="AU58" s="59" t="s">
        <v>157</v>
      </c>
      <c r="AV58" s="59" t="s">
        <v>157</v>
      </c>
      <c r="AW58" s="59" t="s">
        <v>157</v>
      </c>
      <c r="AX58" s="59" t="s">
        <v>157</v>
      </c>
      <c r="AY58" s="59" t="s">
        <v>157</v>
      </c>
      <c r="AZ58" s="59" t="s">
        <v>157</v>
      </c>
      <c r="BA58" s="59" t="s">
        <v>157</v>
      </c>
      <c r="BB58" s="59" t="s">
        <v>157</v>
      </c>
      <c r="BC58" s="59" t="s">
        <v>157</v>
      </c>
      <c r="BD58" s="59" t="s">
        <v>157</v>
      </c>
      <c r="BE58" s="59" t="s">
        <v>157</v>
      </c>
      <c r="BF58" s="59" t="s">
        <v>157</v>
      </c>
      <c r="BG58" s="59" t="s">
        <v>157</v>
      </c>
      <c r="BH58" s="59" t="s">
        <v>157</v>
      </c>
      <c r="BI58" s="59" t="s">
        <v>157</v>
      </c>
      <c r="BJ58" s="59" t="s">
        <v>157</v>
      </c>
      <c r="BK58" s="59" t="s">
        <v>157</v>
      </c>
      <c r="BL58" s="59" t="s">
        <v>157</v>
      </c>
      <c r="BM58" s="59" t="s">
        <v>157</v>
      </c>
      <c r="BN58" s="59" t="s">
        <v>157</v>
      </c>
      <c r="BO58" s="60" t="s">
        <v>157</v>
      </c>
      <c r="BP58" s="59" t="s">
        <v>157</v>
      </c>
      <c r="BQ58" s="59" t="s">
        <v>157</v>
      </c>
      <c r="BR58" s="59" t="s">
        <v>157</v>
      </c>
      <c r="BS58" s="59" t="s">
        <v>157</v>
      </c>
      <c r="BT58" s="59" t="s">
        <v>157</v>
      </c>
      <c r="BU58" s="59" t="s">
        <v>157</v>
      </c>
      <c r="BV58" s="59" t="s">
        <v>157</v>
      </c>
      <c r="BW58" s="99"/>
    </row>
    <row r="59" spans="2:75" x14ac:dyDescent="0.25">
      <c r="B59" s="59" t="s">
        <v>165</v>
      </c>
      <c r="C59" s="67">
        <v>41465</v>
      </c>
      <c r="D59" s="161"/>
      <c r="E59" s="60">
        <v>96.875</v>
      </c>
      <c r="F59" s="60">
        <v>91.45</v>
      </c>
      <c r="G59" s="60">
        <v>84.824999999999989</v>
      </c>
      <c r="H59" s="60">
        <v>80.174999999999997</v>
      </c>
      <c r="I59" s="60">
        <v>80.123999999999995</v>
      </c>
      <c r="J59" s="60">
        <v>76.98</v>
      </c>
      <c r="K59" s="60">
        <v>91.049999999999983</v>
      </c>
      <c r="L59" s="60">
        <v>94.674999999999997</v>
      </c>
      <c r="M59" s="60">
        <v>92.9</v>
      </c>
      <c r="N59" s="60">
        <v>97.424999999999997</v>
      </c>
      <c r="O59" s="60">
        <v>104.97500000000001</v>
      </c>
      <c r="P59" s="60" t="s">
        <v>166</v>
      </c>
      <c r="Q59" s="60">
        <v>120.27500000000001</v>
      </c>
      <c r="R59" s="60" t="s">
        <v>166</v>
      </c>
      <c r="S59" s="60">
        <v>109.77500000000001</v>
      </c>
      <c r="T59" s="60" t="s">
        <v>166</v>
      </c>
      <c r="U59" s="60">
        <v>99.875</v>
      </c>
      <c r="V59" s="60">
        <v>89.575000000000003</v>
      </c>
      <c r="W59" s="60">
        <v>93.3</v>
      </c>
      <c r="X59" s="60" t="s">
        <v>166</v>
      </c>
      <c r="Y59" s="60">
        <v>84.05</v>
      </c>
      <c r="Z59" s="60">
        <v>108.375</v>
      </c>
      <c r="AA59" s="60" t="s">
        <v>166</v>
      </c>
      <c r="AB59" s="60">
        <v>71.2</v>
      </c>
      <c r="AC59" s="60">
        <v>103.64999999999999</v>
      </c>
      <c r="AD59" s="60">
        <v>83.85</v>
      </c>
      <c r="AE59" s="60" t="s">
        <v>166</v>
      </c>
      <c r="AF59" s="60">
        <v>111.3</v>
      </c>
      <c r="AG59" s="60" t="s">
        <v>166</v>
      </c>
      <c r="AH59" s="60">
        <v>94.674999999999997</v>
      </c>
      <c r="AI59" s="60" t="s">
        <v>166</v>
      </c>
      <c r="AJ59" s="59">
        <v>79.974999999999994</v>
      </c>
      <c r="AK59" s="59" t="s">
        <v>166</v>
      </c>
      <c r="AL59" s="59">
        <v>80.424999999999997</v>
      </c>
      <c r="AM59" s="59">
        <v>74</v>
      </c>
      <c r="AN59" s="59">
        <v>93.449999999999989</v>
      </c>
      <c r="AO59" s="60" t="s">
        <v>166</v>
      </c>
      <c r="AP59" s="59" t="s">
        <v>166</v>
      </c>
      <c r="AQ59" s="59" t="s">
        <v>166</v>
      </c>
      <c r="AR59" s="59" t="s">
        <v>166</v>
      </c>
      <c r="AS59" s="59" t="s">
        <v>166</v>
      </c>
      <c r="AT59" s="59">
        <v>73.150000000000006</v>
      </c>
      <c r="AU59" s="59">
        <v>83.675000000000011</v>
      </c>
      <c r="AV59" s="59" t="s">
        <v>166</v>
      </c>
      <c r="AW59" s="59" t="s">
        <v>166</v>
      </c>
      <c r="AX59" s="59" t="s">
        <v>166</v>
      </c>
      <c r="AY59" s="59">
        <v>93.15</v>
      </c>
      <c r="AZ59" s="59" t="s">
        <v>166</v>
      </c>
      <c r="BA59" s="59" t="s">
        <v>166</v>
      </c>
      <c r="BB59" s="59" t="s">
        <v>166</v>
      </c>
      <c r="BC59" s="59" t="s">
        <v>166</v>
      </c>
      <c r="BD59" s="59">
        <v>86.275000000000006</v>
      </c>
      <c r="BE59" s="59" t="s">
        <v>166</v>
      </c>
      <c r="BF59" s="59" t="s">
        <v>166</v>
      </c>
      <c r="BG59" s="59">
        <v>70.55</v>
      </c>
      <c r="BH59" s="59">
        <v>103.125</v>
      </c>
      <c r="BI59" s="59">
        <v>105.07499999999999</v>
      </c>
      <c r="BJ59" s="59" t="s">
        <v>166</v>
      </c>
      <c r="BK59" s="59" t="s">
        <v>166</v>
      </c>
      <c r="BL59" s="59">
        <v>86.724999999999994</v>
      </c>
      <c r="BM59" s="59" t="s">
        <v>166</v>
      </c>
      <c r="BN59" s="59">
        <v>77.05</v>
      </c>
      <c r="BO59" s="59" t="s">
        <v>166</v>
      </c>
      <c r="BP59" s="59" t="s">
        <v>166</v>
      </c>
      <c r="BQ59" s="59" t="s">
        <v>166</v>
      </c>
      <c r="BR59" s="59" t="s">
        <v>166</v>
      </c>
      <c r="BS59" s="59" t="s">
        <v>166</v>
      </c>
      <c r="BT59" s="59" t="s">
        <v>166</v>
      </c>
      <c r="BU59" s="59" t="s">
        <v>166</v>
      </c>
      <c r="BV59" s="60" t="s">
        <v>166</v>
      </c>
      <c r="BW59" s="99"/>
    </row>
    <row r="60" spans="2:75" ht="17.25" x14ac:dyDescent="0.25">
      <c r="B60" s="60" t="s">
        <v>168</v>
      </c>
      <c r="C60" s="67">
        <v>41465</v>
      </c>
      <c r="D60" s="161"/>
      <c r="E60" s="60">
        <v>0.999</v>
      </c>
      <c r="F60" s="60">
        <v>0.999</v>
      </c>
      <c r="G60" s="60">
        <v>0.997</v>
      </c>
      <c r="H60" s="60">
        <v>0.998</v>
      </c>
      <c r="I60" s="60">
        <v>0.99299999999999999</v>
      </c>
      <c r="J60" s="60">
        <v>0.998</v>
      </c>
      <c r="K60" s="60">
        <v>0.997</v>
      </c>
      <c r="L60" s="60">
        <v>0.998</v>
      </c>
      <c r="M60" s="60">
        <v>0.997</v>
      </c>
      <c r="N60" s="60">
        <v>0.999</v>
      </c>
      <c r="O60" s="60">
        <v>0.99199999999999999</v>
      </c>
      <c r="P60" s="60" t="s">
        <v>166</v>
      </c>
      <c r="Q60" s="60">
        <v>0.996</v>
      </c>
      <c r="R60" s="60" t="s">
        <v>166</v>
      </c>
      <c r="S60" s="60">
        <v>0.995</v>
      </c>
      <c r="T60" s="60" t="s">
        <v>166</v>
      </c>
      <c r="U60" s="60">
        <v>0.99199999999999999</v>
      </c>
      <c r="V60" s="60">
        <v>0.998</v>
      </c>
      <c r="W60" s="60">
        <v>0.995</v>
      </c>
      <c r="X60" s="60" t="s">
        <v>166</v>
      </c>
      <c r="Y60" s="60">
        <v>0.97099999999999997</v>
      </c>
      <c r="Z60" s="60">
        <v>0.998</v>
      </c>
      <c r="AA60" s="60" t="s">
        <v>166</v>
      </c>
      <c r="AB60" s="60">
        <v>0.98</v>
      </c>
      <c r="AC60" s="60">
        <v>0.995</v>
      </c>
      <c r="AD60" s="60">
        <v>0.99</v>
      </c>
      <c r="AE60" s="60" t="s">
        <v>166</v>
      </c>
      <c r="AF60" s="60">
        <v>0.999</v>
      </c>
      <c r="AG60" s="60" t="s">
        <v>166</v>
      </c>
      <c r="AH60" s="60">
        <v>0.998</v>
      </c>
      <c r="AI60" s="60" t="s">
        <v>166</v>
      </c>
      <c r="AJ60" s="60">
        <v>0.999</v>
      </c>
      <c r="AK60" s="59" t="s">
        <v>166</v>
      </c>
      <c r="AL60" s="60">
        <v>0.999</v>
      </c>
      <c r="AM60" s="60">
        <v>0.98499999999999999</v>
      </c>
      <c r="AN60" s="60">
        <v>0.98599999999999999</v>
      </c>
      <c r="AO60" s="60">
        <v>0.98799999999999999</v>
      </c>
      <c r="AP60" s="59" t="s">
        <v>166</v>
      </c>
      <c r="AQ60" s="59" t="s">
        <v>166</v>
      </c>
      <c r="AR60" s="59" t="s">
        <v>166</v>
      </c>
      <c r="AS60" s="59" t="s">
        <v>166</v>
      </c>
      <c r="AT60" s="60">
        <v>1</v>
      </c>
      <c r="AU60" s="60">
        <v>0.99299999999999999</v>
      </c>
      <c r="AV60" s="59" t="s">
        <v>166</v>
      </c>
      <c r="AW60" s="59" t="s">
        <v>166</v>
      </c>
      <c r="AX60" s="59" t="s">
        <v>166</v>
      </c>
      <c r="AY60" s="60">
        <v>0.995</v>
      </c>
      <c r="AZ60" s="59" t="s">
        <v>166</v>
      </c>
      <c r="BA60" s="59" t="s">
        <v>166</v>
      </c>
      <c r="BB60" s="59" t="s">
        <v>166</v>
      </c>
      <c r="BC60" s="59" t="s">
        <v>166</v>
      </c>
      <c r="BD60" s="60">
        <v>0.995</v>
      </c>
      <c r="BE60" s="59" t="s">
        <v>166</v>
      </c>
      <c r="BF60" s="59" t="s">
        <v>166</v>
      </c>
      <c r="BG60" s="60">
        <v>0.98899999999999999</v>
      </c>
      <c r="BH60" s="60">
        <v>0.97899999999999998</v>
      </c>
      <c r="BI60" s="60">
        <v>0.97299999999999998</v>
      </c>
      <c r="BJ60" s="59" t="s">
        <v>166</v>
      </c>
      <c r="BK60" s="59" t="s">
        <v>166</v>
      </c>
      <c r="BL60" s="60">
        <v>0.998</v>
      </c>
      <c r="BM60" s="60" t="s">
        <v>166</v>
      </c>
      <c r="BN60" s="60">
        <v>0.98899999999999999</v>
      </c>
      <c r="BO60" s="59" t="s">
        <v>166</v>
      </c>
      <c r="BP60" s="59" t="s">
        <v>166</v>
      </c>
      <c r="BQ60" s="59" t="s">
        <v>166</v>
      </c>
      <c r="BR60" s="59" t="s">
        <v>166</v>
      </c>
      <c r="BS60" s="59" t="s">
        <v>166</v>
      </c>
      <c r="BT60" s="59" t="s">
        <v>166</v>
      </c>
      <c r="BU60" s="59" t="s">
        <v>166</v>
      </c>
      <c r="BV60" s="60" t="s">
        <v>166</v>
      </c>
      <c r="BW60" s="99"/>
    </row>
    <row r="61" spans="2:75" x14ac:dyDescent="0.25">
      <c r="B61" s="60" t="s">
        <v>170</v>
      </c>
      <c r="C61" s="67">
        <v>41465</v>
      </c>
      <c r="D61" s="161"/>
      <c r="E61" s="60" t="s">
        <v>169</v>
      </c>
      <c r="F61" s="60" t="s">
        <v>169</v>
      </c>
      <c r="G61" s="60" t="s">
        <v>169</v>
      </c>
      <c r="H61" s="60" t="s">
        <v>169</v>
      </c>
      <c r="I61" s="60" t="s">
        <v>169</v>
      </c>
      <c r="J61" s="60" t="s">
        <v>169</v>
      </c>
      <c r="K61" s="60" t="s">
        <v>169</v>
      </c>
      <c r="L61" s="60" t="s">
        <v>169</v>
      </c>
      <c r="M61" s="60" t="s">
        <v>169</v>
      </c>
      <c r="N61" s="60" t="s">
        <v>169</v>
      </c>
      <c r="O61" s="60" t="s">
        <v>169</v>
      </c>
      <c r="P61" s="60" t="s">
        <v>166</v>
      </c>
      <c r="Q61" s="60" t="s">
        <v>169</v>
      </c>
      <c r="R61" s="60" t="s">
        <v>166</v>
      </c>
      <c r="S61" s="60" t="s">
        <v>169</v>
      </c>
      <c r="T61" s="60" t="s">
        <v>166</v>
      </c>
      <c r="U61" s="60" t="s">
        <v>169</v>
      </c>
      <c r="V61" s="60" t="s">
        <v>169</v>
      </c>
      <c r="W61" s="60" t="s">
        <v>169</v>
      </c>
      <c r="X61" s="60" t="s">
        <v>166</v>
      </c>
      <c r="Y61" s="60" t="s">
        <v>169</v>
      </c>
      <c r="Z61" s="60" t="s">
        <v>169</v>
      </c>
      <c r="AA61" s="60" t="s">
        <v>169</v>
      </c>
      <c r="AB61" s="60" t="s">
        <v>169</v>
      </c>
      <c r="AC61" s="60" t="s">
        <v>169</v>
      </c>
      <c r="AD61" s="60" t="s">
        <v>169</v>
      </c>
      <c r="AE61" s="60" t="s">
        <v>166</v>
      </c>
      <c r="AF61" s="60" t="s">
        <v>169</v>
      </c>
      <c r="AG61" s="60" t="s">
        <v>166</v>
      </c>
      <c r="AH61" s="60" t="s">
        <v>169</v>
      </c>
      <c r="AI61" s="60" t="s">
        <v>166</v>
      </c>
      <c r="AJ61" s="60" t="s">
        <v>169</v>
      </c>
      <c r="AK61" s="59" t="s">
        <v>166</v>
      </c>
      <c r="AL61" s="60" t="s">
        <v>169</v>
      </c>
      <c r="AM61" s="60" t="s">
        <v>169</v>
      </c>
      <c r="AN61" s="60" t="s">
        <v>169</v>
      </c>
      <c r="AO61" s="60" t="s">
        <v>169</v>
      </c>
      <c r="AP61" s="59" t="s">
        <v>166</v>
      </c>
      <c r="AQ61" s="59" t="s">
        <v>166</v>
      </c>
      <c r="AR61" s="59" t="s">
        <v>166</v>
      </c>
      <c r="AS61" s="59" t="s">
        <v>166</v>
      </c>
      <c r="AT61" s="60" t="s">
        <v>169</v>
      </c>
      <c r="AU61" s="60" t="s">
        <v>169</v>
      </c>
      <c r="AV61" s="59" t="s">
        <v>166</v>
      </c>
      <c r="AW61" s="59" t="s">
        <v>166</v>
      </c>
      <c r="AX61" s="59" t="s">
        <v>166</v>
      </c>
      <c r="AY61" s="60" t="s">
        <v>169</v>
      </c>
      <c r="AZ61" s="59" t="s">
        <v>166</v>
      </c>
      <c r="BA61" s="59" t="s">
        <v>166</v>
      </c>
      <c r="BB61" s="59" t="s">
        <v>166</v>
      </c>
      <c r="BC61" s="59" t="s">
        <v>166</v>
      </c>
      <c r="BD61" s="60" t="s">
        <v>169</v>
      </c>
      <c r="BE61" s="58" t="s">
        <v>166</v>
      </c>
      <c r="BF61" s="60" t="s">
        <v>169</v>
      </c>
      <c r="BG61" s="60" t="s">
        <v>169</v>
      </c>
      <c r="BH61" s="60" t="s">
        <v>169</v>
      </c>
      <c r="BI61" s="60" t="s">
        <v>169</v>
      </c>
      <c r="BJ61" s="59" t="s">
        <v>166</v>
      </c>
      <c r="BK61" s="59" t="s">
        <v>166</v>
      </c>
      <c r="BL61" s="60" t="s">
        <v>169</v>
      </c>
      <c r="BM61" s="60" t="s">
        <v>174</v>
      </c>
      <c r="BN61" s="60" t="s">
        <v>169</v>
      </c>
      <c r="BO61" s="59" t="s">
        <v>166</v>
      </c>
      <c r="BP61" s="60" t="s">
        <v>169</v>
      </c>
      <c r="BQ61" s="60" t="s">
        <v>169</v>
      </c>
      <c r="BR61" s="60" t="s">
        <v>169</v>
      </c>
      <c r="BS61" s="60" t="s">
        <v>169</v>
      </c>
      <c r="BT61" s="60" t="s">
        <v>169</v>
      </c>
      <c r="BU61" s="60" t="s">
        <v>169</v>
      </c>
      <c r="BV61" s="60" t="s">
        <v>169</v>
      </c>
      <c r="BW61" s="99"/>
    </row>
    <row r="62" spans="2:75" x14ac:dyDescent="0.25">
      <c r="B62" s="60"/>
      <c r="C62" s="67"/>
      <c r="D62" s="161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99"/>
    </row>
    <row r="63" spans="2:75" x14ac:dyDescent="0.25">
      <c r="B63"/>
      <c r="C63"/>
      <c r="D63" s="162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</row>
    <row r="64" spans="2:75" x14ac:dyDescent="0.25">
      <c r="B64" s="65" t="s">
        <v>163</v>
      </c>
      <c r="C64" s="67">
        <v>41837</v>
      </c>
      <c r="D64" s="161"/>
      <c r="E64" s="60" t="s">
        <v>157</v>
      </c>
      <c r="F64" s="60" t="s">
        <v>157</v>
      </c>
      <c r="G64" s="60" t="s">
        <v>157</v>
      </c>
      <c r="H64" s="60" t="s">
        <v>157</v>
      </c>
      <c r="I64" s="60" t="s">
        <v>157</v>
      </c>
      <c r="J64" s="60" t="s">
        <v>157</v>
      </c>
      <c r="K64" s="60" t="s">
        <v>157</v>
      </c>
      <c r="L64" s="60" t="s">
        <v>157</v>
      </c>
      <c r="M64" s="60" t="s">
        <v>157</v>
      </c>
      <c r="N64" s="60" t="s">
        <v>157</v>
      </c>
      <c r="O64" s="60" t="s">
        <v>157</v>
      </c>
      <c r="P64" s="60" t="s">
        <v>157</v>
      </c>
      <c r="Q64" s="60" t="s">
        <v>157</v>
      </c>
      <c r="R64" s="64" t="s">
        <v>157</v>
      </c>
      <c r="S64" s="64" t="s">
        <v>157</v>
      </c>
      <c r="T64" s="64" t="s">
        <v>157</v>
      </c>
      <c r="U64" s="64" t="s">
        <v>157</v>
      </c>
      <c r="V64" s="64" t="s">
        <v>157</v>
      </c>
      <c r="W64" s="64" t="s">
        <v>157</v>
      </c>
      <c r="X64" s="64" t="s">
        <v>157</v>
      </c>
      <c r="Y64" s="124" t="s">
        <v>157</v>
      </c>
      <c r="Z64" s="64" t="s">
        <v>157</v>
      </c>
      <c r="AA64" s="64" t="s">
        <v>157</v>
      </c>
      <c r="AB64" s="64" t="s">
        <v>157</v>
      </c>
      <c r="AC64" s="64" t="s">
        <v>157</v>
      </c>
      <c r="AD64" s="64" t="s">
        <v>157</v>
      </c>
      <c r="AE64" s="64" t="s">
        <v>157</v>
      </c>
      <c r="AF64" s="64" t="s">
        <v>157</v>
      </c>
      <c r="AG64" s="64" t="s">
        <v>157</v>
      </c>
      <c r="AH64" s="64" t="s">
        <v>157</v>
      </c>
      <c r="AI64" s="64" t="s">
        <v>157</v>
      </c>
      <c r="AJ64" s="64" t="s">
        <v>157</v>
      </c>
      <c r="AK64" s="64" t="s">
        <v>157</v>
      </c>
      <c r="AL64" s="64" t="s">
        <v>157</v>
      </c>
      <c r="AM64" s="64" t="s">
        <v>157</v>
      </c>
      <c r="AN64" s="64" t="s">
        <v>157</v>
      </c>
      <c r="AO64" s="64" t="s">
        <v>157</v>
      </c>
      <c r="AP64" s="64" t="s">
        <v>157</v>
      </c>
      <c r="AQ64" s="64" t="s">
        <v>157</v>
      </c>
      <c r="AR64" s="64" t="s">
        <v>157</v>
      </c>
      <c r="AS64" s="64" t="s">
        <v>157</v>
      </c>
      <c r="AT64" s="64" t="s">
        <v>157</v>
      </c>
      <c r="AU64" s="64" t="s">
        <v>157</v>
      </c>
      <c r="AV64" s="64" t="s">
        <v>157</v>
      </c>
      <c r="AW64" s="64" t="s">
        <v>157</v>
      </c>
      <c r="AX64" s="64" t="s">
        <v>157</v>
      </c>
      <c r="AY64" s="64" t="s">
        <v>157</v>
      </c>
      <c r="AZ64" s="64" t="s">
        <v>157</v>
      </c>
      <c r="BA64" s="64" t="s">
        <v>157</v>
      </c>
      <c r="BB64" s="64" t="s">
        <v>157</v>
      </c>
      <c r="BC64" s="64" t="s">
        <v>157</v>
      </c>
      <c r="BD64" s="64" t="s">
        <v>157</v>
      </c>
      <c r="BE64" s="64" t="s">
        <v>157</v>
      </c>
      <c r="BF64" s="64" t="s">
        <v>157</v>
      </c>
      <c r="BG64" s="64" t="s">
        <v>157</v>
      </c>
      <c r="BH64" s="64" t="s">
        <v>157</v>
      </c>
      <c r="BI64" s="64" t="s">
        <v>157</v>
      </c>
      <c r="BJ64" s="64" t="s">
        <v>157</v>
      </c>
      <c r="BK64" s="64" t="s">
        <v>157</v>
      </c>
      <c r="BL64" s="64" t="s">
        <v>157</v>
      </c>
      <c r="BM64" s="64" t="s">
        <v>157</v>
      </c>
      <c r="BN64" s="64" t="s">
        <v>157</v>
      </c>
      <c r="BO64" s="64" t="s">
        <v>157</v>
      </c>
      <c r="BP64" s="124" t="s">
        <v>157</v>
      </c>
      <c r="BQ64" s="64" t="s">
        <v>157</v>
      </c>
      <c r="BR64" s="64" t="s">
        <v>157</v>
      </c>
      <c r="BS64" s="64" t="s">
        <v>157</v>
      </c>
      <c r="BT64" s="64" t="s">
        <v>157</v>
      </c>
      <c r="BU64" s="64" t="s">
        <v>157</v>
      </c>
      <c r="BV64" s="64" t="s">
        <v>157</v>
      </c>
      <c r="BW64" s="99"/>
    </row>
    <row r="65" spans="2:75" x14ac:dyDescent="0.25">
      <c r="B65" s="65" t="s">
        <v>164</v>
      </c>
      <c r="C65" s="67">
        <v>41837</v>
      </c>
      <c r="D65" s="161"/>
      <c r="E65" s="60" t="s">
        <v>157</v>
      </c>
      <c r="F65" s="60" t="s">
        <v>157</v>
      </c>
      <c r="G65" s="60" t="s">
        <v>157</v>
      </c>
      <c r="H65" s="60" t="s">
        <v>157</v>
      </c>
      <c r="I65" s="60" t="s">
        <v>157</v>
      </c>
      <c r="J65" s="60" t="s">
        <v>157</v>
      </c>
      <c r="K65" s="60" t="s">
        <v>157</v>
      </c>
      <c r="L65" s="60" t="s">
        <v>157</v>
      </c>
      <c r="M65" s="60" t="s">
        <v>157</v>
      </c>
      <c r="N65" s="60" t="s">
        <v>157</v>
      </c>
      <c r="O65" s="60" t="s">
        <v>157</v>
      </c>
      <c r="P65" s="60" t="s">
        <v>157</v>
      </c>
      <c r="Q65" s="60" t="s">
        <v>157</v>
      </c>
      <c r="R65" s="64" t="s">
        <v>157</v>
      </c>
      <c r="S65" s="64" t="s">
        <v>157</v>
      </c>
      <c r="T65" s="64" t="s">
        <v>157</v>
      </c>
      <c r="U65" s="64" t="s">
        <v>157</v>
      </c>
      <c r="V65" s="64" t="s">
        <v>157</v>
      </c>
      <c r="W65" s="64" t="s">
        <v>157</v>
      </c>
      <c r="X65" s="64" t="s">
        <v>157</v>
      </c>
      <c r="Y65" s="64" t="s">
        <v>157</v>
      </c>
      <c r="Z65" s="64" t="s">
        <v>157</v>
      </c>
      <c r="AA65" s="64" t="s">
        <v>157</v>
      </c>
      <c r="AB65" s="64" t="s">
        <v>157</v>
      </c>
      <c r="AC65" s="64" t="s">
        <v>157</v>
      </c>
      <c r="AD65" s="64" t="s">
        <v>157</v>
      </c>
      <c r="AE65" s="64" t="s">
        <v>157</v>
      </c>
      <c r="AF65" s="64" t="s">
        <v>157</v>
      </c>
      <c r="AG65" s="64" t="s">
        <v>157</v>
      </c>
      <c r="AH65" s="64" t="s">
        <v>157</v>
      </c>
      <c r="AI65" s="64" t="s">
        <v>157</v>
      </c>
      <c r="AJ65" s="64" t="s">
        <v>157</v>
      </c>
      <c r="AK65" s="64" t="s">
        <v>157</v>
      </c>
      <c r="AL65" s="64" t="s">
        <v>157</v>
      </c>
      <c r="AM65" s="64" t="s">
        <v>157</v>
      </c>
      <c r="AN65" s="124" t="s">
        <v>157</v>
      </c>
      <c r="AO65" s="64" t="s">
        <v>157</v>
      </c>
      <c r="AP65" s="64" t="s">
        <v>157</v>
      </c>
      <c r="AQ65" s="64" t="s">
        <v>157</v>
      </c>
      <c r="AR65" s="64" t="s">
        <v>157</v>
      </c>
      <c r="AS65" s="64" t="s">
        <v>157</v>
      </c>
      <c r="AT65" s="64" t="s">
        <v>157</v>
      </c>
      <c r="AU65" s="64" t="s">
        <v>157</v>
      </c>
      <c r="AV65" s="64" t="s">
        <v>157</v>
      </c>
      <c r="AW65" s="64" t="s">
        <v>157</v>
      </c>
      <c r="AX65" s="64" t="s">
        <v>157</v>
      </c>
      <c r="AY65" s="64" t="s">
        <v>157</v>
      </c>
      <c r="AZ65" s="64" t="s">
        <v>157</v>
      </c>
      <c r="BA65" s="64" t="s">
        <v>157</v>
      </c>
      <c r="BB65" s="64" t="s">
        <v>157</v>
      </c>
      <c r="BC65" s="64" t="s">
        <v>157</v>
      </c>
      <c r="BD65" s="64" t="s">
        <v>157</v>
      </c>
      <c r="BE65" s="64" t="s">
        <v>157</v>
      </c>
      <c r="BF65" s="64" t="s">
        <v>157</v>
      </c>
      <c r="BG65" s="64" t="s">
        <v>157</v>
      </c>
      <c r="BH65" s="64" t="s">
        <v>157</v>
      </c>
      <c r="BI65" s="64" t="s">
        <v>157</v>
      </c>
      <c r="BJ65" s="64" t="s">
        <v>157</v>
      </c>
      <c r="BK65" s="64" t="s">
        <v>157</v>
      </c>
      <c r="BL65" s="64" t="s">
        <v>157</v>
      </c>
      <c r="BM65" s="64" t="s">
        <v>157</v>
      </c>
      <c r="BN65" s="64" t="s">
        <v>157</v>
      </c>
      <c r="BO65" s="64" t="s">
        <v>157</v>
      </c>
      <c r="BP65" s="64" t="s">
        <v>157</v>
      </c>
      <c r="BQ65" s="64" t="s">
        <v>157</v>
      </c>
      <c r="BR65" s="64" t="s">
        <v>157</v>
      </c>
      <c r="BS65" s="64" t="s">
        <v>157</v>
      </c>
      <c r="BT65" s="64" t="s">
        <v>157</v>
      </c>
      <c r="BU65" s="64" t="s">
        <v>157</v>
      </c>
      <c r="BV65" s="64" t="s">
        <v>157</v>
      </c>
      <c r="BW65" s="99"/>
    </row>
    <row r="66" spans="2:75" x14ac:dyDescent="0.25">
      <c r="B66" s="65" t="s">
        <v>165</v>
      </c>
      <c r="C66" s="67">
        <v>41837</v>
      </c>
      <c r="D66" s="161"/>
      <c r="E66" s="60">
        <v>103.8</v>
      </c>
      <c r="F66" s="60">
        <v>105.08333333333333</v>
      </c>
      <c r="G66" s="60">
        <v>105.31666666666666</v>
      </c>
      <c r="H66" s="60">
        <v>89.666666666666671</v>
      </c>
      <c r="I66" s="60">
        <v>97.683333333333323</v>
      </c>
      <c r="J66" s="60">
        <v>102.33333333333333</v>
      </c>
      <c r="K66" s="60">
        <v>95.083333333333329</v>
      </c>
      <c r="L66" s="60">
        <v>97.45</v>
      </c>
      <c r="M66" s="60">
        <v>102.01666666666667</v>
      </c>
      <c r="N66" s="60">
        <v>93.399999999999991</v>
      </c>
      <c r="O66" s="60">
        <v>104.30000000000001</v>
      </c>
      <c r="P66" s="58" t="s">
        <v>166</v>
      </c>
      <c r="Q66" s="60">
        <v>97.75</v>
      </c>
      <c r="R66" s="64" t="s">
        <v>166</v>
      </c>
      <c r="S66" s="64">
        <v>90.09999999999998</v>
      </c>
      <c r="T66" s="64" t="s">
        <v>166</v>
      </c>
      <c r="U66" s="64">
        <v>96.425000000000011</v>
      </c>
      <c r="V66" s="64">
        <v>84.7</v>
      </c>
      <c r="W66" s="64">
        <v>104.7</v>
      </c>
      <c r="X66" s="64" t="s">
        <v>166</v>
      </c>
      <c r="Y66" s="64">
        <v>103.075</v>
      </c>
      <c r="Z66" s="64">
        <v>90.149999999999991</v>
      </c>
      <c r="AA66" s="64" t="s">
        <v>166</v>
      </c>
      <c r="AB66" s="64" t="s">
        <v>166</v>
      </c>
      <c r="AC66" s="64">
        <v>96.125</v>
      </c>
      <c r="AD66" s="64">
        <v>89.683333333333337</v>
      </c>
      <c r="AE66" s="64" t="s">
        <v>166</v>
      </c>
      <c r="AF66" s="64">
        <v>75.966666666666669</v>
      </c>
      <c r="AG66" s="64" t="s">
        <v>166</v>
      </c>
      <c r="AH66" s="64">
        <v>102.51666666666667</v>
      </c>
      <c r="AI66" s="64" t="s">
        <v>166</v>
      </c>
      <c r="AJ66" s="64">
        <v>99.183333333333337</v>
      </c>
      <c r="AK66" s="64" t="s">
        <v>166</v>
      </c>
      <c r="AL66" s="64">
        <v>96.55</v>
      </c>
      <c r="AM66" s="64" t="s">
        <v>166</v>
      </c>
      <c r="AN66" s="64">
        <v>101.90000000000002</v>
      </c>
      <c r="AO66" s="64">
        <v>97.48</v>
      </c>
      <c r="AP66" s="64" t="s">
        <v>166</v>
      </c>
      <c r="AQ66" s="64" t="s">
        <v>166</v>
      </c>
      <c r="AR66" s="64" t="s">
        <v>166</v>
      </c>
      <c r="AS66" s="64" t="s">
        <v>166</v>
      </c>
      <c r="AT66" s="64">
        <v>96.75</v>
      </c>
      <c r="AU66" s="64">
        <v>98.316666666666663</v>
      </c>
      <c r="AV66" s="64" t="s">
        <v>166</v>
      </c>
      <c r="AW66" s="64" t="s">
        <v>166</v>
      </c>
      <c r="AX66" s="64" t="s">
        <v>166</v>
      </c>
      <c r="AY66" s="64">
        <v>103.8</v>
      </c>
      <c r="AZ66" s="64" t="s">
        <v>166</v>
      </c>
      <c r="BA66" s="64" t="s">
        <v>166</v>
      </c>
      <c r="BB66" s="64" t="s">
        <v>166</v>
      </c>
      <c r="BC66" s="64" t="s">
        <v>166</v>
      </c>
      <c r="BD66" s="64">
        <v>96.850000000000009</v>
      </c>
      <c r="BE66" s="64" t="s">
        <v>166</v>
      </c>
      <c r="BF66" s="64" t="s">
        <v>166</v>
      </c>
      <c r="BG66" s="64">
        <v>105.63333333333334</v>
      </c>
      <c r="BH66" s="64">
        <v>92.25</v>
      </c>
      <c r="BI66" s="64">
        <v>91.850000000000009</v>
      </c>
      <c r="BJ66" s="64" t="s">
        <v>166</v>
      </c>
      <c r="BK66" s="64" t="s">
        <v>166</v>
      </c>
      <c r="BL66" s="64">
        <v>92.683333333333337</v>
      </c>
      <c r="BM66" s="64" t="s">
        <v>166</v>
      </c>
      <c r="BN66" s="64">
        <v>91.916666666666671</v>
      </c>
      <c r="BO66" s="64" t="s">
        <v>166</v>
      </c>
      <c r="BP66" s="64" t="s">
        <v>166</v>
      </c>
      <c r="BQ66" s="64" t="s">
        <v>166</v>
      </c>
      <c r="BR66" s="64" t="s">
        <v>166</v>
      </c>
      <c r="BS66" s="64" t="s">
        <v>166</v>
      </c>
      <c r="BT66" s="64" t="s">
        <v>166</v>
      </c>
      <c r="BU66" s="64" t="s">
        <v>166</v>
      </c>
      <c r="BV66" s="64" t="s">
        <v>166</v>
      </c>
      <c r="BW66" s="99"/>
    </row>
    <row r="67" spans="2:75" x14ac:dyDescent="0.25">
      <c r="B67" s="65" t="s">
        <v>172</v>
      </c>
      <c r="C67" s="67">
        <v>41837</v>
      </c>
      <c r="D67" s="161"/>
      <c r="E67" s="60">
        <v>0.999</v>
      </c>
      <c r="F67" s="60">
        <v>0.999</v>
      </c>
      <c r="G67" s="60">
        <v>1</v>
      </c>
      <c r="H67" s="60">
        <v>0.998</v>
      </c>
      <c r="I67" s="60">
        <v>0.999</v>
      </c>
      <c r="J67" s="60">
        <v>1</v>
      </c>
      <c r="K67" s="60">
        <v>0.999</v>
      </c>
      <c r="L67" s="60">
        <v>1</v>
      </c>
      <c r="M67" s="60">
        <v>1</v>
      </c>
      <c r="N67" s="60">
        <v>0.999</v>
      </c>
      <c r="O67" s="60">
        <v>1</v>
      </c>
      <c r="P67" s="58" t="s">
        <v>166</v>
      </c>
      <c r="Q67" s="60">
        <v>0.999</v>
      </c>
      <c r="R67" s="64" t="s">
        <v>166</v>
      </c>
      <c r="S67" s="64">
        <v>0.995</v>
      </c>
      <c r="T67" s="64" t="s">
        <v>166</v>
      </c>
      <c r="U67" s="64">
        <v>0.99099999999999999</v>
      </c>
      <c r="V67" s="64">
        <v>0.98599999999999999</v>
      </c>
      <c r="W67" s="64">
        <v>0.99199999999999999</v>
      </c>
      <c r="X67" s="64" t="s">
        <v>166</v>
      </c>
      <c r="Y67" s="64">
        <v>0.997</v>
      </c>
      <c r="Z67" s="64">
        <v>0.997</v>
      </c>
      <c r="AA67" s="64" t="s">
        <v>166</v>
      </c>
      <c r="AB67" s="64">
        <v>0.99399999999999999</v>
      </c>
      <c r="AC67" s="64">
        <v>1</v>
      </c>
      <c r="AD67" s="64">
        <v>0.995</v>
      </c>
      <c r="AE67" s="64" t="s">
        <v>166</v>
      </c>
      <c r="AF67" s="64">
        <v>0.999</v>
      </c>
      <c r="AG67" s="64" t="s">
        <v>166</v>
      </c>
      <c r="AH67" s="64">
        <v>0.999</v>
      </c>
      <c r="AI67" s="64" t="s">
        <v>166</v>
      </c>
      <c r="AJ67" s="64">
        <v>0.998</v>
      </c>
      <c r="AK67" s="64" t="s">
        <v>166</v>
      </c>
      <c r="AL67" s="64">
        <v>0.999</v>
      </c>
      <c r="AM67" s="64">
        <v>0.997</v>
      </c>
      <c r="AN67" s="64">
        <v>0.998</v>
      </c>
      <c r="AO67" s="64">
        <v>0.99299999999999999</v>
      </c>
      <c r="AP67" s="64" t="s">
        <v>166</v>
      </c>
      <c r="AQ67" s="64" t="s">
        <v>166</v>
      </c>
      <c r="AR67" s="64" t="s">
        <v>166</v>
      </c>
      <c r="AS67" s="64" t="s">
        <v>166</v>
      </c>
      <c r="AT67" s="64">
        <v>0.98899999999999999</v>
      </c>
      <c r="AU67" s="64">
        <v>0.999</v>
      </c>
      <c r="AV67" s="64" t="s">
        <v>166</v>
      </c>
      <c r="AW67" s="64" t="s">
        <v>166</v>
      </c>
      <c r="AX67" s="64" t="s">
        <v>166</v>
      </c>
      <c r="AY67" s="64">
        <v>0.995</v>
      </c>
      <c r="AZ67" s="64" t="s">
        <v>166</v>
      </c>
      <c r="BA67" s="64" t="s">
        <v>166</v>
      </c>
      <c r="BB67" s="64" t="s">
        <v>166</v>
      </c>
      <c r="BC67" s="64" t="s">
        <v>166</v>
      </c>
      <c r="BD67" s="64">
        <v>0.999</v>
      </c>
      <c r="BE67" s="64" t="s">
        <v>166</v>
      </c>
      <c r="BF67" s="64" t="s">
        <v>166</v>
      </c>
      <c r="BG67" s="64">
        <v>0.997</v>
      </c>
      <c r="BH67" s="64">
        <v>0.998</v>
      </c>
      <c r="BI67" s="64">
        <v>0.997</v>
      </c>
      <c r="BJ67" s="64" t="s">
        <v>166</v>
      </c>
      <c r="BK67" s="64" t="s">
        <v>166</v>
      </c>
      <c r="BL67" s="64">
        <v>0.999</v>
      </c>
      <c r="BM67" s="64" t="s">
        <v>166</v>
      </c>
      <c r="BN67" s="64">
        <v>0.996</v>
      </c>
      <c r="BO67" s="64" t="s">
        <v>166</v>
      </c>
      <c r="BP67" s="64" t="s">
        <v>166</v>
      </c>
      <c r="BQ67" s="64" t="s">
        <v>166</v>
      </c>
      <c r="BR67" s="64" t="s">
        <v>166</v>
      </c>
      <c r="BS67" s="64" t="s">
        <v>166</v>
      </c>
      <c r="BT67" s="64" t="s">
        <v>166</v>
      </c>
      <c r="BU67" s="64" t="s">
        <v>166</v>
      </c>
      <c r="BV67" s="64" t="s">
        <v>166</v>
      </c>
      <c r="BW67" s="99"/>
    </row>
    <row r="68" spans="2:75" x14ac:dyDescent="0.25">
      <c r="B68" s="65" t="s">
        <v>173</v>
      </c>
      <c r="C68" s="67">
        <v>41837</v>
      </c>
      <c r="D68" s="161"/>
      <c r="E68" s="60">
        <v>103.1</v>
      </c>
      <c r="F68" s="60">
        <v>104.9</v>
      </c>
      <c r="G68" s="60">
        <v>99.4</v>
      </c>
      <c r="H68" s="60">
        <v>103.2</v>
      </c>
      <c r="I68" s="60">
        <v>103.4</v>
      </c>
      <c r="J68" s="60">
        <v>100.8</v>
      </c>
      <c r="K68" s="60">
        <v>106.3</v>
      </c>
      <c r="L68" s="60">
        <v>99.9</v>
      </c>
      <c r="M68" s="60">
        <v>102.2</v>
      </c>
      <c r="N68" s="60">
        <v>102.7</v>
      </c>
      <c r="O68" s="60">
        <v>103.6</v>
      </c>
      <c r="P68" s="58" t="s">
        <v>166</v>
      </c>
      <c r="Q68" s="60">
        <v>105.6</v>
      </c>
      <c r="R68" s="64" t="s">
        <v>166</v>
      </c>
      <c r="S68" s="64">
        <v>112.6</v>
      </c>
      <c r="T68" s="64" t="s">
        <v>166</v>
      </c>
      <c r="U68" s="64">
        <v>112</v>
      </c>
      <c r="V68" s="64">
        <v>89.8</v>
      </c>
      <c r="W68" s="64">
        <v>98.1</v>
      </c>
      <c r="X68" s="64" t="s">
        <v>166</v>
      </c>
      <c r="Y68" s="64">
        <v>109.9</v>
      </c>
      <c r="Z68" s="64">
        <v>110</v>
      </c>
      <c r="AA68" s="64" t="s">
        <v>166</v>
      </c>
      <c r="AB68" s="64">
        <v>107.2</v>
      </c>
      <c r="AC68" s="64">
        <v>102.4</v>
      </c>
      <c r="AD68" s="64">
        <v>110.4</v>
      </c>
      <c r="AE68" s="64" t="s">
        <v>166</v>
      </c>
      <c r="AF68" s="64">
        <v>105.9</v>
      </c>
      <c r="AG68" s="64" t="s">
        <v>166</v>
      </c>
      <c r="AH68" s="64">
        <v>104.5</v>
      </c>
      <c r="AI68" s="64" t="s">
        <v>166</v>
      </c>
      <c r="AJ68" s="64">
        <v>108</v>
      </c>
      <c r="AK68" s="64" t="s">
        <v>166</v>
      </c>
      <c r="AL68" s="64">
        <v>105.1</v>
      </c>
      <c r="AM68" s="64">
        <v>107.6</v>
      </c>
      <c r="AN68" s="64">
        <v>107.8</v>
      </c>
      <c r="AO68" s="64">
        <v>114.4</v>
      </c>
      <c r="AP68" s="64" t="s">
        <v>166</v>
      </c>
      <c r="AQ68" s="64" t="s">
        <v>166</v>
      </c>
      <c r="AR68" s="64" t="s">
        <v>166</v>
      </c>
      <c r="AS68" s="64" t="s">
        <v>166</v>
      </c>
      <c r="AT68" s="64" t="s">
        <v>166</v>
      </c>
      <c r="AU68" s="64">
        <v>96.3</v>
      </c>
      <c r="AV68" s="64" t="s">
        <v>166</v>
      </c>
      <c r="AW68" s="64" t="s">
        <v>166</v>
      </c>
      <c r="AX68" s="64" t="s">
        <v>166</v>
      </c>
      <c r="AY68" s="64">
        <v>114.4</v>
      </c>
      <c r="AZ68" s="64" t="s">
        <v>166</v>
      </c>
      <c r="BA68" s="64" t="s">
        <v>166</v>
      </c>
      <c r="BB68" s="64" t="s">
        <v>166</v>
      </c>
      <c r="BC68" s="64" t="s">
        <v>166</v>
      </c>
      <c r="BD68" s="64">
        <v>95.9</v>
      </c>
      <c r="BE68" s="64" t="s">
        <v>166</v>
      </c>
      <c r="BF68" s="64" t="s">
        <v>166</v>
      </c>
      <c r="BG68" s="64">
        <v>110.5</v>
      </c>
      <c r="BH68" s="64">
        <v>108.3</v>
      </c>
      <c r="BI68" s="64">
        <v>109.5</v>
      </c>
      <c r="BJ68" s="64" t="s">
        <v>166</v>
      </c>
      <c r="BK68" s="64" t="s">
        <v>166</v>
      </c>
      <c r="BL68" s="64">
        <v>103.8</v>
      </c>
      <c r="BM68" s="64" t="s">
        <v>166</v>
      </c>
      <c r="BN68" s="64">
        <v>112.9</v>
      </c>
      <c r="BO68" s="64" t="s">
        <v>166</v>
      </c>
      <c r="BP68" s="64" t="s">
        <v>166</v>
      </c>
      <c r="BQ68" s="64" t="s">
        <v>166</v>
      </c>
      <c r="BR68" s="64" t="s">
        <v>166</v>
      </c>
      <c r="BS68" s="64" t="s">
        <v>166</v>
      </c>
      <c r="BT68" s="64" t="s">
        <v>166</v>
      </c>
      <c r="BU68" s="64" t="s">
        <v>166</v>
      </c>
      <c r="BV68" s="64" t="s">
        <v>166</v>
      </c>
      <c r="BW68" s="99"/>
    </row>
    <row r="69" spans="2:75" x14ac:dyDescent="0.25">
      <c r="B69" s="65" t="s">
        <v>170</v>
      </c>
      <c r="C69" s="67">
        <v>41837</v>
      </c>
      <c r="D69" s="161"/>
      <c r="E69" s="60" t="s">
        <v>169</v>
      </c>
      <c r="F69" s="60" t="s">
        <v>169</v>
      </c>
      <c r="G69" s="60" t="s">
        <v>169</v>
      </c>
      <c r="H69" s="60" t="s">
        <v>169</v>
      </c>
      <c r="I69" s="60" t="s">
        <v>169</v>
      </c>
      <c r="J69" s="60" t="s">
        <v>169</v>
      </c>
      <c r="K69" s="60" t="s">
        <v>169</v>
      </c>
      <c r="L69" s="60" t="s">
        <v>169</v>
      </c>
      <c r="M69" s="60" t="s">
        <v>169</v>
      </c>
      <c r="N69" s="60" t="s">
        <v>169</v>
      </c>
      <c r="O69" s="60" t="s">
        <v>169</v>
      </c>
      <c r="P69" s="58" t="s">
        <v>166</v>
      </c>
      <c r="Q69" s="60" t="s">
        <v>169</v>
      </c>
      <c r="R69" s="64" t="s">
        <v>166</v>
      </c>
      <c r="S69" s="64" t="s">
        <v>169</v>
      </c>
      <c r="T69" s="64" t="s">
        <v>166</v>
      </c>
      <c r="U69" s="64" t="s">
        <v>169</v>
      </c>
      <c r="V69" s="64" t="s">
        <v>169</v>
      </c>
      <c r="W69" s="64" t="s">
        <v>169</v>
      </c>
      <c r="X69" s="64" t="s">
        <v>166</v>
      </c>
      <c r="Y69" s="64" t="s">
        <v>169</v>
      </c>
      <c r="Z69" s="64" t="s">
        <v>169</v>
      </c>
      <c r="AA69" s="64" t="s">
        <v>169</v>
      </c>
      <c r="AB69" s="64" t="s">
        <v>169</v>
      </c>
      <c r="AC69" s="64" t="s">
        <v>169</v>
      </c>
      <c r="AD69" s="64" t="s">
        <v>169</v>
      </c>
      <c r="AE69" s="64" t="s">
        <v>166</v>
      </c>
      <c r="AF69" s="64" t="s">
        <v>169</v>
      </c>
      <c r="AG69" s="64" t="s">
        <v>166</v>
      </c>
      <c r="AH69" s="64" t="s">
        <v>169</v>
      </c>
      <c r="AI69" s="64" t="s">
        <v>166</v>
      </c>
      <c r="AJ69" s="64" t="s">
        <v>169</v>
      </c>
      <c r="AK69" s="64" t="s">
        <v>166</v>
      </c>
      <c r="AL69" s="64" t="s">
        <v>169</v>
      </c>
      <c r="AM69" s="64" t="s">
        <v>169</v>
      </c>
      <c r="AN69" s="64" t="s">
        <v>169</v>
      </c>
      <c r="AO69" s="64" t="s">
        <v>169</v>
      </c>
      <c r="AP69" s="64" t="s">
        <v>166</v>
      </c>
      <c r="AQ69" s="64" t="s">
        <v>166</v>
      </c>
      <c r="AR69" s="64" t="s">
        <v>166</v>
      </c>
      <c r="AS69" s="64" t="s">
        <v>166</v>
      </c>
      <c r="AT69" s="64" t="s">
        <v>169</v>
      </c>
      <c r="AU69" s="64" t="s">
        <v>169</v>
      </c>
      <c r="AV69" s="64" t="s">
        <v>166</v>
      </c>
      <c r="AW69" s="64" t="s">
        <v>166</v>
      </c>
      <c r="AX69" s="64" t="s">
        <v>166</v>
      </c>
      <c r="AY69" s="64" t="s">
        <v>169</v>
      </c>
      <c r="AZ69" s="64" t="s">
        <v>166</v>
      </c>
      <c r="BA69" s="64" t="s">
        <v>166</v>
      </c>
      <c r="BB69" s="64" t="s">
        <v>166</v>
      </c>
      <c r="BC69" s="64" t="s">
        <v>166</v>
      </c>
      <c r="BD69" s="64" t="s">
        <v>169</v>
      </c>
      <c r="BE69" s="64" t="s">
        <v>166</v>
      </c>
      <c r="BF69" s="64" t="s">
        <v>166</v>
      </c>
      <c r="BG69" s="64" t="s">
        <v>169</v>
      </c>
      <c r="BH69" s="64" t="s">
        <v>169</v>
      </c>
      <c r="BI69" s="64" t="s">
        <v>169</v>
      </c>
      <c r="BJ69" s="64" t="s">
        <v>166</v>
      </c>
      <c r="BK69" s="64" t="s">
        <v>166</v>
      </c>
      <c r="BL69" s="64" t="s">
        <v>169</v>
      </c>
      <c r="BM69" s="64" t="s">
        <v>166</v>
      </c>
      <c r="BN69" s="64" t="s">
        <v>169</v>
      </c>
      <c r="BO69" s="64" t="s">
        <v>166</v>
      </c>
      <c r="BP69" s="64" t="s">
        <v>169</v>
      </c>
      <c r="BQ69" s="64" t="s">
        <v>169</v>
      </c>
      <c r="BR69" s="64" t="s">
        <v>169</v>
      </c>
      <c r="BS69" s="64" t="s">
        <v>169</v>
      </c>
      <c r="BT69" s="64" t="s">
        <v>169</v>
      </c>
      <c r="BU69" s="64" t="s">
        <v>169</v>
      </c>
      <c r="BV69" s="64" t="s">
        <v>169</v>
      </c>
      <c r="BW69" s="99"/>
    </row>
    <row r="70" spans="2:75" x14ac:dyDescent="0.25">
      <c r="B70" s="71" t="s">
        <v>201</v>
      </c>
      <c r="C70" s="72">
        <v>41837</v>
      </c>
      <c r="D70" s="161"/>
      <c r="E70" s="68" t="s">
        <v>175</v>
      </c>
      <c r="F70" s="68" t="s">
        <v>175</v>
      </c>
      <c r="G70" s="68">
        <v>2.1352588832514092</v>
      </c>
      <c r="H70" s="68">
        <v>8.5736553563316544</v>
      </c>
      <c r="I70" s="68">
        <v>8.010354064665961</v>
      </c>
      <c r="J70" s="68">
        <v>54.039962165640702</v>
      </c>
      <c r="K70" s="68" t="s">
        <v>175</v>
      </c>
      <c r="L70" s="68" t="s">
        <v>175</v>
      </c>
      <c r="M70" s="68" t="s">
        <v>175</v>
      </c>
      <c r="N70" s="68" t="s">
        <v>175</v>
      </c>
      <c r="O70" s="68" t="s">
        <v>175</v>
      </c>
      <c r="P70" s="68" t="s">
        <v>175</v>
      </c>
      <c r="Q70" s="68" t="s">
        <v>175</v>
      </c>
      <c r="R70" s="68" t="s">
        <v>175</v>
      </c>
      <c r="S70" s="68" t="s">
        <v>175</v>
      </c>
      <c r="T70" s="68" t="s">
        <v>175</v>
      </c>
      <c r="U70" s="68" t="s">
        <v>175</v>
      </c>
      <c r="V70" s="68" t="s">
        <v>175</v>
      </c>
      <c r="W70" s="68" t="s">
        <v>175</v>
      </c>
      <c r="X70" s="68" t="s">
        <v>175</v>
      </c>
      <c r="Y70" s="68" t="s">
        <v>175</v>
      </c>
      <c r="Z70" s="68" t="s">
        <v>175</v>
      </c>
      <c r="AA70" s="68" t="s">
        <v>175</v>
      </c>
      <c r="AB70" s="68" t="s">
        <v>175</v>
      </c>
      <c r="AC70" s="68">
        <v>2.2393975719700863</v>
      </c>
      <c r="AD70" s="68" t="s">
        <v>175</v>
      </c>
      <c r="AE70" s="68" t="s">
        <v>175</v>
      </c>
      <c r="AF70" s="68" t="s">
        <v>175</v>
      </c>
      <c r="AG70" s="68" t="s">
        <v>175</v>
      </c>
      <c r="AH70" s="68">
        <v>4.8860470215319687</v>
      </c>
      <c r="AI70" s="68" t="s">
        <v>175</v>
      </c>
      <c r="AJ70" s="68">
        <v>20.03990071196953</v>
      </c>
      <c r="AK70" s="68" t="s">
        <v>175</v>
      </c>
      <c r="AL70" s="68" t="s">
        <v>175</v>
      </c>
      <c r="AM70" s="68" t="s">
        <v>175</v>
      </c>
      <c r="AN70" s="68">
        <v>20.992061340249588</v>
      </c>
      <c r="AO70" s="68" t="s">
        <v>175</v>
      </c>
      <c r="AP70" s="68" t="s">
        <v>175</v>
      </c>
      <c r="AQ70" s="68" t="s">
        <v>175</v>
      </c>
      <c r="AR70" s="68" t="s">
        <v>175</v>
      </c>
      <c r="AS70" s="68" t="s">
        <v>175</v>
      </c>
      <c r="AT70" s="68" t="s">
        <v>175</v>
      </c>
      <c r="AU70" s="68">
        <v>37.628964099116864</v>
      </c>
      <c r="AV70" s="68" t="s">
        <v>175</v>
      </c>
      <c r="AW70" s="68" t="s">
        <v>175</v>
      </c>
      <c r="AX70" s="68" t="s">
        <v>175</v>
      </c>
      <c r="AY70" s="68" t="s">
        <v>175</v>
      </c>
      <c r="AZ70" s="68" t="s">
        <v>175</v>
      </c>
      <c r="BA70" s="68" t="s">
        <v>175</v>
      </c>
      <c r="BB70" s="68" t="s">
        <v>175</v>
      </c>
      <c r="BC70" s="68" t="s">
        <v>175</v>
      </c>
      <c r="BD70" s="68">
        <v>23.738657547758908</v>
      </c>
      <c r="BE70" s="68" t="s">
        <v>175</v>
      </c>
      <c r="BF70" s="68" t="s">
        <v>175</v>
      </c>
      <c r="BG70" s="68" t="s">
        <v>175</v>
      </c>
      <c r="BH70" s="68" t="s">
        <v>175</v>
      </c>
      <c r="BI70" s="68" t="s">
        <v>175</v>
      </c>
      <c r="BJ70" s="68" t="s">
        <v>175</v>
      </c>
      <c r="BK70" s="68" t="s">
        <v>175</v>
      </c>
      <c r="BL70" s="68" t="s">
        <v>175</v>
      </c>
      <c r="BM70" s="68">
        <v>40.862069054519743</v>
      </c>
      <c r="BN70" s="68">
        <v>38.865402381479171</v>
      </c>
      <c r="BO70" s="68">
        <v>60.796081702268317</v>
      </c>
      <c r="BP70" s="68">
        <v>77.061936632306342</v>
      </c>
      <c r="BQ70" s="68" t="s">
        <v>175</v>
      </c>
      <c r="BR70" s="68" t="s">
        <v>175</v>
      </c>
      <c r="BS70" s="68" t="s">
        <v>175</v>
      </c>
      <c r="BT70" s="68" t="s">
        <v>175</v>
      </c>
      <c r="BU70" s="68" t="s">
        <v>175</v>
      </c>
      <c r="BV70" s="68">
        <v>39.160051266136051</v>
      </c>
    </row>
    <row r="71" spans="2:75" x14ac:dyDescent="0.25">
      <c r="B71"/>
      <c r="C71"/>
      <c r="D71" s="162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</row>
    <row r="72" spans="2:75" x14ac:dyDescent="0.25">
      <c r="B72" s="57" t="s">
        <v>163</v>
      </c>
      <c r="C72" s="67">
        <v>41871</v>
      </c>
      <c r="D72" s="161"/>
      <c r="E72" s="57" t="s">
        <v>157</v>
      </c>
      <c r="F72" s="57" t="s">
        <v>157</v>
      </c>
      <c r="G72" s="57" t="s">
        <v>157</v>
      </c>
      <c r="H72" s="57" t="s">
        <v>157</v>
      </c>
      <c r="I72" s="57" t="s">
        <v>157</v>
      </c>
      <c r="J72" s="57" t="s">
        <v>157</v>
      </c>
      <c r="K72" s="57" t="s">
        <v>157</v>
      </c>
      <c r="L72" s="57" t="s">
        <v>157</v>
      </c>
      <c r="M72" s="57" t="s">
        <v>157</v>
      </c>
      <c r="N72" s="57" t="s">
        <v>157</v>
      </c>
      <c r="O72" s="57" t="s">
        <v>157</v>
      </c>
      <c r="P72" s="57" t="s">
        <v>157</v>
      </c>
      <c r="Q72" s="57" t="s">
        <v>157</v>
      </c>
      <c r="R72" s="60" t="s">
        <v>157</v>
      </c>
      <c r="S72" s="60" t="s">
        <v>157</v>
      </c>
      <c r="T72" s="60" t="s">
        <v>157</v>
      </c>
      <c r="U72" s="60" t="s">
        <v>157</v>
      </c>
      <c r="V72" s="60" t="s">
        <v>157</v>
      </c>
      <c r="W72" s="60" t="s">
        <v>157</v>
      </c>
      <c r="X72" s="60" t="s">
        <v>157</v>
      </c>
      <c r="Y72" s="60" t="s">
        <v>157</v>
      </c>
      <c r="Z72" s="60" t="s">
        <v>157</v>
      </c>
      <c r="AA72" s="60" t="s">
        <v>157</v>
      </c>
      <c r="AB72" s="60" t="s">
        <v>157</v>
      </c>
      <c r="AC72" s="60" t="s">
        <v>157</v>
      </c>
      <c r="AD72" s="60" t="s">
        <v>157</v>
      </c>
      <c r="AE72" s="60" t="s">
        <v>157</v>
      </c>
      <c r="AF72" s="60" t="s">
        <v>157</v>
      </c>
      <c r="AG72" s="60" t="s">
        <v>157</v>
      </c>
      <c r="AH72" s="60" t="s">
        <v>157</v>
      </c>
      <c r="AI72" s="60" t="s">
        <v>157</v>
      </c>
      <c r="AJ72" s="60" t="s">
        <v>157</v>
      </c>
      <c r="AK72" s="60" t="s">
        <v>157</v>
      </c>
      <c r="AL72" s="60" t="s">
        <v>157</v>
      </c>
      <c r="AM72" s="60" t="s">
        <v>157</v>
      </c>
      <c r="AN72" s="60" t="s">
        <v>157</v>
      </c>
      <c r="AO72" s="60" t="s">
        <v>157</v>
      </c>
      <c r="AP72" s="60" t="s">
        <v>157</v>
      </c>
      <c r="AQ72" s="60" t="s">
        <v>157</v>
      </c>
      <c r="AR72" s="60" t="s">
        <v>157</v>
      </c>
      <c r="AS72" s="60" t="s">
        <v>157</v>
      </c>
      <c r="AT72" s="60" t="s">
        <v>157</v>
      </c>
      <c r="AU72" s="60" t="s">
        <v>157</v>
      </c>
      <c r="AV72" s="60" t="s">
        <v>157</v>
      </c>
      <c r="AW72" s="60" t="s">
        <v>157</v>
      </c>
      <c r="AX72" s="60" t="s">
        <v>157</v>
      </c>
      <c r="AY72" s="60" t="s">
        <v>157</v>
      </c>
      <c r="AZ72" s="60" t="s">
        <v>157</v>
      </c>
      <c r="BA72" s="60" t="s">
        <v>157</v>
      </c>
      <c r="BB72" s="60" t="s">
        <v>157</v>
      </c>
      <c r="BC72" s="60" t="s">
        <v>157</v>
      </c>
      <c r="BD72" s="60" t="s">
        <v>157</v>
      </c>
      <c r="BE72" s="60" t="s">
        <v>157</v>
      </c>
      <c r="BF72" s="60" t="s">
        <v>157</v>
      </c>
      <c r="BG72" s="60" t="s">
        <v>157</v>
      </c>
      <c r="BH72" s="60" t="s">
        <v>157</v>
      </c>
      <c r="BI72" s="60" t="s">
        <v>157</v>
      </c>
      <c r="BJ72" s="60" t="s">
        <v>157</v>
      </c>
      <c r="BK72" s="60" t="s">
        <v>157</v>
      </c>
      <c r="BL72" s="60" t="s">
        <v>157</v>
      </c>
      <c r="BM72" s="60" t="s">
        <v>157</v>
      </c>
      <c r="BN72" s="60" t="s">
        <v>157</v>
      </c>
      <c r="BO72" s="60" t="s">
        <v>157</v>
      </c>
      <c r="BP72" s="60" t="s">
        <v>157</v>
      </c>
      <c r="BQ72" s="60" t="s">
        <v>157</v>
      </c>
      <c r="BR72" s="60" t="s">
        <v>157</v>
      </c>
      <c r="BS72" s="60" t="s">
        <v>157</v>
      </c>
      <c r="BT72" s="60" t="s">
        <v>157</v>
      </c>
      <c r="BU72" s="60" t="s">
        <v>157</v>
      </c>
      <c r="BV72" s="60" t="s">
        <v>157</v>
      </c>
      <c r="BW72" s="99"/>
    </row>
    <row r="73" spans="2:75" x14ac:dyDescent="0.25">
      <c r="B73" s="66" t="s">
        <v>164</v>
      </c>
      <c r="C73" s="67">
        <v>41871</v>
      </c>
      <c r="D73" s="161"/>
      <c r="E73" s="66" t="s">
        <v>157</v>
      </c>
      <c r="F73" s="66" t="s">
        <v>157</v>
      </c>
      <c r="G73" s="66" t="s">
        <v>157</v>
      </c>
      <c r="H73" s="66" t="s">
        <v>157</v>
      </c>
      <c r="I73" s="66" t="s">
        <v>157</v>
      </c>
      <c r="J73" s="66" t="s">
        <v>157</v>
      </c>
      <c r="K73" s="66" t="s">
        <v>157</v>
      </c>
      <c r="L73" s="66" t="s">
        <v>157</v>
      </c>
      <c r="M73" s="66" t="s">
        <v>157</v>
      </c>
      <c r="N73" s="66" t="s">
        <v>157</v>
      </c>
      <c r="O73" s="66" t="s">
        <v>157</v>
      </c>
      <c r="P73" s="66" t="s">
        <v>157</v>
      </c>
      <c r="Q73" s="66" t="s">
        <v>157</v>
      </c>
      <c r="R73" s="60" t="s">
        <v>157</v>
      </c>
      <c r="S73" s="60" t="s">
        <v>157</v>
      </c>
      <c r="T73" s="60" t="s">
        <v>157</v>
      </c>
      <c r="U73" s="60" t="s">
        <v>157</v>
      </c>
      <c r="V73" s="60" t="s">
        <v>157</v>
      </c>
      <c r="W73" s="60" t="s">
        <v>157</v>
      </c>
      <c r="X73" s="60" t="s">
        <v>157</v>
      </c>
      <c r="Y73" s="60" t="s">
        <v>157</v>
      </c>
      <c r="Z73" s="60" t="s">
        <v>157</v>
      </c>
      <c r="AA73" s="60" t="s">
        <v>157</v>
      </c>
      <c r="AB73" s="60" t="s">
        <v>157</v>
      </c>
      <c r="AC73" s="60" t="s">
        <v>157</v>
      </c>
      <c r="AD73" s="60" t="s">
        <v>157</v>
      </c>
      <c r="AE73" s="60" t="s">
        <v>157</v>
      </c>
      <c r="AF73" s="60" t="s">
        <v>157</v>
      </c>
      <c r="AG73" s="60" t="s">
        <v>157</v>
      </c>
      <c r="AH73" s="60" t="s">
        <v>157</v>
      </c>
      <c r="AI73" s="60" t="s">
        <v>157</v>
      </c>
      <c r="AJ73" s="60" t="s">
        <v>157</v>
      </c>
      <c r="AK73" s="60" t="s">
        <v>157</v>
      </c>
      <c r="AL73" s="60" t="s">
        <v>157</v>
      </c>
      <c r="AM73" s="60" t="s">
        <v>157</v>
      </c>
      <c r="AN73" s="60" t="s">
        <v>157</v>
      </c>
      <c r="AO73" s="60" t="s">
        <v>157</v>
      </c>
      <c r="AP73" s="60" t="s">
        <v>157</v>
      </c>
      <c r="AQ73" s="60" t="s">
        <v>157</v>
      </c>
      <c r="AR73" s="60" t="s">
        <v>157</v>
      </c>
      <c r="AS73" s="60" t="s">
        <v>157</v>
      </c>
      <c r="AT73" s="60" t="s">
        <v>157</v>
      </c>
      <c r="AU73" s="60" t="s">
        <v>157</v>
      </c>
      <c r="AV73" s="60" t="s">
        <v>157</v>
      </c>
      <c r="AW73" s="60" t="s">
        <v>157</v>
      </c>
      <c r="AX73" s="60" t="s">
        <v>157</v>
      </c>
      <c r="AY73" s="60" t="s">
        <v>157</v>
      </c>
      <c r="AZ73" s="60" t="s">
        <v>157</v>
      </c>
      <c r="BA73" s="60" t="s">
        <v>157</v>
      </c>
      <c r="BB73" s="60" t="s">
        <v>157</v>
      </c>
      <c r="BC73" s="60" t="s">
        <v>157</v>
      </c>
      <c r="BD73" s="60" t="s">
        <v>157</v>
      </c>
      <c r="BE73" s="60" t="s">
        <v>157</v>
      </c>
      <c r="BF73" s="60" t="s">
        <v>157</v>
      </c>
      <c r="BG73" s="60" t="s">
        <v>157</v>
      </c>
      <c r="BH73" s="60" t="s">
        <v>157</v>
      </c>
      <c r="BI73" s="60" t="s">
        <v>157</v>
      </c>
      <c r="BJ73" s="60" t="s">
        <v>157</v>
      </c>
      <c r="BK73" s="60" t="s">
        <v>157</v>
      </c>
      <c r="BL73" s="60" t="s">
        <v>157</v>
      </c>
      <c r="BM73" s="60" t="s">
        <v>157</v>
      </c>
      <c r="BN73" s="60" t="s">
        <v>157</v>
      </c>
      <c r="BO73" s="60" t="s">
        <v>157</v>
      </c>
      <c r="BP73" s="60" t="s">
        <v>157</v>
      </c>
      <c r="BQ73" s="60" t="s">
        <v>157</v>
      </c>
      <c r="BR73" s="60" t="s">
        <v>157</v>
      </c>
      <c r="BS73" s="60" t="s">
        <v>157</v>
      </c>
      <c r="BT73" s="60" t="s">
        <v>157</v>
      </c>
      <c r="BU73" s="60" t="s">
        <v>157</v>
      </c>
      <c r="BV73" s="60" t="s">
        <v>157</v>
      </c>
      <c r="BW73" s="99"/>
    </row>
    <row r="74" spans="2:75" x14ac:dyDescent="0.25">
      <c r="B74" s="66" t="s">
        <v>165</v>
      </c>
      <c r="C74" s="67">
        <v>41871</v>
      </c>
      <c r="D74" s="161"/>
      <c r="E74" s="66">
        <v>90.733333333333334</v>
      </c>
      <c r="F74" s="66">
        <v>89.65000000000002</v>
      </c>
      <c r="G74" s="66">
        <v>94.983333333333334</v>
      </c>
      <c r="H74" s="66">
        <v>94.183333333333337</v>
      </c>
      <c r="I74" s="66">
        <v>90.966666666666654</v>
      </c>
      <c r="J74" s="66">
        <v>92.84999999999998</v>
      </c>
      <c r="K74" s="66">
        <v>90.383333333333326</v>
      </c>
      <c r="L74" s="66">
        <v>92.033333333333346</v>
      </c>
      <c r="M74" s="66">
        <v>91.899999999999991</v>
      </c>
      <c r="N74" s="66">
        <v>86.166666666666671</v>
      </c>
      <c r="O74" s="66">
        <v>92.45</v>
      </c>
      <c r="P74" s="66" t="s">
        <v>166</v>
      </c>
      <c r="Q74" s="66">
        <v>90.483333333333334</v>
      </c>
      <c r="R74" s="58" t="s">
        <v>166</v>
      </c>
      <c r="S74" s="60">
        <v>93.199999999999989</v>
      </c>
      <c r="T74" s="58" t="s">
        <v>166</v>
      </c>
      <c r="U74" s="60">
        <v>101.05000000000001</v>
      </c>
      <c r="V74" s="60">
        <v>105.85000000000001</v>
      </c>
      <c r="W74" s="60">
        <v>104.45</v>
      </c>
      <c r="X74" s="58" t="s">
        <v>166</v>
      </c>
      <c r="Y74" s="60">
        <v>86.033333333333317</v>
      </c>
      <c r="Z74" s="60" t="s">
        <v>171</v>
      </c>
      <c r="AA74" s="58" t="s">
        <v>166</v>
      </c>
      <c r="AB74" s="58" t="s">
        <v>166</v>
      </c>
      <c r="AC74" s="60" t="s">
        <v>171</v>
      </c>
      <c r="AD74" s="60">
        <v>81.066666666666677</v>
      </c>
      <c r="AE74" s="58" t="s">
        <v>166</v>
      </c>
      <c r="AF74" s="60">
        <v>86.933333333333337</v>
      </c>
      <c r="AG74" s="58" t="s">
        <v>166</v>
      </c>
      <c r="AH74" s="60">
        <v>81.350000000000009</v>
      </c>
      <c r="AI74" s="58" t="s">
        <v>166</v>
      </c>
      <c r="AJ74" s="60">
        <v>80.75</v>
      </c>
      <c r="AK74" s="58" t="s">
        <v>166</v>
      </c>
      <c r="AL74" s="60">
        <v>83.350000000000009</v>
      </c>
      <c r="AM74" s="60">
        <v>93.583333333333329</v>
      </c>
      <c r="AN74" s="60">
        <v>101.81666666666666</v>
      </c>
      <c r="AO74" s="60" t="s">
        <v>171</v>
      </c>
      <c r="AP74" s="58" t="s">
        <v>166</v>
      </c>
      <c r="AQ74" s="58" t="s">
        <v>166</v>
      </c>
      <c r="AR74" s="58" t="s">
        <v>166</v>
      </c>
      <c r="AS74" s="58" t="s">
        <v>166</v>
      </c>
      <c r="AT74" s="60">
        <v>69.45</v>
      </c>
      <c r="AU74" s="60">
        <v>92.8</v>
      </c>
      <c r="AV74" s="58" t="s">
        <v>166</v>
      </c>
      <c r="AW74" s="58" t="s">
        <v>166</v>
      </c>
      <c r="AX74" s="58" t="s">
        <v>166</v>
      </c>
      <c r="AY74" s="60">
        <v>89.850000000000009</v>
      </c>
      <c r="AZ74" s="58" t="s">
        <v>166</v>
      </c>
      <c r="BA74" s="58" t="s">
        <v>166</v>
      </c>
      <c r="BB74" s="58" t="s">
        <v>166</v>
      </c>
      <c r="BC74" s="58" t="s">
        <v>166</v>
      </c>
      <c r="BD74" s="60">
        <v>89.316666666666663</v>
      </c>
      <c r="BE74" s="58" t="s">
        <v>166</v>
      </c>
      <c r="BF74" s="58" t="s">
        <v>166</v>
      </c>
      <c r="BG74" s="60">
        <v>98.333333333333329</v>
      </c>
      <c r="BH74" s="60">
        <v>96.850000000000009</v>
      </c>
      <c r="BI74" s="60">
        <v>99.433333333333337</v>
      </c>
      <c r="BJ74" s="58" t="s">
        <v>166</v>
      </c>
      <c r="BK74" s="58" t="s">
        <v>166</v>
      </c>
      <c r="BL74" s="60">
        <v>89.966666666666654</v>
      </c>
      <c r="BM74" s="58" t="s">
        <v>166</v>
      </c>
      <c r="BN74" s="60">
        <v>122.36666666666666</v>
      </c>
      <c r="BO74" s="58" t="s">
        <v>166</v>
      </c>
      <c r="BP74" s="58" t="s">
        <v>166</v>
      </c>
      <c r="BQ74" s="58" t="s">
        <v>166</v>
      </c>
      <c r="BR74" s="58" t="s">
        <v>166</v>
      </c>
      <c r="BS74" s="58" t="s">
        <v>166</v>
      </c>
      <c r="BT74" s="58" t="s">
        <v>166</v>
      </c>
      <c r="BU74" s="58" t="s">
        <v>166</v>
      </c>
      <c r="BV74" s="58" t="s">
        <v>166</v>
      </c>
      <c r="BW74" s="99"/>
    </row>
    <row r="75" spans="2:75" x14ac:dyDescent="0.25">
      <c r="B75" s="66" t="s">
        <v>172</v>
      </c>
      <c r="C75" s="67">
        <v>41871</v>
      </c>
      <c r="D75" s="161"/>
      <c r="E75" s="66">
        <v>0.998</v>
      </c>
      <c r="F75" s="66">
        <v>0.997</v>
      </c>
      <c r="G75" s="66">
        <v>0.998</v>
      </c>
      <c r="H75" s="66">
        <v>0.997</v>
      </c>
      <c r="I75" s="66">
        <v>0.99399999999999999</v>
      </c>
      <c r="J75" s="66">
        <v>0.998</v>
      </c>
      <c r="K75" s="66">
        <v>0.998</v>
      </c>
      <c r="L75" s="66">
        <v>0.997</v>
      </c>
      <c r="M75" s="66">
        <v>0.998</v>
      </c>
      <c r="N75" s="66">
        <v>0.997</v>
      </c>
      <c r="O75" s="66">
        <v>0.99299999999999999</v>
      </c>
      <c r="P75" s="66" t="s">
        <v>166</v>
      </c>
      <c r="Q75" s="66">
        <v>0.99299999999999999</v>
      </c>
      <c r="R75" s="58" t="s">
        <v>166</v>
      </c>
      <c r="S75" s="60">
        <v>0.995</v>
      </c>
      <c r="T75" s="58" t="s">
        <v>166</v>
      </c>
      <c r="U75" s="60">
        <v>0.99199999999999999</v>
      </c>
      <c r="V75" s="60">
        <v>0.998</v>
      </c>
      <c r="W75" s="60">
        <v>0.998</v>
      </c>
      <c r="X75" s="58" t="s">
        <v>166</v>
      </c>
      <c r="Y75" s="60">
        <v>0.998</v>
      </c>
      <c r="Z75" s="60">
        <v>0.99299999999999999</v>
      </c>
      <c r="AA75" s="58" t="s">
        <v>166</v>
      </c>
      <c r="AB75" s="60">
        <v>0.98099999999999998</v>
      </c>
      <c r="AC75" s="60">
        <v>0.998</v>
      </c>
      <c r="AD75" s="60">
        <v>0.97399999999999998</v>
      </c>
      <c r="AE75" s="58" t="s">
        <v>166</v>
      </c>
      <c r="AF75" s="60">
        <v>0.99299999999999999</v>
      </c>
      <c r="AG75" s="58" t="s">
        <v>166</v>
      </c>
      <c r="AH75" s="60">
        <v>0.998</v>
      </c>
      <c r="AI75" s="58" t="s">
        <v>166</v>
      </c>
      <c r="AJ75" s="60">
        <v>0.998</v>
      </c>
      <c r="AK75" s="58" t="s">
        <v>166</v>
      </c>
      <c r="AL75" s="60">
        <v>0.998</v>
      </c>
      <c r="AM75" s="60">
        <v>0.99199999999999999</v>
      </c>
      <c r="AN75" s="60">
        <v>0.995</v>
      </c>
      <c r="AO75" s="60">
        <v>0.98299999999999998</v>
      </c>
      <c r="AP75" s="58" t="s">
        <v>166</v>
      </c>
      <c r="AQ75" s="58" t="s">
        <v>166</v>
      </c>
      <c r="AR75" s="58" t="s">
        <v>166</v>
      </c>
      <c r="AS75" s="58" t="s">
        <v>166</v>
      </c>
      <c r="AT75" s="60">
        <v>0.995</v>
      </c>
      <c r="AU75" s="60">
        <v>0.98</v>
      </c>
      <c r="AV75" s="58" t="s">
        <v>166</v>
      </c>
      <c r="AW75" s="58" t="s">
        <v>166</v>
      </c>
      <c r="AX75" s="58" t="s">
        <v>166</v>
      </c>
      <c r="AY75" s="60">
        <v>0.999</v>
      </c>
      <c r="AZ75" s="58" t="s">
        <v>166</v>
      </c>
      <c r="BA75" s="58" t="s">
        <v>166</v>
      </c>
      <c r="BB75" s="58" t="s">
        <v>166</v>
      </c>
      <c r="BC75" s="58" t="s">
        <v>166</v>
      </c>
      <c r="BD75" s="60">
        <v>0.998</v>
      </c>
      <c r="BE75" s="58" t="s">
        <v>166</v>
      </c>
      <c r="BF75" s="58" t="s">
        <v>166</v>
      </c>
      <c r="BG75" s="60">
        <v>0.99099999999999999</v>
      </c>
      <c r="BH75" s="60">
        <v>0.99199999999999999</v>
      </c>
      <c r="BI75" s="60">
        <v>0.99</v>
      </c>
      <c r="BJ75" s="58" t="s">
        <v>166</v>
      </c>
      <c r="BK75" s="58" t="s">
        <v>166</v>
      </c>
      <c r="BL75" s="60">
        <v>0.996</v>
      </c>
      <c r="BM75" s="58" t="s">
        <v>166</v>
      </c>
      <c r="BN75" s="60">
        <v>0.98599999999999999</v>
      </c>
      <c r="BO75" s="58" t="s">
        <v>166</v>
      </c>
      <c r="BP75" s="58" t="s">
        <v>166</v>
      </c>
      <c r="BQ75" s="58" t="s">
        <v>166</v>
      </c>
      <c r="BR75" s="58" t="s">
        <v>166</v>
      </c>
      <c r="BS75" s="58" t="s">
        <v>166</v>
      </c>
      <c r="BT75" s="58" t="s">
        <v>166</v>
      </c>
      <c r="BU75" s="58" t="s">
        <v>166</v>
      </c>
      <c r="BV75" s="58" t="s">
        <v>166</v>
      </c>
      <c r="BW75" s="99"/>
    </row>
    <row r="76" spans="2:75" x14ac:dyDescent="0.25">
      <c r="B76" s="66" t="s">
        <v>173</v>
      </c>
      <c r="C76" s="67">
        <v>41871</v>
      </c>
      <c r="D76" s="161"/>
      <c r="E76" s="66">
        <v>86.8</v>
      </c>
      <c r="F76" s="66">
        <v>92.5</v>
      </c>
      <c r="G76" s="66">
        <v>91</v>
      </c>
      <c r="H76" s="66">
        <v>88.7</v>
      </c>
      <c r="I76" s="66">
        <v>86.7</v>
      </c>
      <c r="J76" s="66">
        <v>93.8</v>
      </c>
      <c r="K76" s="66">
        <v>86.8</v>
      </c>
      <c r="L76" s="66">
        <v>89.4</v>
      </c>
      <c r="M76" s="66">
        <v>87</v>
      </c>
      <c r="N76" s="66">
        <v>85.9</v>
      </c>
      <c r="O76" s="66">
        <v>95.1</v>
      </c>
      <c r="P76" s="66" t="s">
        <v>166</v>
      </c>
      <c r="Q76" s="66">
        <v>93.1</v>
      </c>
      <c r="R76" s="58" t="s">
        <v>166</v>
      </c>
      <c r="S76" s="60">
        <v>98</v>
      </c>
      <c r="T76" s="58" t="s">
        <v>166</v>
      </c>
      <c r="U76" s="60">
        <v>118.3</v>
      </c>
      <c r="V76" s="60">
        <v>104.3</v>
      </c>
      <c r="W76" s="60">
        <v>82.2</v>
      </c>
      <c r="X76" s="58" t="s">
        <v>166</v>
      </c>
      <c r="Y76" s="60">
        <v>85.8</v>
      </c>
      <c r="Z76" s="60">
        <v>88.1</v>
      </c>
      <c r="AA76" s="58" t="s">
        <v>166</v>
      </c>
      <c r="AB76" s="60">
        <v>114.6</v>
      </c>
      <c r="AC76" s="60">
        <v>91.3</v>
      </c>
      <c r="AD76" s="60">
        <v>80.7</v>
      </c>
      <c r="AE76" s="58" t="s">
        <v>166</v>
      </c>
      <c r="AF76" s="60">
        <v>89.3</v>
      </c>
      <c r="AG76" s="58" t="s">
        <v>166</v>
      </c>
      <c r="AH76" s="60">
        <v>85.8</v>
      </c>
      <c r="AI76" s="58" t="s">
        <v>166</v>
      </c>
      <c r="AJ76" s="60">
        <v>86.4</v>
      </c>
      <c r="AK76" s="58" t="s">
        <v>166</v>
      </c>
      <c r="AL76" s="60">
        <v>83.3</v>
      </c>
      <c r="AM76" s="60">
        <v>90.7</v>
      </c>
      <c r="AN76" s="60">
        <v>104.2</v>
      </c>
      <c r="AO76" s="60">
        <v>87.5</v>
      </c>
      <c r="AP76" s="58" t="s">
        <v>166</v>
      </c>
      <c r="AQ76" s="58" t="s">
        <v>166</v>
      </c>
      <c r="AR76" s="58" t="s">
        <v>166</v>
      </c>
      <c r="AS76" s="58" t="s">
        <v>166</v>
      </c>
      <c r="AT76" s="60">
        <v>109.3</v>
      </c>
      <c r="AU76" s="60">
        <v>88.1</v>
      </c>
      <c r="AV76" s="58" t="s">
        <v>166</v>
      </c>
      <c r="AW76" s="58" t="s">
        <v>166</v>
      </c>
      <c r="AX76" s="58" t="s">
        <v>166</v>
      </c>
      <c r="AY76" s="60">
        <v>87.1</v>
      </c>
      <c r="AZ76" s="58" t="s">
        <v>166</v>
      </c>
      <c r="BA76" s="58" t="s">
        <v>166</v>
      </c>
      <c r="BB76" s="58" t="s">
        <v>166</v>
      </c>
      <c r="BC76" s="58" t="s">
        <v>166</v>
      </c>
      <c r="BD76" s="60">
        <v>83.7</v>
      </c>
      <c r="BE76" s="58" t="s">
        <v>166</v>
      </c>
      <c r="BF76" s="58" t="s">
        <v>166</v>
      </c>
      <c r="BG76" s="60">
        <v>83.4</v>
      </c>
      <c r="BH76" s="60">
        <v>82.3</v>
      </c>
      <c r="BI76" s="60">
        <v>83.9</v>
      </c>
      <c r="BJ76" s="58" t="s">
        <v>166</v>
      </c>
      <c r="BK76" s="58" t="s">
        <v>166</v>
      </c>
      <c r="BL76" s="60">
        <v>89.5</v>
      </c>
      <c r="BM76" s="58" t="s">
        <v>166</v>
      </c>
      <c r="BN76" s="60">
        <v>98.6</v>
      </c>
      <c r="BO76" s="58" t="s">
        <v>166</v>
      </c>
      <c r="BP76" s="58" t="s">
        <v>166</v>
      </c>
      <c r="BQ76" s="58" t="s">
        <v>166</v>
      </c>
      <c r="BR76" s="58" t="s">
        <v>166</v>
      </c>
      <c r="BS76" s="58" t="s">
        <v>166</v>
      </c>
      <c r="BT76" s="58" t="s">
        <v>166</v>
      </c>
      <c r="BU76" s="58" t="s">
        <v>166</v>
      </c>
      <c r="BV76" s="58" t="s">
        <v>166</v>
      </c>
      <c r="BW76" s="99"/>
    </row>
    <row r="77" spans="2:75" x14ac:dyDescent="0.25">
      <c r="B77" s="66" t="s">
        <v>170</v>
      </c>
      <c r="C77" s="67">
        <v>41871</v>
      </c>
      <c r="D77" s="161"/>
      <c r="E77" s="66" t="s">
        <v>169</v>
      </c>
      <c r="F77" s="66" t="s">
        <v>169</v>
      </c>
      <c r="G77" s="66" t="s">
        <v>169</v>
      </c>
      <c r="H77" s="66" t="s">
        <v>169</v>
      </c>
      <c r="I77" s="66" t="s">
        <v>169</v>
      </c>
      <c r="J77" s="66" t="s">
        <v>169</v>
      </c>
      <c r="K77" s="66" t="s">
        <v>169</v>
      </c>
      <c r="L77" s="66" t="s">
        <v>169</v>
      </c>
      <c r="M77" s="66" t="s">
        <v>169</v>
      </c>
      <c r="N77" s="66" t="s">
        <v>169</v>
      </c>
      <c r="O77" s="66" t="s">
        <v>169</v>
      </c>
      <c r="P77" s="66" t="s">
        <v>166</v>
      </c>
      <c r="Q77" s="66" t="s">
        <v>169</v>
      </c>
      <c r="R77" s="58" t="s">
        <v>166</v>
      </c>
      <c r="S77" s="60" t="s">
        <v>169</v>
      </c>
      <c r="T77" s="58" t="s">
        <v>166</v>
      </c>
      <c r="U77" s="60" t="s">
        <v>169</v>
      </c>
      <c r="V77" s="60" t="s">
        <v>169</v>
      </c>
      <c r="W77" s="60" t="s">
        <v>169</v>
      </c>
      <c r="X77" s="58" t="s">
        <v>166</v>
      </c>
      <c r="Y77" s="60" t="s">
        <v>169</v>
      </c>
      <c r="Z77" s="60" t="s">
        <v>169</v>
      </c>
      <c r="AA77" s="60" t="s">
        <v>169</v>
      </c>
      <c r="AB77" s="60" t="s">
        <v>169</v>
      </c>
      <c r="AC77" s="60" t="s">
        <v>169</v>
      </c>
      <c r="AD77" s="60" t="s">
        <v>169</v>
      </c>
      <c r="AE77" s="58" t="s">
        <v>166</v>
      </c>
      <c r="AF77" s="60" t="s">
        <v>169</v>
      </c>
      <c r="AG77" s="58" t="s">
        <v>166</v>
      </c>
      <c r="AH77" s="60" t="s">
        <v>169</v>
      </c>
      <c r="AI77" s="58" t="s">
        <v>166</v>
      </c>
      <c r="AJ77" s="60" t="s">
        <v>169</v>
      </c>
      <c r="AK77" s="58" t="s">
        <v>166</v>
      </c>
      <c r="AL77" s="60" t="s">
        <v>169</v>
      </c>
      <c r="AM77" s="60" t="s">
        <v>169</v>
      </c>
      <c r="AN77" s="60" t="s">
        <v>169</v>
      </c>
      <c r="AO77" s="60" t="s">
        <v>169</v>
      </c>
      <c r="AP77" s="58" t="s">
        <v>166</v>
      </c>
      <c r="AQ77" s="58" t="s">
        <v>166</v>
      </c>
      <c r="AR77" s="58" t="s">
        <v>166</v>
      </c>
      <c r="AS77" s="58" t="s">
        <v>166</v>
      </c>
      <c r="AT77" s="60" t="s">
        <v>169</v>
      </c>
      <c r="AU77" s="60" t="s">
        <v>169</v>
      </c>
      <c r="AV77" s="58" t="s">
        <v>166</v>
      </c>
      <c r="AW77" s="58" t="s">
        <v>166</v>
      </c>
      <c r="AX77" s="58" t="s">
        <v>166</v>
      </c>
      <c r="AY77" s="60" t="s">
        <v>169</v>
      </c>
      <c r="AZ77" s="58" t="s">
        <v>166</v>
      </c>
      <c r="BA77" s="58" t="s">
        <v>166</v>
      </c>
      <c r="BB77" s="58" t="s">
        <v>166</v>
      </c>
      <c r="BC77" s="58" t="s">
        <v>166</v>
      </c>
      <c r="BD77" s="60" t="s">
        <v>169</v>
      </c>
      <c r="BE77" s="58" t="s">
        <v>166</v>
      </c>
      <c r="BF77" s="58" t="s">
        <v>166</v>
      </c>
      <c r="BG77" s="60" t="s">
        <v>169</v>
      </c>
      <c r="BH77" s="60" t="s">
        <v>169</v>
      </c>
      <c r="BI77" s="60" t="s">
        <v>169</v>
      </c>
      <c r="BJ77" s="58" t="s">
        <v>166</v>
      </c>
      <c r="BK77" s="58" t="s">
        <v>166</v>
      </c>
      <c r="BL77" s="60" t="s">
        <v>169</v>
      </c>
      <c r="BM77" s="58" t="s">
        <v>166</v>
      </c>
      <c r="BN77" s="60" t="s">
        <v>169</v>
      </c>
      <c r="BO77" s="58" t="s">
        <v>166</v>
      </c>
      <c r="BP77" s="60" t="s">
        <v>169</v>
      </c>
      <c r="BQ77" s="60" t="s">
        <v>169</v>
      </c>
      <c r="BR77" s="60" t="s">
        <v>169</v>
      </c>
      <c r="BS77" s="60" t="s">
        <v>169</v>
      </c>
      <c r="BT77" s="60" t="s">
        <v>169</v>
      </c>
      <c r="BU77" s="60" t="s">
        <v>169</v>
      </c>
      <c r="BV77" s="60" t="s">
        <v>169</v>
      </c>
      <c r="BW77" s="99"/>
    </row>
    <row r="78" spans="2:75" x14ac:dyDescent="0.25">
      <c r="B78" s="144" t="s">
        <v>199</v>
      </c>
      <c r="C78" s="142">
        <v>41871</v>
      </c>
      <c r="D78" s="161"/>
      <c r="E78" s="143">
        <v>7.464555779517358</v>
      </c>
      <c r="F78" s="143">
        <v>10.113615152317399</v>
      </c>
      <c r="G78" s="143">
        <v>8.8375687164064143</v>
      </c>
      <c r="H78" s="143">
        <v>6.7081766515529333</v>
      </c>
      <c r="I78" s="143">
        <v>6.3821486154704203</v>
      </c>
      <c r="J78" s="143">
        <v>11.905906318717932</v>
      </c>
      <c r="K78" s="143">
        <v>3.8948942425553521</v>
      </c>
      <c r="L78" s="143">
        <v>6.1441404971019313</v>
      </c>
      <c r="M78" s="143">
        <v>6.4817638956093191</v>
      </c>
      <c r="N78" s="143">
        <v>7.370146254822596</v>
      </c>
      <c r="O78" s="143">
        <v>7.8730032789956317</v>
      </c>
      <c r="P78" s="143" t="s">
        <v>175</v>
      </c>
      <c r="Q78" s="143">
        <v>11.507568485598103</v>
      </c>
      <c r="R78" s="143" t="s">
        <v>175</v>
      </c>
      <c r="S78" s="143" t="s">
        <v>175</v>
      </c>
      <c r="T78" s="143" t="s">
        <v>175</v>
      </c>
      <c r="U78" s="143" t="s">
        <v>175</v>
      </c>
      <c r="V78" s="143">
        <v>10.610722322977681</v>
      </c>
      <c r="W78" s="143">
        <v>19.62297094038281</v>
      </c>
      <c r="X78" s="143" t="s">
        <v>175</v>
      </c>
      <c r="Y78" s="143" t="s">
        <v>175</v>
      </c>
      <c r="Z78" s="143">
        <v>9.3373369666269639</v>
      </c>
      <c r="AA78" s="143">
        <v>7.854475951893912</v>
      </c>
      <c r="AB78" s="143" t="s">
        <v>175</v>
      </c>
      <c r="AC78" s="143" t="s">
        <v>175</v>
      </c>
      <c r="AD78" s="143" t="s">
        <v>175</v>
      </c>
      <c r="AE78" s="143" t="s">
        <v>175</v>
      </c>
      <c r="AF78" s="143" t="s">
        <v>175</v>
      </c>
      <c r="AG78" s="143" t="s">
        <v>175</v>
      </c>
      <c r="AH78" s="143" t="s">
        <v>175</v>
      </c>
      <c r="AI78" s="143" t="s">
        <v>175</v>
      </c>
      <c r="AJ78" s="143">
        <v>21.023336150897201</v>
      </c>
      <c r="AK78" s="143" t="s">
        <v>175</v>
      </c>
      <c r="AL78" s="143">
        <v>10.680190114922997</v>
      </c>
      <c r="AM78" s="143" t="s">
        <v>175</v>
      </c>
      <c r="AN78" s="143" t="s">
        <v>175</v>
      </c>
      <c r="AO78" s="143" t="s">
        <v>175</v>
      </c>
      <c r="AP78" s="143" t="s">
        <v>175</v>
      </c>
      <c r="AQ78" s="143" t="s">
        <v>175</v>
      </c>
      <c r="AR78" s="143" t="s">
        <v>175</v>
      </c>
      <c r="AS78" s="143" t="s">
        <v>175</v>
      </c>
      <c r="AT78" s="143" t="s">
        <v>175</v>
      </c>
      <c r="AU78" s="143" t="s">
        <v>175</v>
      </c>
      <c r="AV78" s="143" t="s">
        <v>175</v>
      </c>
      <c r="AW78" s="143" t="s">
        <v>175</v>
      </c>
      <c r="AX78" s="143" t="s">
        <v>175</v>
      </c>
      <c r="AY78" s="143" t="s">
        <v>175</v>
      </c>
      <c r="AZ78" s="143" t="s">
        <v>175</v>
      </c>
      <c r="BA78" s="143" t="s">
        <v>175</v>
      </c>
      <c r="BB78" s="143" t="s">
        <v>175</v>
      </c>
      <c r="BC78" s="143" t="s">
        <v>175</v>
      </c>
      <c r="BD78" s="143" t="s">
        <v>175</v>
      </c>
      <c r="BE78" s="143" t="s">
        <v>175</v>
      </c>
      <c r="BF78" s="143" t="s">
        <v>175</v>
      </c>
      <c r="BG78" s="143" t="s">
        <v>175</v>
      </c>
      <c r="BH78" s="143" t="s">
        <v>175</v>
      </c>
      <c r="BI78" s="143" t="s">
        <v>175</v>
      </c>
      <c r="BJ78" s="143" t="s">
        <v>175</v>
      </c>
      <c r="BK78" s="143" t="s">
        <v>175</v>
      </c>
      <c r="BL78" s="143" t="s">
        <v>175</v>
      </c>
      <c r="BM78" s="143" t="s">
        <v>175</v>
      </c>
      <c r="BN78" s="143" t="s">
        <v>175</v>
      </c>
      <c r="BO78" s="143" t="s">
        <v>175</v>
      </c>
      <c r="BP78" s="143" t="s">
        <v>175</v>
      </c>
      <c r="BQ78" s="143" t="s">
        <v>175</v>
      </c>
      <c r="BR78" s="143" t="s">
        <v>175</v>
      </c>
      <c r="BS78" s="143" t="s">
        <v>175</v>
      </c>
      <c r="BT78" s="143" t="s">
        <v>175</v>
      </c>
      <c r="BU78" s="143" t="s">
        <v>175</v>
      </c>
      <c r="BV78" s="143" t="s">
        <v>175</v>
      </c>
    </row>
    <row r="79" spans="2:75" x14ac:dyDescent="0.25">
      <c r="B79"/>
      <c r="C79"/>
      <c r="D79" s="162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</row>
    <row r="80" spans="2:75" x14ac:dyDescent="0.25">
      <c r="B80"/>
      <c r="C80"/>
      <c r="D80" s="162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</row>
    <row r="81" spans="2:74" x14ac:dyDescent="0.25">
      <c r="B81"/>
      <c r="C81"/>
      <c r="D81" s="162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</row>
    <row r="82" spans="2:74" x14ac:dyDescent="0.25">
      <c r="B82"/>
      <c r="C82"/>
      <c r="D82" s="16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</row>
    <row r="83" spans="2:74" x14ac:dyDescent="0.25">
      <c r="B83"/>
      <c r="C83"/>
      <c r="D83" s="162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</row>
    <row r="84" spans="2:74" x14ac:dyDescent="0.25">
      <c r="B84" s="66"/>
      <c r="C84" s="67"/>
      <c r="D84" s="161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</row>
    <row r="85" spans="2:74" x14ac:dyDescent="0.25">
      <c r="B85" s="60"/>
      <c r="C85" s="23"/>
      <c r="D85" s="23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</row>
    <row r="86" spans="2:74" x14ac:dyDescent="0.25">
      <c r="B86" s="60"/>
      <c r="C86" s="23"/>
      <c r="D86" s="23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</row>
    <row r="87" spans="2:74" x14ac:dyDescent="0.25">
      <c r="B87" s="60"/>
      <c r="C87" s="23"/>
      <c r="D87" s="23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Q87" s="60"/>
      <c r="S87" s="60"/>
      <c r="U87" s="60"/>
      <c r="V87" s="60"/>
      <c r="W87" s="60"/>
      <c r="Y87" s="60"/>
      <c r="Z87" s="60"/>
      <c r="AB87" s="60"/>
      <c r="AC87" s="60"/>
      <c r="AD87" s="60"/>
      <c r="AF87" s="60"/>
      <c r="AH87" s="60"/>
      <c r="AJ87" s="60"/>
      <c r="AL87" s="60"/>
      <c r="AM87" s="60"/>
      <c r="AN87" s="60"/>
      <c r="AO87" s="60"/>
      <c r="AT87" s="60"/>
      <c r="AU87" s="60"/>
      <c r="AY87" s="60"/>
      <c r="BD87" s="60"/>
      <c r="BG87" s="60"/>
      <c r="BH87" s="60"/>
      <c r="BI87" s="60"/>
      <c r="BL87" s="60"/>
      <c r="BN87" s="60"/>
    </row>
    <row r="88" spans="2:74" x14ac:dyDescent="0.25">
      <c r="B88" s="60"/>
      <c r="C88" s="23"/>
      <c r="D88" s="23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Q88" s="60"/>
      <c r="S88" s="60"/>
      <c r="U88" s="60"/>
      <c r="V88" s="60"/>
      <c r="W88" s="60"/>
      <c r="Y88" s="60"/>
      <c r="Z88" s="60"/>
      <c r="AB88" s="60"/>
      <c r="AC88" s="60"/>
      <c r="AD88" s="60"/>
      <c r="AF88" s="60"/>
      <c r="AH88" s="60"/>
      <c r="AJ88" s="60"/>
      <c r="AL88" s="60"/>
      <c r="AM88" s="60"/>
      <c r="AN88" s="60"/>
      <c r="AO88" s="60"/>
      <c r="AT88" s="60"/>
      <c r="AU88" s="60"/>
      <c r="AY88" s="60"/>
      <c r="BD88" s="60"/>
      <c r="BG88" s="60"/>
      <c r="BH88" s="60"/>
      <c r="BI88" s="60"/>
      <c r="BL88" s="60"/>
      <c r="BN88" s="60"/>
    </row>
    <row r="89" spans="2:74" x14ac:dyDescent="0.25">
      <c r="B89" s="60"/>
      <c r="C89" s="23"/>
      <c r="D89" s="23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Q89" s="60"/>
      <c r="S89" s="60"/>
      <c r="U89" s="60"/>
      <c r="V89" s="60"/>
      <c r="W89" s="60"/>
      <c r="Y89" s="60"/>
      <c r="Z89" s="60"/>
      <c r="AA89" s="60"/>
      <c r="AB89" s="60"/>
      <c r="AC89" s="60"/>
      <c r="AD89" s="60"/>
      <c r="AF89" s="60"/>
      <c r="AH89" s="60"/>
      <c r="AJ89" s="60"/>
      <c r="AL89" s="60"/>
      <c r="AM89" s="60"/>
      <c r="AN89" s="60"/>
      <c r="AO89" s="60"/>
      <c r="AT89" s="60"/>
      <c r="AU89" s="60"/>
      <c r="AY89" s="60"/>
      <c r="BD89" s="60"/>
      <c r="BG89" s="60"/>
      <c r="BH89" s="60"/>
      <c r="BI89" s="60"/>
      <c r="BL89" s="60"/>
      <c r="BN89" s="60"/>
      <c r="BP89" s="60"/>
      <c r="BQ89" s="60"/>
      <c r="BR89" s="60"/>
      <c r="BS89" s="60"/>
      <c r="BT89" s="60"/>
      <c r="BU89" s="60"/>
      <c r="BV89" s="60"/>
    </row>
    <row r="90" spans="2:74" x14ac:dyDescent="0.25">
      <c r="B90" s="60"/>
      <c r="C90" s="23"/>
      <c r="D90" s="23"/>
    </row>
    <row r="91" spans="2:74" x14ac:dyDescent="0.25">
      <c r="B91" s="63"/>
    </row>
    <row r="92" spans="2:74" x14ac:dyDescent="0.25">
      <c r="B92" s="62"/>
    </row>
    <row r="93" spans="2:74" x14ac:dyDescent="0.25">
      <c r="B93" s="25"/>
      <c r="C93" s="23"/>
      <c r="D93" s="23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</row>
    <row r="94" spans="2:74" x14ac:dyDescent="0.25">
      <c r="B94" s="25"/>
      <c r="C94" s="23"/>
      <c r="D94" s="23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</row>
    <row r="95" spans="2:74" x14ac:dyDescent="0.25">
      <c r="B95" s="25"/>
      <c r="C95" s="23"/>
      <c r="D95" s="23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Q95" s="60"/>
      <c r="S95" s="60"/>
      <c r="U95" s="60"/>
      <c r="V95" s="60"/>
      <c r="W95" s="60"/>
      <c r="Y95" s="60"/>
      <c r="Z95" s="60"/>
      <c r="AC95" s="60"/>
      <c r="AD95" s="60"/>
      <c r="AF95" s="60"/>
      <c r="AH95" s="60"/>
      <c r="AJ95" s="60"/>
      <c r="AL95" s="60"/>
      <c r="AM95" s="60"/>
      <c r="AN95" s="60"/>
      <c r="AO95" s="60"/>
      <c r="AT95" s="60"/>
      <c r="AU95" s="60"/>
      <c r="AY95" s="60"/>
      <c r="BD95" s="60"/>
      <c r="BG95" s="60"/>
      <c r="BH95" s="60"/>
      <c r="BI95" s="60"/>
      <c r="BL95" s="60"/>
      <c r="BN95" s="60"/>
    </row>
    <row r="96" spans="2:74" x14ac:dyDescent="0.25">
      <c r="B96" s="25"/>
      <c r="C96" s="23"/>
      <c r="D96" s="23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Q96" s="60"/>
      <c r="S96" s="60"/>
      <c r="U96" s="60"/>
      <c r="V96" s="60"/>
      <c r="W96" s="60"/>
      <c r="Y96" s="60"/>
      <c r="Z96" s="60"/>
      <c r="AB96" s="60"/>
      <c r="AC96" s="60"/>
      <c r="AD96" s="60"/>
      <c r="AF96" s="60"/>
      <c r="AH96" s="60"/>
      <c r="AJ96" s="60"/>
      <c r="AL96" s="60"/>
      <c r="AM96" s="60"/>
      <c r="AN96" s="60"/>
      <c r="AO96" s="60"/>
      <c r="AT96" s="60"/>
      <c r="AU96" s="60"/>
      <c r="AY96" s="60"/>
      <c r="BD96" s="60"/>
      <c r="BG96" s="60"/>
      <c r="BH96" s="60"/>
      <c r="BI96" s="60"/>
      <c r="BL96" s="60"/>
      <c r="BN96" s="60"/>
    </row>
    <row r="97" spans="2:74" x14ac:dyDescent="0.25">
      <c r="B97" s="25"/>
      <c r="C97" s="23"/>
      <c r="D97" s="23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Q97" s="60"/>
      <c r="S97" s="60"/>
      <c r="U97" s="60"/>
      <c r="V97" s="60"/>
      <c r="W97" s="60"/>
      <c r="Y97" s="60"/>
      <c r="Z97" s="60"/>
      <c r="AB97" s="60"/>
      <c r="AC97" s="60"/>
      <c r="AD97" s="60"/>
      <c r="AF97" s="60"/>
      <c r="AH97" s="60"/>
      <c r="AJ97" s="60"/>
      <c r="AL97" s="60"/>
      <c r="AM97" s="60"/>
      <c r="AN97" s="60"/>
      <c r="AO97" s="60"/>
      <c r="AT97" s="60"/>
      <c r="AU97" s="60"/>
      <c r="AY97" s="60"/>
      <c r="BD97" s="60"/>
      <c r="BG97" s="60"/>
      <c r="BH97" s="60"/>
      <c r="BI97" s="60"/>
      <c r="BL97" s="60"/>
      <c r="BN97" s="60"/>
    </row>
    <row r="98" spans="2:74" x14ac:dyDescent="0.25">
      <c r="B98" s="25"/>
      <c r="C98" s="23"/>
      <c r="D98" s="23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Q98" s="60"/>
      <c r="S98" s="60"/>
      <c r="U98" s="60"/>
      <c r="V98" s="60"/>
      <c r="W98" s="60"/>
      <c r="Y98" s="60"/>
      <c r="Z98" s="60"/>
      <c r="AA98" s="60"/>
      <c r="AB98" s="60"/>
      <c r="AC98" s="60"/>
      <c r="AD98" s="60"/>
      <c r="AF98" s="60"/>
      <c r="AH98" s="60"/>
      <c r="AJ98" s="60"/>
      <c r="AL98" s="60"/>
      <c r="AM98" s="60"/>
      <c r="AN98" s="60"/>
      <c r="AO98" s="60"/>
      <c r="AT98" s="60"/>
      <c r="AU98" s="60"/>
      <c r="AY98" s="60"/>
      <c r="BD98" s="60"/>
      <c r="BG98" s="60"/>
      <c r="BH98" s="60"/>
      <c r="BI98" s="60"/>
      <c r="BL98" s="60"/>
      <c r="BN98" s="60"/>
      <c r="BP98" s="60"/>
      <c r="BQ98" s="60"/>
      <c r="BR98" s="60"/>
      <c r="BS98" s="60"/>
      <c r="BT98" s="60"/>
      <c r="BU98" s="60"/>
      <c r="BV98" s="60"/>
    </row>
    <row r="99" spans="2:74" x14ac:dyDescent="0.25">
      <c r="B99" s="25"/>
      <c r="C99" s="23"/>
      <c r="D99" s="23"/>
    </row>
    <row r="100" spans="2:74" x14ac:dyDescent="0.25">
      <c r="B100" s="62"/>
    </row>
    <row r="101" spans="2:74" x14ac:dyDescent="0.25">
      <c r="B101" s="63"/>
      <c r="C101" s="23"/>
      <c r="D101" s="23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</row>
    <row r="102" spans="2:74" x14ac:dyDescent="0.25">
      <c r="B102" s="63"/>
      <c r="C102" s="23"/>
      <c r="D102" s="23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</row>
    <row r="103" spans="2:74" x14ac:dyDescent="0.25">
      <c r="B103" s="63"/>
      <c r="C103" s="23"/>
      <c r="D103" s="23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Q103" s="60"/>
      <c r="S103" s="60"/>
      <c r="U103" s="60"/>
      <c r="V103" s="60"/>
      <c r="W103" s="60"/>
      <c r="Y103" s="60"/>
      <c r="Z103" s="60"/>
      <c r="AC103" s="60"/>
      <c r="AD103" s="60"/>
      <c r="AF103" s="60"/>
      <c r="AH103" s="60"/>
      <c r="AJ103" s="60"/>
      <c r="AL103" s="60"/>
      <c r="AM103" s="60"/>
      <c r="AN103" s="60"/>
      <c r="AO103" s="60"/>
      <c r="AT103" s="60"/>
      <c r="AU103" s="60"/>
      <c r="AY103" s="60"/>
      <c r="BD103" s="60"/>
      <c r="BG103" s="60"/>
      <c r="BH103" s="60"/>
      <c r="BI103" s="60"/>
      <c r="BL103" s="60"/>
      <c r="BN103" s="60"/>
    </row>
    <row r="104" spans="2:74" x14ac:dyDescent="0.25">
      <c r="B104" s="63"/>
      <c r="C104" s="23"/>
      <c r="D104" s="23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Q104" s="60"/>
      <c r="S104" s="60"/>
      <c r="U104" s="60"/>
      <c r="V104" s="60"/>
      <c r="W104" s="60"/>
      <c r="Y104" s="60"/>
      <c r="Z104" s="60"/>
      <c r="AB104" s="60"/>
      <c r="AC104" s="60"/>
      <c r="AD104" s="60"/>
      <c r="AF104" s="60"/>
      <c r="AH104" s="60"/>
      <c r="AJ104" s="60"/>
      <c r="AL104" s="60"/>
      <c r="AM104" s="60"/>
      <c r="AN104" s="60"/>
      <c r="AO104" s="60"/>
      <c r="AT104" s="60"/>
      <c r="AU104" s="60"/>
      <c r="AY104" s="60"/>
      <c r="BD104" s="60"/>
      <c r="BG104" s="60"/>
      <c r="BH104" s="60"/>
      <c r="BI104" s="60"/>
      <c r="BL104" s="60"/>
      <c r="BN104" s="60"/>
    </row>
    <row r="105" spans="2:74" x14ac:dyDescent="0.25">
      <c r="B105" s="62"/>
      <c r="C105" s="23"/>
      <c r="D105" s="23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Q105" s="60"/>
      <c r="S105" s="60"/>
      <c r="U105" s="60"/>
      <c r="V105" s="60"/>
      <c r="W105" s="60"/>
      <c r="Y105" s="60"/>
      <c r="Z105" s="60"/>
      <c r="AB105" s="60"/>
      <c r="AC105" s="60"/>
      <c r="AD105" s="60"/>
      <c r="AF105" s="60"/>
      <c r="AH105" s="60"/>
      <c r="AJ105" s="60"/>
      <c r="AL105" s="60"/>
      <c r="AM105" s="60"/>
      <c r="AN105" s="60"/>
      <c r="AO105" s="60"/>
      <c r="AT105" s="60"/>
      <c r="AU105" s="60"/>
      <c r="AY105" s="60"/>
      <c r="BD105" s="60"/>
      <c r="BG105" s="60"/>
      <c r="BH105" s="60"/>
      <c r="BI105" s="60"/>
      <c r="BL105" s="60"/>
      <c r="BN105" s="60"/>
    </row>
    <row r="106" spans="2:74" x14ac:dyDescent="0.25">
      <c r="B106" s="63"/>
      <c r="C106" s="23"/>
      <c r="D106" s="23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Q106" s="60"/>
      <c r="S106" s="60"/>
      <c r="U106" s="60"/>
      <c r="V106" s="60"/>
      <c r="W106" s="60"/>
      <c r="Y106" s="60"/>
      <c r="Z106" s="60"/>
      <c r="AA106" s="60"/>
      <c r="AB106" s="60"/>
      <c r="AC106" s="60"/>
      <c r="AD106" s="60"/>
      <c r="AF106" s="60"/>
      <c r="AH106" s="60"/>
      <c r="AJ106" s="60"/>
      <c r="AL106" s="60"/>
      <c r="AM106" s="60"/>
      <c r="AN106" s="60"/>
      <c r="AO106" s="60"/>
      <c r="AT106" s="60"/>
      <c r="AU106" s="60"/>
      <c r="AY106" s="60"/>
      <c r="BD106" s="60"/>
      <c r="BG106" s="60"/>
      <c r="BH106" s="60"/>
      <c r="BI106" s="60"/>
      <c r="BL106" s="60"/>
      <c r="BN106" s="60"/>
      <c r="BP106" s="60"/>
      <c r="BQ106" s="60"/>
      <c r="BR106" s="60"/>
      <c r="BS106" s="60"/>
      <c r="BT106" s="60"/>
      <c r="BU106" s="60"/>
      <c r="BV106" s="60"/>
    </row>
    <row r="107" spans="2:74" x14ac:dyDescent="0.25">
      <c r="B107" s="63"/>
      <c r="C107" s="23"/>
      <c r="D107" s="23"/>
    </row>
    <row r="108" spans="2:74" x14ac:dyDescent="0.25">
      <c r="B108" s="62"/>
    </row>
    <row r="109" spans="2:74" x14ac:dyDescent="0.25">
      <c r="B109" s="25"/>
      <c r="C109" s="23"/>
      <c r="D109" s="23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</row>
    <row r="110" spans="2:74" x14ac:dyDescent="0.25">
      <c r="B110" s="25"/>
      <c r="C110" s="23"/>
      <c r="D110" s="23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</row>
    <row r="111" spans="2:74" x14ac:dyDescent="0.25">
      <c r="B111" s="25"/>
      <c r="C111" s="23"/>
      <c r="D111" s="23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Q111" s="60"/>
      <c r="S111" s="60"/>
      <c r="U111" s="60"/>
      <c r="V111" s="60"/>
      <c r="W111" s="60"/>
      <c r="Y111" s="60"/>
      <c r="Z111" s="60"/>
      <c r="AC111" s="60"/>
      <c r="AD111" s="60"/>
      <c r="AF111" s="60"/>
      <c r="AH111" s="60"/>
      <c r="AJ111" s="60"/>
      <c r="AL111" s="60"/>
      <c r="AM111" s="60"/>
      <c r="AN111" s="60"/>
      <c r="AO111" s="60"/>
      <c r="AT111" s="60"/>
      <c r="AU111" s="60"/>
      <c r="AY111" s="60"/>
      <c r="BD111" s="60"/>
      <c r="BG111" s="60"/>
      <c r="BH111" s="60"/>
      <c r="BI111" s="60"/>
      <c r="BL111" s="60"/>
      <c r="BN111" s="60"/>
    </row>
    <row r="112" spans="2:74" x14ac:dyDescent="0.25">
      <c r="B112" s="25"/>
      <c r="C112" s="23"/>
      <c r="D112" s="23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Q112" s="60"/>
      <c r="S112" s="60"/>
      <c r="U112" s="60"/>
      <c r="V112" s="60"/>
      <c r="W112" s="60"/>
      <c r="Y112" s="60"/>
      <c r="Z112" s="60"/>
      <c r="AB112" s="60"/>
      <c r="AC112" s="60"/>
      <c r="AD112" s="60"/>
      <c r="AF112" s="60"/>
      <c r="AH112" s="60"/>
      <c r="AJ112" s="60"/>
      <c r="AL112" s="60"/>
      <c r="AM112" s="60"/>
      <c r="AN112" s="60"/>
      <c r="AO112" s="60"/>
      <c r="AT112" s="60"/>
      <c r="AU112" s="60"/>
      <c r="AY112" s="60"/>
      <c r="BD112" s="60"/>
      <c r="BG112" s="60"/>
      <c r="BH112" s="60"/>
      <c r="BI112" s="60"/>
      <c r="BL112" s="60"/>
      <c r="BN112" s="60"/>
    </row>
    <row r="113" spans="2:74" x14ac:dyDescent="0.25">
      <c r="B113" s="25"/>
      <c r="C113" s="23"/>
      <c r="D113" s="23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Q113" s="60"/>
      <c r="S113" s="60"/>
      <c r="U113" s="60"/>
      <c r="V113" s="60"/>
      <c r="W113" s="60"/>
      <c r="Y113" s="60"/>
      <c r="Z113" s="60"/>
      <c r="AB113" s="60"/>
      <c r="AC113" s="60"/>
      <c r="AD113" s="60"/>
      <c r="AF113" s="60"/>
      <c r="AH113" s="60"/>
      <c r="AJ113" s="60"/>
      <c r="AL113" s="60"/>
      <c r="AM113" s="60"/>
      <c r="AN113" s="60"/>
      <c r="AO113" s="60"/>
      <c r="AT113" s="60"/>
      <c r="AU113" s="60"/>
      <c r="AY113" s="60"/>
      <c r="BD113" s="60"/>
      <c r="BG113" s="60"/>
      <c r="BH113" s="60"/>
      <c r="BI113" s="60"/>
      <c r="BL113" s="60"/>
      <c r="BN113" s="60"/>
    </row>
    <row r="114" spans="2:74" x14ac:dyDescent="0.25">
      <c r="B114" s="25"/>
      <c r="C114" s="23"/>
      <c r="D114" s="23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Q114" s="60"/>
      <c r="S114" s="60"/>
      <c r="U114" s="60"/>
      <c r="V114" s="60"/>
      <c r="W114" s="60"/>
      <c r="Y114" s="60"/>
      <c r="Z114" s="60"/>
      <c r="AA114" s="60"/>
      <c r="AB114" s="60"/>
      <c r="AC114" s="60"/>
      <c r="AD114" s="60"/>
      <c r="AF114" s="60"/>
      <c r="AH114" s="60"/>
      <c r="AJ114" s="60"/>
      <c r="AL114" s="60"/>
      <c r="AM114" s="60"/>
      <c r="AN114" s="60"/>
      <c r="AO114" s="60"/>
      <c r="AT114" s="60"/>
      <c r="AU114" s="60"/>
      <c r="AY114" s="60"/>
      <c r="BD114" s="60"/>
      <c r="BG114" s="60"/>
      <c r="BH114" s="60"/>
      <c r="BI114" s="60"/>
      <c r="BL114" s="60"/>
      <c r="BN114" s="60"/>
      <c r="BP114" s="60"/>
      <c r="BQ114" s="60"/>
      <c r="BR114" s="60"/>
      <c r="BS114" s="60"/>
      <c r="BT114" s="60"/>
      <c r="BU114" s="60"/>
      <c r="BV114" s="60"/>
    </row>
    <row r="115" spans="2:74" x14ac:dyDescent="0.25">
      <c r="B115" s="25"/>
      <c r="C115" s="23"/>
      <c r="D115" s="23"/>
    </row>
    <row r="116" spans="2:74" x14ac:dyDescent="0.25">
      <c r="B116" s="62"/>
    </row>
    <row r="117" spans="2:74" x14ac:dyDescent="0.25">
      <c r="B117" s="25"/>
      <c r="C117" s="23"/>
      <c r="D117" s="23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  <c r="BG117" s="64"/>
      <c r="BH117" s="64"/>
      <c r="BI117" s="64"/>
      <c r="BJ117" s="64"/>
      <c r="BK117" s="64"/>
      <c r="BL117" s="64"/>
      <c r="BM117" s="64"/>
      <c r="BN117" s="64"/>
      <c r="BO117" s="64"/>
      <c r="BP117" s="64"/>
      <c r="BQ117" s="64"/>
      <c r="BR117" s="64"/>
      <c r="BS117" s="64"/>
      <c r="BT117" s="64"/>
      <c r="BU117" s="64"/>
      <c r="BV117" s="64"/>
    </row>
    <row r="118" spans="2:74" x14ac:dyDescent="0.25">
      <c r="B118" s="25"/>
      <c r="C118" s="23"/>
      <c r="D118" s="23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  <c r="BG118" s="64"/>
      <c r="BH118" s="64"/>
      <c r="BI118" s="64"/>
      <c r="BJ118" s="64"/>
      <c r="BK118" s="64"/>
      <c r="BL118" s="64"/>
      <c r="BM118" s="64"/>
      <c r="BN118" s="64"/>
      <c r="BO118" s="64"/>
      <c r="BP118" s="64"/>
      <c r="BQ118" s="64"/>
      <c r="BR118" s="64"/>
      <c r="BS118" s="64"/>
      <c r="BT118" s="64"/>
      <c r="BU118" s="64"/>
      <c r="BV118" s="64"/>
    </row>
    <row r="119" spans="2:74" x14ac:dyDescent="0.25">
      <c r="B119" s="25"/>
      <c r="C119" s="23"/>
      <c r="D119" s="23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Q119" s="60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  <c r="BG119" s="64"/>
      <c r="BH119" s="64"/>
      <c r="BI119" s="64"/>
      <c r="BJ119" s="64"/>
      <c r="BK119" s="64"/>
      <c r="BL119" s="64"/>
      <c r="BM119" s="64"/>
      <c r="BN119" s="64"/>
      <c r="BO119" s="64"/>
      <c r="BP119" s="64"/>
      <c r="BQ119" s="64"/>
      <c r="BR119" s="64"/>
      <c r="BS119" s="64"/>
      <c r="BT119" s="64"/>
      <c r="BU119" s="64"/>
      <c r="BV119" s="64"/>
    </row>
    <row r="120" spans="2:74" x14ac:dyDescent="0.25">
      <c r="B120" s="25"/>
      <c r="C120" s="23"/>
      <c r="D120" s="23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Q120" s="60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  <c r="BG120" s="64"/>
      <c r="BH120" s="64"/>
      <c r="BI120" s="64"/>
      <c r="BJ120" s="64"/>
      <c r="BK120" s="64"/>
      <c r="BL120" s="64"/>
      <c r="BM120" s="64"/>
      <c r="BN120" s="64"/>
      <c r="BO120" s="64"/>
      <c r="BP120" s="64"/>
      <c r="BQ120" s="64"/>
      <c r="BR120" s="64"/>
      <c r="BS120" s="64"/>
      <c r="BT120" s="64"/>
      <c r="BU120" s="64"/>
      <c r="BV120" s="64"/>
    </row>
    <row r="121" spans="2:74" x14ac:dyDescent="0.25">
      <c r="B121" s="25"/>
      <c r="C121" s="23"/>
      <c r="D121" s="23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Q121" s="60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  <c r="BG121" s="64"/>
      <c r="BH121" s="64"/>
      <c r="BI121" s="64"/>
      <c r="BJ121" s="64"/>
      <c r="BK121" s="64"/>
      <c r="BL121" s="64"/>
      <c r="BM121" s="64"/>
      <c r="BN121" s="64"/>
      <c r="BO121" s="64"/>
      <c r="BP121" s="64"/>
      <c r="BQ121" s="64"/>
      <c r="BR121" s="64"/>
      <c r="BS121" s="64"/>
      <c r="BT121" s="64"/>
      <c r="BU121" s="64"/>
      <c r="BV121" s="64"/>
    </row>
    <row r="122" spans="2:74" x14ac:dyDescent="0.25">
      <c r="B122" s="25"/>
      <c r="C122" s="23"/>
      <c r="D122" s="23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Q122" s="60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  <c r="BG122" s="64"/>
      <c r="BH122" s="64"/>
      <c r="BI122" s="64"/>
      <c r="BJ122" s="64"/>
      <c r="BK122" s="64"/>
      <c r="BL122" s="64"/>
      <c r="BM122" s="64"/>
      <c r="BN122" s="64"/>
      <c r="BO122" s="64"/>
      <c r="BP122" s="64"/>
      <c r="BQ122" s="64"/>
      <c r="BR122" s="64"/>
      <c r="BS122" s="64"/>
      <c r="BT122" s="64"/>
      <c r="BU122" s="64"/>
      <c r="BV122" s="64"/>
    </row>
    <row r="123" spans="2:74" x14ac:dyDescent="0.25">
      <c r="B123" s="25"/>
      <c r="C123" s="23"/>
      <c r="D123" s="23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  <c r="BG123" s="64"/>
      <c r="BH123" s="64"/>
      <c r="BI123" s="64"/>
      <c r="BJ123" s="64"/>
      <c r="BK123" s="64"/>
      <c r="BL123" s="64"/>
      <c r="BM123" s="64"/>
      <c r="BN123" s="64"/>
      <c r="BO123" s="64"/>
      <c r="BP123" s="64"/>
      <c r="BQ123" s="64"/>
      <c r="BR123" s="64"/>
      <c r="BS123" s="64"/>
      <c r="BT123" s="64"/>
      <c r="BU123" s="64"/>
      <c r="BV123" s="64"/>
    </row>
    <row r="124" spans="2:74" x14ac:dyDescent="0.25">
      <c r="B124" s="62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64"/>
      <c r="BV124" s="64"/>
    </row>
    <row r="125" spans="2:74" x14ac:dyDescent="0.25">
      <c r="B125" s="25"/>
      <c r="C125" s="23"/>
      <c r="D125" s="23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</row>
    <row r="126" spans="2:74" x14ac:dyDescent="0.25">
      <c r="B126" s="25"/>
      <c r="C126" s="23"/>
      <c r="D126" s="23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</row>
    <row r="127" spans="2:74" x14ac:dyDescent="0.25">
      <c r="B127" s="25"/>
      <c r="C127" s="23"/>
      <c r="D127" s="23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Q127" s="60"/>
      <c r="S127" s="60"/>
      <c r="U127" s="60"/>
      <c r="V127" s="60"/>
      <c r="W127" s="60"/>
      <c r="Y127" s="60"/>
      <c r="Z127" s="60"/>
      <c r="AC127" s="60"/>
      <c r="AD127" s="60"/>
      <c r="AF127" s="60"/>
      <c r="AH127" s="60"/>
      <c r="AJ127" s="60"/>
      <c r="AL127" s="60"/>
      <c r="AM127" s="60"/>
      <c r="AN127" s="60"/>
      <c r="AO127" s="60"/>
      <c r="AT127" s="60"/>
      <c r="AU127" s="60"/>
      <c r="AY127" s="60"/>
      <c r="BD127" s="60"/>
      <c r="BG127" s="60"/>
      <c r="BH127" s="60"/>
      <c r="BI127" s="60"/>
      <c r="BL127" s="60"/>
      <c r="BN127" s="60"/>
    </row>
    <row r="128" spans="2:74" x14ac:dyDescent="0.25">
      <c r="B128" s="25"/>
      <c r="C128" s="23"/>
      <c r="D128" s="23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Q128" s="60"/>
      <c r="S128" s="60"/>
      <c r="U128" s="60"/>
      <c r="V128" s="60"/>
      <c r="W128" s="60"/>
      <c r="Y128" s="60"/>
      <c r="Z128" s="60"/>
      <c r="AB128" s="60"/>
      <c r="AC128" s="60"/>
      <c r="AD128" s="60"/>
      <c r="AF128" s="60"/>
      <c r="AH128" s="60"/>
      <c r="AJ128" s="60"/>
      <c r="AL128" s="60"/>
      <c r="AM128" s="60"/>
      <c r="AN128" s="60"/>
      <c r="AO128" s="60"/>
      <c r="AT128" s="60"/>
      <c r="AU128" s="60"/>
      <c r="AY128" s="60"/>
      <c r="BD128" s="60"/>
      <c r="BG128" s="60"/>
      <c r="BH128" s="60"/>
      <c r="BI128" s="60"/>
      <c r="BL128" s="60"/>
      <c r="BN128" s="60"/>
    </row>
    <row r="129" spans="2:74" x14ac:dyDescent="0.25">
      <c r="B129" s="25"/>
      <c r="C129" s="23"/>
      <c r="D129" s="23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Q129" s="60"/>
      <c r="S129" s="60"/>
      <c r="U129" s="60"/>
      <c r="V129" s="60"/>
      <c r="W129" s="60"/>
      <c r="Y129" s="60"/>
      <c r="Z129" s="60"/>
      <c r="AB129" s="60"/>
      <c r="AC129" s="60"/>
      <c r="AD129" s="60"/>
      <c r="AF129" s="60"/>
      <c r="AH129" s="60"/>
      <c r="AJ129" s="60"/>
      <c r="AL129" s="60"/>
      <c r="AM129" s="60"/>
      <c r="AN129" s="60"/>
      <c r="AO129" s="60"/>
      <c r="AT129" s="60"/>
      <c r="AU129" s="60"/>
      <c r="AY129" s="60"/>
      <c r="BD129" s="60"/>
      <c r="BG129" s="60"/>
      <c r="BH129" s="60"/>
      <c r="BI129" s="60"/>
      <c r="BL129" s="60"/>
      <c r="BN129" s="60"/>
    </row>
    <row r="130" spans="2:74" x14ac:dyDescent="0.25">
      <c r="B130" s="25"/>
      <c r="C130" s="23"/>
      <c r="D130" s="23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Q130" s="60"/>
      <c r="S130" s="60"/>
      <c r="U130" s="60"/>
      <c r="V130" s="60"/>
      <c r="W130" s="60"/>
      <c r="Y130" s="60"/>
      <c r="Z130" s="60"/>
      <c r="AA130" s="60"/>
      <c r="AB130" s="60"/>
      <c r="AC130" s="60"/>
      <c r="AD130" s="60"/>
      <c r="AF130" s="60"/>
      <c r="AH130" s="60"/>
      <c r="AJ130" s="60"/>
      <c r="AL130" s="60"/>
      <c r="AM130" s="60"/>
      <c r="AN130" s="60"/>
      <c r="AO130" s="60"/>
      <c r="AT130" s="60"/>
      <c r="AU130" s="60"/>
      <c r="AY130" s="60"/>
      <c r="BD130" s="60"/>
      <c r="BG130" s="60"/>
      <c r="BH130" s="60"/>
      <c r="BI130" s="60"/>
      <c r="BL130" s="60"/>
      <c r="BN130" s="60"/>
      <c r="BP130" s="60"/>
      <c r="BQ130" s="60"/>
      <c r="BR130" s="60"/>
      <c r="BS130" s="60"/>
      <c r="BT130" s="60"/>
      <c r="BU130" s="60"/>
      <c r="BV130" s="60"/>
    </row>
    <row r="131" spans="2:74" x14ac:dyDescent="0.25">
      <c r="B131" s="25"/>
      <c r="C131" s="23"/>
      <c r="D131" s="23"/>
    </row>
    <row r="132" spans="2:74" x14ac:dyDescent="0.25">
      <c r="B132" s="62"/>
    </row>
    <row r="133" spans="2:74" x14ac:dyDescent="0.25">
      <c r="C133" s="23"/>
      <c r="D133" s="23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</row>
    <row r="134" spans="2:74" x14ac:dyDescent="0.25">
      <c r="B134" s="64"/>
      <c r="C134" s="23"/>
      <c r="D134" s="23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</row>
    <row r="135" spans="2:74" x14ac:dyDescent="0.25">
      <c r="B135" s="64"/>
      <c r="C135" s="23"/>
      <c r="D135" s="23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S135" s="60"/>
      <c r="U135" s="60"/>
      <c r="V135" s="60"/>
      <c r="W135" s="60"/>
      <c r="Y135" s="60"/>
      <c r="Z135" s="60"/>
      <c r="AC135" s="60"/>
      <c r="AD135" s="60"/>
      <c r="AF135" s="60"/>
      <c r="AH135" s="60"/>
      <c r="AJ135" s="60"/>
      <c r="AL135" s="60"/>
      <c r="AM135" s="60"/>
      <c r="AN135" s="60"/>
      <c r="AO135" s="60"/>
      <c r="AT135" s="60"/>
      <c r="AU135" s="60"/>
      <c r="AY135" s="60"/>
      <c r="BD135" s="60"/>
      <c r="BG135" s="60"/>
      <c r="BH135" s="60"/>
      <c r="BI135" s="60"/>
      <c r="BL135" s="60"/>
      <c r="BN135" s="60"/>
    </row>
    <row r="136" spans="2:74" x14ac:dyDescent="0.25">
      <c r="B136" s="64"/>
      <c r="C136" s="23"/>
      <c r="D136" s="23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S136" s="60"/>
      <c r="U136" s="60"/>
      <c r="V136" s="60"/>
      <c r="W136" s="60"/>
      <c r="Y136" s="60"/>
      <c r="Z136" s="60"/>
      <c r="AB136" s="60"/>
      <c r="AC136" s="60"/>
      <c r="AD136" s="60"/>
      <c r="AF136" s="60"/>
      <c r="AH136" s="60"/>
      <c r="AJ136" s="60"/>
      <c r="AL136" s="60"/>
      <c r="AM136" s="60"/>
      <c r="AN136" s="60"/>
      <c r="AO136" s="60"/>
      <c r="AT136" s="60"/>
      <c r="AU136" s="60"/>
      <c r="AY136" s="60"/>
      <c r="BD136" s="60"/>
      <c r="BG136" s="60"/>
      <c r="BH136" s="60"/>
      <c r="BI136" s="60"/>
      <c r="BL136" s="60"/>
      <c r="BN136" s="60"/>
    </row>
    <row r="137" spans="2:74" x14ac:dyDescent="0.25">
      <c r="B137" s="64"/>
      <c r="C137" s="23"/>
      <c r="D137" s="23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S137" s="60"/>
      <c r="U137" s="60"/>
      <c r="V137" s="60"/>
      <c r="W137" s="60"/>
      <c r="Y137" s="60"/>
      <c r="Z137" s="60"/>
      <c r="AB137" s="60"/>
      <c r="AC137" s="60"/>
      <c r="AD137" s="60"/>
      <c r="AF137" s="60"/>
      <c r="AH137" s="60"/>
      <c r="AJ137" s="60"/>
      <c r="AL137" s="60"/>
      <c r="AM137" s="60"/>
      <c r="AN137" s="60"/>
      <c r="AO137" s="60"/>
      <c r="AT137" s="60"/>
      <c r="AU137" s="60"/>
      <c r="AY137" s="60"/>
      <c r="BD137" s="60"/>
      <c r="BG137" s="60"/>
      <c r="BH137" s="60"/>
      <c r="BI137" s="60"/>
      <c r="BL137" s="60"/>
      <c r="BN137" s="60"/>
    </row>
    <row r="138" spans="2:74" x14ac:dyDescent="0.25">
      <c r="B138" s="64"/>
      <c r="C138" s="23"/>
      <c r="D138" s="23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S138" s="60"/>
      <c r="U138" s="60"/>
      <c r="V138" s="60"/>
      <c r="W138" s="60"/>
      <c r="Y138" s="60"/>
      <c r="Z138" s="60"/>
      <c r="AA138" s="60"/>
      <c r="AB138" s="60"/>
      <c r="AC138" s="60"/>
      <c r="AD138" s="60"/>
      <c r="AF138" s="60"/>
      <c r="AH138" s="60"/>
      <c r="AJ138" s="60"/>
      <c r="AL138" s="60"/>
      <c r="AM138" s="60"/>
      <c r="AN138" s="60"/>
      <c r="AO138" s="60"/>
      <c r="AT138" s="60"/>
      <c r="AU138" s="60"/>
      <c r="AY138" s="60"/>
      <c r="BD138" s="60"/>
      <c r="BG138" s="60"/>
      <c r="BH138" s="60"/>
      <c r="BI138" s="60"/>
      <c r="BL138" s="60"/>
      <c r="BN138" s="60"/>
      <c r="BP138" s="60"/>
      <c r="BQ138" s="60"/>
      <c r="BR138" s="60"/>
      <c r="BS138" s="60"/>
      <c r="BT138" s="60"/>
      <c r="BU138" s="60"/>
      <c r="BV138" s="60"/>
    </row>
    <row r="139" spans="2:74" x14ac:dyDescent="0.25">
      <c r="B139" s="64"/>
      <c r="C139" s="23"/>
      <c r="D139" s="23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4"/>
  <sheetViews>
    <sheetView topLeftCell="A4" workbookViewId="0">
      <pane xSplit="3" ySplit="5" topLeftCell="D9" activePane="bottomRight" state="frozen"/>
      <selection activeCell="A4" sqref="A4"/>
      <selection pane="topRight" activeCell="D4" sqref="D4"/>
      <selection pane="bottomLeft" activeCell="A9" sqref="A9"/>
      <selection pane="bottomRight" activeCell="F31" sqref="F31"/>
    </sheetView>
  </sheetViews>
  <sheetFormatPr defaultRowHeight="15" x14ac:dyDescent="0.25"/>
  <cols>
    <col min="1" max="1" width="13.7109375" customWidth="1"/>
    <col min="2" max="2" width="27.85546875" customWidth="1"/>
    <col min="3" max="3" width="14.140625" customWidth="1"/>
    <col min="4" max="4" width="14.140625" style="162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3" t="s">
        <v>3</v>
      </c>
      <c r="B1" s="4" t="s">
        <v>153</v>
      </c>
      <c r="C1" s="5" t="s">
        <v>155</v>
      </c>
      <c r="D1" s="5"/>
      <c r="E1" s="6" t="s">
        <v>149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4" x14ac:dyDescent="0.25">
      <c r="A2" s="3" t="s">
        <v>5</v>
      </c>
      <c r="B2" s="7">
        <v>41291</v>
      </c>
      <c r="C2" s="8"/>
      <c r="D2" s="8"/>
      <c r="E2" s="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4" ht="28.5" customHeight="1" x14ac:dyDescent="0.25">
      <c r="A3" s="3" t="s">
        <v>6</v>
      </c>
      <c r="B3" s="10" t="s">
        <v>7</v>
      </c>
      <c r="C3" s="1" t="s">
        <v>8</v>
      </c>
      <c r="D3" s="12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4" x14ac:dyDescent="0.25">
      <c r="A4" s="3" t="s">
        <v>9</v>
      </c>
      <c r="B4" s="11" t="s">
        <v>10</v>
      </c>
      <c r="C4" s="1" t="s">
        <v>11</v>
      </c>
      <c r="D4" s="12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4" ht="15" customHeight="1" x14ac:dyDescent="0.25">
      <c r="A5" s="3" t="s">
        <v>12</v>
      </c>
      <c r="B5" s="11" t="s">
        <v>13</v>
      </c>
      <c r="C5" s="17" t="s">
        <v>14</v>
      </c>
      <c r="D5" s="110"/>
      <c r="E5" s="1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4" x14ac:dyDescent="0.25">
      <c r="A6" s="1" t="s">
        <v>150</v>
      </c>
      <c r="B6" s="19"/>
      <c r="C6" s="19"/>
      <c r="D6" s="19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s="1"/>
      <c r="B7" s="1"/>
      <c r="C7" s="1"/>
      <c r="D7" s="124"/>
      <c r="E7" s="1" t="s">
        <v>15</v>
      </c>
      <c r="F7" s="14" t="s">
        <v>16</v>
      </c>
      <c r="G7" s="14" t="s">
        <v>17</v>
      </c>
      <c r="H7" s="1" t="s">
        <v>18</v>
      </c>
      <c r="I7" s="1" t="s">
        <v>19</v>
      </c>
      <c r="J7" s="1" t="s">
        <v>20</v>
      </c>
      <c r="K7" s="1" t="s">
        <v>21</v>
      </c>
      <c r="L7" s="1" t="s">
        <v>22</v>
      </c>
      <c r="M7" s="1" t="s">
        <v>23</v>
      </c>
      <c r="N7" s="1" t="s">
        <v>24</v>
      </c>
      <c r="O7" s="1" t="s">
        <v>25</v>
      </c>
      <c r="P7" s="1" t="s">
        <v>26</v>
      </c>
      <c r="Q7" s="1" t="s">
        <v>27</v>
      </c>
      <c r="R7" s="1" t="s">
        <v>28</v>
      </c>
      <c r="S7" s="1" t="s">
        <v>29</v>
      </c>
      <c r="T7" s="1" t="s">
        <v>30</v>
      </c>
      <c r="U7" s="1" t="s">
        <v>31</v>
      </c>
      <c r="V7" s="1" t="s">
        <v>32</v>
      </c>
      <c r="W7" s="1" t="s">
        <v>33</v>
      </c>
      <c r="X7" s="1" t="s">
        <v>34</v>
      </c>
      <c r="Y7" s="1" t="s">
        <v>35</v>
      </c>
      <c r="Z7" s="1" t="s">
        <v>36</v>
      </c>
      <c r="AA7" s="1" t="s">
        <v>37</v>
      </c>
      <c r="AB7" s="1" t="s">
        <v>38</v>
      </c>
      <c r="AC7" s="1" t="s">
        <v>39</v>
      </c>
      <c r="AD7" s="1" t="s">
        <v>40</v>
      </c>
      <c r="AE7" s="1" t="s">
        <v>41</v>
      </c>
      <c r="AF7" s="1" t="s">
        <v>42</v>
      </c>
      <c r="AG7" s="1" t="s">
        <v>43</v>
      </c>
      <c r="AH7" s="1" t="s">
        <v>44</v>
      </c>
      <c r="AI7" s="1" t="s">
        <v>45</v>
      </c>
      <c r="AJ7" s="1" t="s">
        <v>46</v>
      </c>
      <c r="AK7" s="1" t="s">
        <v>47</v>
      </c>
      <c r="AL7" s="1" t="s">
        <v>48</v>
      </c>
      <c r="AM7" s="124" t="s">
        <v>190</v>
      </c>
      <c r="AN7" s="124" t="s">
        <v>191</v>
      </c>
      <c r="AO7" s="124" t="s">
        <v>192</v>
      </c>
      <c r="AP7" s="124" t="s">
        <v>49</v>
      </c>
      <c r="AQ7" s="124" t="s">
        <v>50</v>
      </c>
      <c r="AR7" s="124" t="s">
        <v>51</v>
      </c>
      <c r="AS7" s="124" t="s">
        <v>52</v>
      </c>
      <c r="AT7" s="124" t="s">
        <v>53</v>
      </c>
      <c r="AU7" s="124" t="s">
        <v>54</v>
      </c>
      <c r="AV7" s="124" t="s">
        <v>55</v>
      </c>
      <c r="AW7" s="124" t="s">
        <v>56</v>
      </c>
      <c r="AX7" s="124" t="s">
        <v>57</v>
      </c>
      <c r="AY7" s="124" t="s">
        <v>58</v>
      </c>
      <c r="AZ7" s="124" t="s">
        <v>59</v>
      </c>
      <c r="BA7" s="124" t="s">
        <v>60</v>
      </c>
      <c r="BB7" s="124" t="s">
        <v>61</v>
      </c>
      <c r="BC7" s="124" t="s">
        <v>62</v>
      </c>
      <c r="BD7" s="124" t="s">
        <v>63</v>
      </c>
      <c r="BE7" s="124" t="s">
        <v>193</v>
      </c>
      <c r="BF7" s="124" t="s">
        <v>194</v>
      </c>
      <c r="BG7" s="124" t="s">
        <v>195</v>
      </c>
      <c r="BH7" s="124" t="s">
        <v>196</v>
      </c>
      <c r="BI7" s="124" t="s">
        <v>197</v>
      </c>
      <c r="BJ7" s="1" t="s">
        <v>64</v>
      </c>
      <c r="BK7" s="1" t="s">
        <v>65</v>
      </c>
      <c r="BL7" s="1" t="s">
        <v>66</v>
      </c>
      <c r="BM7" s="1" t="s">
        <v>67</v>
      </c>
      <c r="BN7" s="1" t="s">
        <v>68</v>
      </c>
      <c r="BO7" s="1" t="s">
        <v>69</v>
      </c>
      <c r="BP7" s="1" t="s">
        <v>70</v>
      </c>
      <c r="BQ7" s="1" t="s">
        <v>71</v>
      </c>
      <c r="BR7" s="1" t="s">
        <v>72</v>
      </c>
      <c r="BS7" s="1" t="s">
        <v>73</v>
      </c>
      <c r="BT7" s="1" t="s">
        <v>74</v>
      </c>
      <c r="BU7" s="1" t="s">
        <v>75</v>
      </c>
      <c r="BV7" s="1" t="s">
        <v>76</v>
      </c>
    </row>
    <row r="8" spans="1:74" s="13" customFormat="1" x14ac:dyDescent="0.25">
      <c r="A8" s="8" t="s">
        <v>77</v>
      </c>
      <c r="B8" s="16" t="s">
        <v>1</v>
      </c>
      <c r="C8" s="8" t="s">
        <v>148</v>
      </c>
      <c r="D8" s="8" t="s">
        <v>2</v>
      </c>
      <c r="E8" s="8" t="s">
        <v>78</v>
      </c>
      <c r="F8" s="15" t="s">
        <v>79</v>
      </c>
      <c r="G8" s="8" t="s">
        <v>80</v>
      </c>
      <c r="H8" s="8" t="s">
        <v>81</v>
      </c>
      <c r="I8" s="8" t="s">
        <v>82</v>
      </c>
      <c r="J8" s="8" t="s">
        <v>83</v>
      </c>
      <c r="K8" s="8" t="s">
        <v>84</v>
      </c>
      <c r="L8" s="8" t="s">
        <v>85</v>
      </c>
      <c r="M8" s="8" t="s">
        <v>86</v>
      </c>
      <c r="N8" s="8" t="s">
        <v>87</v>
      </c>
      <c r="O8" s="8" t="s">
        <v>88</v>
      </c>
      <c r="P8" s="8" t="s">
        <v>89</v>
      </c>
      <c r="Q8" s="8" t="s">
        <v>90</v>
      </c>
      <c r="R8" s="8" t="s">
        <v>91</v>
      </c>
      <c r="S8" s="8" t="s">
        <v>92</v>
      </c>
      <c r="T8" s="8" t="s">
        <v>93</v>
      </c>
      <c r="U8" s="8" t="s">
        <v>94</v>
      </c>
      <c r="V8" s="8" t="s">
        <v>95</v>
      </c>
      <c r="W8" s="8" t="s">
        <v>96</v>
      </c>
      <c r="X8" s="8" t="s">
        <v>97</v>
      </c>
      <c r="Y8" s="8" t="s">
        <v>98</v>
      </c>
      <c r="Z8" s="8" t="s">
        <v>99</v>
      </c>
      <c r="AA8" s="8" t="s">
        <v>100</v>
      </c>
      <c r="AB8" s="8" t="s">
        <v>101</v>
      </c>
      <c r="AC8" s="8" t="s">
        <v>102</v>
      </c>
      <c r="AD8" s="8" t="s">
        <v>103</v>
      </c>
      <c r="AE8" s="8" t="s">
        <v>104</v>
      </c>
      <c r="AF8" s="8" t="s">
        <v>105</v>
      </c>
      <c r="AG8" s="8" t="s">
        <v>106</v>
      </c>
      <c r="AH8" s="8" t="s">
        <v>107</v>
      </c>
      <c r="AI8" s="8" t="s">
        <v>108</v>
      </c>
      <c r="AJ8" s="8" t="s">
        <v>109</v>
      </c>
      <c r="AK8" s="8" t="s">
        <v>110</v>
      </c>
      <c r="AL8" s="8" t="s">
        <v>111</v>
      </c>
      <c r="AM8" s="8" t="s">
        <v>112</v>
      </c>
      <c r="AN8" s="8" t="s">
        <v>113</v>
      </c>
      <c r="AO8" s="8" t="s">
        <v>114</v>
      </c>
      <c r="AP8" s="8" t="s">
        <v>115</v>
      </c>
      <c r="AQ8" s="8" t="s">
        <v>116</v>
      </c>
      <c r="AR8" s="8" t="s">
        <v>117</v>
      </c>
      <c r="AS8" s="8" t="s">
        <v>118</v>
      </c>
      <c r="AT8" s="8" t="s">
        <v>119</v>
      </c>
      <c r="AU8" s="8" t="s">
        <v>120</v>
      </c>
      <c r="AV8" s="8" t="s">
        <v>121</v>
      </c>
      <c r="AW8" s="8" t="s">
        <v>122</v>
      </c>
      <c r="AX8" s="8" t="s">
        <v>123</v>
      </c>
      <c r="AY8" s="8" t="s">
        <v>124</v>
      </c>
      <c r="AZ8" s="8" t="s">
        <v>125</v>
      </c>
      <c r="BA8" s="8" t="s">
        <v>126</v>
      </c>
      <c r="BB8" s="8" t="s">
        <v>127</v>
      </c>
      <c r="BC8" s="8" t="s">
        <v>128</v>
      </c>
      <c r="BD8" s="8" t="s">
        <v>129</v>
      </c>
      <c r="BE8" s="8" t="s">
        <v>130</v>
      </c>
      <c r="BF8" s="8" t="s">
        <v>131</v>
      </c>
      <c r="BG8" s="8" t="s">
        <v>132</v>
      </c>
      <c r="BH8" s="8" t="s">
        <v>133</v>
      </c>
      <c r="BI8" s="8" t="s">
        <v>134</v>
      </c>
      <c r="BJ8" s="8" t="s">
        <v>135</v>
      </c>
      <c r="BK8" s="8" t="s">
        <v>136</v>
      </c>
      <c r="BL8" s="8" t="s">
        <v>137</v>
      </c>
      <c r="BM8" s="8" t="s">
        <v>138</v>
      </c>
      <c r="BN8" s="8" t="s">
        <v>139</v>
      </c>
      <c r="BO8" s="8" t="s">
        <v>140</v>
      </c>
      <c r="BP8" s="8" t="s">
        <v>141</v>
      </c>
      <c r="BQ8" s="8" t="s">
        <v>142</v>
      </c>
      <c r="BR8" s="8" t="s">
        <v>143</v>
      </c>
      <c r="BS8" s="8" t="s">
        <v>144</v>
      </c>
      <c r="BT8" s="8" t="s">
        <v>145</v>
      </c>
      <c r="BU8" s="8" t="s">
        <v>146</v>
      </c>
      <c r="BV8" s="8" t="s">
        <v>147</v>
      </c>
    </row>
    <row r="9" spans="1:74" s="18" customFormat="1" x14ac:dyDescent="0.25">
      <c r="A9" s="20">
        <v>41291</v>
      </c>
      <c r="B9" s="14">
        <f>A9-$B$2</f>
        <v>0</v>
      </c>
      <c r="C9" s="82" t="s">
        <v>183</v>
      </c>
      <c r="D9" s="223">
        <v>1</v>
      </c>
      <c r="E9" s="81" t="s">
        <v>158</v>
      </c>
      <c r="F9" s="24">
        <v>10.782400000000001</v>
      </c>
      <c r="G9" s="24">
        <v>59.172133333333335</v>
      </c>
      <c r="H9" s="81">
        <v>48.039066666666663</v>
      </c>
      <c r="I9" s="81">
        <v>75.642266666666671</v>
      </c>
      <c r="J9" s="81">
        <v>7.5004000000000017</v>
      </c>
      <c r="K9" s="81" t="s">
        <v>158</v>
      </c>
      <c r="L9" s="81" t="s">
        <v>158</v>
      </c>
      <c r="M9" s="81" t="s">
        <v>158</v>
      </c>
      <c r="N9" s="81" t="s">
        <v>158</v>
      </c>
      <c r="O9" s="81" t="s">
        <v>157</v>
      </c>
      <c r="P9" s="81" t="s">
        <v>157</v>
      </c>
      <c r="Q9" s="81" t="s">
        <v>157</v>
      </c>
      <c r="R9" s="81" t="s">
        <v>157</v>
      </c>
      <c r="S9" s="81" t="s">
        <v>157</v>
      </c>
      <c r="T9" s="81" t="s">
        <v>157</v>
      </c>
      <c r="U9" s="81">
        <v>27.841866666666665</v>
      </c>
      <c r="V9" s="81" t="s">
        <v>157</v>
      </c>
      <c r="W9" s="81" t="s">
        <v>157</v>
      </c>
      <c r="X9" s="81" t="s">
        <v>157</v>
      </c>
      <c r="Y9" s="81">
        <v>20.598000000000003</v>
      </c>
      <c r="Z9" s="81" t="s">
        <v>158</v>
      </c>
      <c r="AA9" s="81" t="s">
        <v>157</v>
      </c>
      <c r="AB9" s="81" t="s">
        <v>157</v>
      </c>
      <c r="AC9" s="81">
        <v>26.210000000000004</v>
      </c>
      <c r="AD9" s="81" t="s">
        <v>157</v>
      </c>
      <c r="AE9" s="81" t="s">
        <v>157</v>
      </c>
      <c r="AF9" s="81" t="s">
        <v>158</v>
      </c>
      <c r="AG9" s="81" t="s">
        <v>158</v>
      </c>
      <c r="AH9" s="81">
        <v>10.1088</v>
      </c>
      <c r="AI9" s="81" t="s">
        <v>157</v>
      </c>
      <c r="AJ9" s="81">
        <v>75.015333333333317</v>
      </c>
      <c r="AK9" s="81" t="s">
        <v>157</v>
      </c>
      <c r="AL9" s="81" t="s">
        <v>157</v>
      </c>
      <c r="AM9" s="81" t="s">
        <v>157</v>
      </c>
      <c r="AN9" s="81">
        <v>4.3078666666666665</v>
      </c>
      <c r="AO9" s="81" t="s">
        <v>158</v>
      </c>
      <c r="AP9" s="81" t="s">
        <v>157</v>
      </c>
      <c r="AQ9" s="81" t="s">
        <v>157</v>
      </c>
      <c r="AR9" s="81" t="s">
        <v>157</v>
      </c>
      <c r="AS9" s="81" t="s">
        <v>157</v>
      </c>
      <c r="AT9" s="81" t="s">
        <v>157</v>
      </c>
      <c r="AU9" s="81" t="s">
        <v>158</v>
      </c>
      <c r="AV9" s="81" t="s">
        <v>157</v>
      </c>
      <c r="AW9" s="81" t="s">
        <v>157</v>
      </c>
      <c r="AX9" s="81" t="s">
        <v>157</v>
      </c>
      <c r="AY9" s="81" t="s">
        <v>157</v>
      </c>
      <c r="AZ9" s="81" t="s">
        <v>157</v>
      </c>
      <c r="BA9" s="81" t="s">
        <v>157</v>
      </c>
      <c r="BB9" s="81" t="s">
        <v>157</v>
      </c>
      <c r="BC9" s="81" t="s">
        <v>157</v>
      </c>
      <c r="BD9" s="81">
        <v>4.2723999999999993</v>
      </c>
      <c r="BE9" s="81" t="s">
        <v>157</v>
      </c>
      <c r="BF9" s="81" t="s">
        <v>157</v>
      </c>
      <c r="BG9" s="81" t="s">
        <v>157</v>
      </c>
      <c r="BH9" s="81" t="s">
        <v>157</v>
      </c>
      <c r="BI9" s="81" t="s">
        <v>157</v>
      </c>
      <c r="BJ9" s="81" t="s">
        <v>157</v>
      </c>
      <c r="BK9" s="81" t="s">
        <v>157</v>
      </c>
      <c r="BL9" s="81">
        <v>111.5016</v>
      </c>
      <c r="BM9" s="81">
        <v>101.46026666666667</v>
      </c>
      <c r="BN9" s="81">
        <v>28.039466666666669</v>
      </c>
      <c r="BO9" s="81">
        <v>11.535200000000001</v>
      </c>
      <c r="BP9" s="81">
        <v>6.3247999999999998</v>
      </c>
      <c r="BQ9" s="81" t="s">
        <v>157</v>
      </c>
      <c r="BR9" s="81" t="s">
        <v>157</v>
      </c>
      <c r="BS9" s="81" t="s">
        <v>157</v>
      </c>
      <c r="BT9" s="81" t="s">
        <v>157</v>
      </c>
      <c r="BU9" s="81" t="s">
        <v>157</v>
      </c>
      <c r="BV9" s="81">
        <v>6.9371999999999998</v>
      </c>
    </row>
    <row r="10" spans="1:74" s="18" customFormat="1" x14ac:dyDescent="0.25">
      <c r="A10" s="20">
        <v>41298</v>
      </c>
      <c r="B10" s="14">
        <f t="shared" ref="B10:B27" si="0">A10-$B$2</f>
        <v>7</v>
      </c>
      <c r="C10" s="76"/>
      <c r="D10" s="223">
        <v>1</v>
      </c>
      <c r="E10" s="76"/>
      <c r="F10" s="77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</row>
    <row r="11" spans="1:74" x14ac:dyDescent="0.25">
      <c r="A11" s="21">
        <v>41305</v>
      </c>
      <c r="B11" s="14">
        <f t="shared" si="0"/>
        <v>14</v>
      </c>
      <c r="C11" s="82" t="s">
        <v>183</v>
      </c>
      <c r="D11" s="223">
        <v>1</v>
      </c>
      <c r="E11" s="81">
        <v>33.207999999999998</v>
      </c>
      <c r="F11" s="81">
        <v>22.103200000000001</v>
      </c>
      <c r="G11" s="81">
        <v>123.97519999999999</v>
      </c>
      <c r="H11" s="81">
        <v>51.029999999999994</v>
      </c>
      <c r="I11" s="81">
        <v>67.989599999999996</v>
      </c>
      <c r="J11" s="81">
        <v>3.6983999999999999</v>
      </c>
      <c r="K11" s="81" t="s">
        <v>158</v>
      </c>
      <c r="L11" s="81" t="s">
        <v>158</v>
      </c>
      <c r="M11" s="81" t="s">
        <v>158</v>
      </c>
      <c r="N11" s="81" t="s">
        <v>158</v>
      </c>
      <c r="O11" s="81" t="s">
        <v>157</v>
      </c>
      <c r="P11" s="81" t="s">
        <v>157</v>
      </c>
      <c r="Q11" s="81" t="s">
        <v>157</v>
      </c>
      <c r="R11" s="81" t="s">
        <v>157</v>
      </c>
      <c r="S11" s="81" t="s">
        <v>157</v>
      </c>
      <c r="T11" s="81" t="s">
        <v>157</v>
      </c>
      <c r="U11" s="81" t="s">
        <v>158</v>
      </c>
      <c r="V11" s="81" t="s">
        <v>157</v>
      </c>
      <c r="W11" s="81" t="s">
        <v>157</v>
      </c>
      <c r="X11" s="81" t="s">
        <v>157</v>
      </c>
      <c r="Y11" s="81" t="s">
        <v>157</v>
      </c>
      <c r="Z11" s="81" t="s">
        <v>157</v>
      </c>
      <c r="AA11" s="81" t="s">
        <v>157</v>
      </c>
      <c r="AB11" s="81" t="s">
        <v>157</v>
      </c>
      <c r="AC11" s="81">
        <v>7.6647999999999996</v>
      </c>
      <c r="AD11" s="81" t="s">
        <v>157</v>
      </c>
      <c r="AE11" s="81" t="s">
        <v>157</v>
      </c>
      <c r="AF11" s="81">
        <v>4.4899999999999993</v>
      </c>
      <c r="AG11" s="81" t="s">
        <v>157</v>
      </c>
      <c r="AH11" s="81">
        <v>5.8245999999999993</v>
      </c>
      <c r="AI11" s="81" t="s">
        <v>157</v>
      </c>
      <c r="AJ11" s="81">
        <v>24.063999999999997</v>
      </c>
      <c r="AK11" s="81" t="s">
        <v>157</v>
      </c>
      <c r="AL11" s="81" t="s">
        <v>157</v>
      </c>
      <c r="AM11" s="81" t="s">
        <v>157</v>
      </c>
      <c r="AN11" s="81">
        <v>3.9561999999999995</v>
      </c>
      <c r="AO11" s="81" t="s">
        <v>158</v>
      </c>
      <c r="AP11" s="81" t="s">
        <v>157</v>
      </c>
      <c r="AQ11" s="81" t="s">
        <v>157</v>
      </c>
      <c r="AR11" s="81" t="s">
        <v>157</v>
      </c>
      <c r="AS11" s="81" t="s">
        <v>157</v>
      </c>
      <c r="AT11" s="81" t="s">
        <v>157</v>
      </c>
      <c r="AU11" s="81">
        <v>2.0219999999999998</v>
      </c>
      <c r="AV11" s="81" t="s">
        <v>157</v>
      </c>
      <c r="AW11" s="81" t="s">
        <v>157</v>
      </c>
      <c r="AX11" s="81" t="s">
        <v>157</v>
      </c>
      <c r="AY11" s="81" t="s">
        <v>157</v>
      </c>
      <c r="AZ11" s="81" t="s">
        <v>157</v>
      </c>
      <c r="BA11" s="81" t="s">
        <v>157</v>
      </c>
      <c r="BB11" s="81" t="s">
        <v>157</v>
      </c>
      <c r="BC11" s="81" t="s">
        <v>157</v>
      </c>
      <c r="BD11" s="81">
        <v>2.4359999999999999</v>
      </c>
      <c r="BE11" s="81" t="s">
        <v>157</v>
      </c>
      <c r="BF11" s="81" t="s">
        <v>157</v>
      </c>
      <c r="BG11" s="81" t="s">
        <v>157</v>
      </c>
      <c r="BH11" s="81" t="s">
        <v>157</v>
      </c>
      <c r="BI11" s="81" t="s">
        <v>157</v>
      </c>
      <c r="BJ11" s="81" t="s">
        <v>157</v>
      </c>
      <c r="BK11" s="81" t="s">
        <v>157</v>
      </c>
      <c r="BL11" s="81">
        <v>98.6858</v>
      </c>
      <c r="BM11" s="81">
        <v>126.10799999999999</v>
      </c>
      <c r="BN11" s="81">
        <v>243.09959999999995</v>
      </c>
      <c r="BO11" s="81">
        <v>25.652799999999999</v>
      </c>
      <c r="BP11" s="81">
        <v>11.6816</v>
      </c>
      <c r="BQ11" s="81" t="s">
        <v>157</v>
      </c>
      <c r="BR11" s="81" t="s">
        <v>157</v>
      </c>
      <c r="BS11" s="81" t="s">
        <v>157</v>
      </c>
      <c r="BT11" s="81" t="s">
        <v>157</v>
      </c>
      <c r="BU11" s="81" t="s">
        <v>157</v>
      </c>
      <c r="BV11" s="81">
        <v>9.5811999999999991</v>
      </c>
    </row>
    <row r="12" spans="1:74" x14ac:dyDescent="0.25">
      <c r="A12" s="21">
        <v>41311</v>
      </c>
      <c r="B12" s="14">
        <f t="shared" si="0"/>
        <v>20</v>
      </c>
      <c r="C12" s="74"/>
      <c r="D12" s="223">
        <v>1</v>
      </c>
      <c r="E12" s="74"/>
      <c r="F12" s="76"/>
      <c r="G12" s="76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</row>
    <row r="13" spans="1:74" x14ac:dyDescent="0.25">
      <c r="A13" s="21">
        <v>41318</v>
      </c>
      <c r="B13" s="14">
        <f t="shared" si="0"/>
        <v>27</v>
      </c>
      <c r="C13" s="83" t="s">
        <v>184</v>
      </c>
      <c r="D13" s="223">
        <v>1</v>
      </c>
      <c r="E13" s="81">
        <v>32.239999999999995</v>
      </c>
      <c r="F13" s="81">
        <v>21.9328</v>
      </c>
      <c r="G13" s="81">
        <v>97.038933333333333</v>
      </c>
      <c r="H13" s="81">
        <v>43.547599999999996</v>
      </c>
      <c r="I13" s="81">
        <v>71.317733333333322</v>
      </c>
      <c r="J13" s="81">
        <v>7.02</v>
      </c>
      <c r="K13" s="81" t="s">
        <v>158</v>
      </c>
      <c r="L13" s="81" t="s">
        <v>158</v>
      </c>
      <c r="M13" s="81" t="s">
        <v>158</v>
      </c>
      <c r="N13" s="81" t="s">
        <v>158</v>
      </c>
      <c r="O13" s="81" t="s">
        <v>157</v>
      </c>
      <c r="P13" s="81" t="s">
        <v>157</v>
      </c>
      <c r="Q13" s="81" t="s">
        <v>157</v>
      </c>
      <c r="R13" s="81" t="s">
        <v>157</v>
      </c>
      <c r="S13" s="81" t="s">
        <v>157</v>
      </c>
      <c r="T13" s="81" t="s">
        <v>157</v>
      </c>
      <c r="U13" s="81" t="s">
        <v>157</v>
      </c>
      <c r="V13" s="81" t="s">
        <v>157</v>
      </c>
      <c r="W13" s="81" t="s">
        <v>157</v>
      </c>
      <c r="X13" s="81" t="s">
        <v>157</v>
      </c>
      <c r="Y13" s="81" t="s">
        <v>157</v>
      </c>
      <c r="Z13" s="81" t="s">
        <v>157</v>
      </c>
      <c r="AA13" s="81" t="s">
        <v>157</v>
      </c>
      <c r="AB13" s="81" t="s">
        <v>157</v>
      </c>
      <c r="AC13" s="81">
        <v>10.340399999999999</v>
      </c>
      <c r="AD13" s="81" t="s">
        <v>157</v>
      </c>
      <c r="AE13" s="81" t="s">
        <v>157</v>
      </c>
      <c r="AF13" s="81">
        <v>4.2359999999999998</v>
      </c>
      <c r="AG13" s="81" t="s">
        <v>158</v>
      </c>
      <c r="AH13" s="81">
        <v>11.826533333333332</v>
      </c>
      <c r="AI13" s="81" t="s">
        <v>157</v>
      </c>
      <c r="AJ13" s="81">
        <v>25.424400000000002</v>
      </c>
      <c r="AK13" s="81" t="s">
        <v>157</v>
      </c>
      <c r="AL13" s="81" t="s">
        <v>157</v>
      </c>
      <c r="AM13" s="81" t="s">
        <v>157</v>
      </c>
      <c r="AN13" s="81">
        <v>4.6637333333333331</v>
      </c>
      <c r="AO13" s="81" t="s">
        <v>158</v>
      </c>
      <c r="AP13" s="81" t="s">
        <v>157</v>
      </c>
      <c r="AQ13" s="81" t="s">
        <v>157</v>
      </c>
      <c r="AR13" s="81" t="s">
        <v>157</v>
      </c>
      <c r="AS13" s="81" t="s">
        <v>157</v>
      </c>
      <c r="AT13" s="81" t="s">
        <v>157</v>
      </c>
      <c r="AU13" s="81">
        <v>2.6667999999999998</v>
      </c>
      <c r="AV13" s="81" t="s">
        <v>157</v>
      </c>
      <c r="AW13" s="81" t="s">
        <v>157</v>
      </c>
      <c r="AX13" s="81" t="s">
        <v>157</v>
      </c>
      <c r="AY13" s="81" t="s">
        <v>157</v>
      </c>
      <c r="AZ13" s="81" t="s">
        <v>157</v>
      </c>
      <c r="BA13" s="81" t="s">
        <v>157</v>
      </c>
      <c r="BB13" s="81" t="s">
        <v>157</v>
      </c>
      <c r="BC13" s="81" t="s">
        <v>157</v>
      </c>
      <c r="BD13" s="81" t="s">
        <v>158</v>
      </c>
      <c r="BE13" s="81" t="s">
        <v>157</v>
      </c>
      <c r="BF13" s="81" t="s">
        <v>157</v>
      </c>
      <c r="BG13" s="81" t="s">
        <v>157</v>
      </c>
      <c r="BH13" s="81" t="s">
        <v>157</v>
      </c>
      <c r="BI13" s="81" t="s">
        <v>157</v>
      </c>
      <c r="BJ13" s="81" t="s">
        <v>157</v>
      </c>
      <c r="BK13" s="81" t="s">
        <v>157</v>
      </c>
      <c r="BL13" s="81">
        <v>32.298533333333332</v>
      </c>
      <c r="BM13" s="81">
        <v>79.432933333333338</v>
      </c>
      <c r="BN13" s="81">
        <v>72.47626666666666</v>
      </c>
      <c r="BO13" s="81">
        <v>16.620133333333332</v>
      </c>
      <c r="BP13" s="81">
        <v>5.5562666666666658</v>
      </c>
      <c r="BQ13" s="81" t="s">
        <v>157</v>
      </c>
      <c r="BR13" s="81" t="s">
        <v>157</v>
      </c>
      <c r="BS13" s="81" t="s">
        <v>157</v>
      </c>
      <c r="BT13" s="81" t="s">
        <v>157</v>
      </c>
      <c r="BU13" s="81" t="s">
        <v>157</v>
      </c>
      <c r="BV13" s="107">
        <v>3.8111999999999999</v>
      </c>
    </row>
    <row r="14" spans="1:74" x14ac:dyDescent="0.25">
      <c r="A14" s="21">
        <v>41326</v>
      </c>
      <c r="B14" s="14">
        <f t="shared" si="0"/>
        <v>35</v>
      </c>
      <c r="C14" s="74"/>
      <c r="D14" s="223">
        <v>1</v>
      </c>
      <c r="E14" s="74"/>
      <c r="F14" s="76"/>
      <c r="G14" s="76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</row>
    <row r="15" spans="1:74" x14ac:dyDescent="0.25">
      <c r="A15" s="21">
        <v>41332</v>
      </c>
      <c r="B15" s="14">
        <f t="shared" si="0"/>
        <v>41</v>
      </c>
      <c r="C15" s="74"/>
      <c r="D15" s="223">
        <v>1</v>
      </c>
      <c r="E15" s="74"/>
      <c r="F15" s="76"/>
      <c r="G15" s="76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</row>
    <row r="16" spans="1:74" x14ac:dyDescent="0.25">
      <c r="A16" s="21">
        <v>41339</v>
      </c>
      <c r="B16" s="14">
        <f t="shared" si="0"/>
        <v>48</v>
      </c>
      <c r="C16" s="74"/>
      <c r="D16" s="223">
        <v>1</v>
      </c>
      <c r="E16" s="74"/>
      <c r="F16" s="76"/>
      <c r="G16" s="76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</row>
    <row r="17" spans="1:74" x14ac:dyDescent="0.25">
      <c r="A17" s="21">
        <v>41353</v>
      </c>
      <c r="B17" s="14">
        <f t="shared" si="0"/>
        <v>62</v>
      </c>
      <c r="C17" s="83" t="s">
        <v>185</v>
      </c>
      <c r="D17" s="223">
        <v>1</v>
      </c>
      <c r="E17" s="81">
        <v>28.04</v>
      </c>
      <c r="F17" s="81">
        <v>20.7</v>
      </c>
      <c r="G17" s="81">
        <v>96.08</v>
      </c>
      <c r="H17" s="81">
        <v>56.68</v>
      </c>
      <c r="I17" s="81">
        <v>63.398999999999994</v>
      </c>
      <c r="J17" s="81">
        <v>4.1399999999999997</v>
      </c>
      <c r="K17" s="81" t="s">
        <v>158</v>
      </c>
      <c r="L17" s="81" t="s">
        <v>158</v>
      </c>
      <c r="M17" s="81" t="s">
        <v>157</v>
      </c>
      <c r="N17" s="81" t="s">
        <v>157</v>
      </c>
      <c r="O17" s="81" t="s">
        <v>157</v>
      </c>
      <c r="P17" s="81" t="s">
        <v>157</v>
      </c>
      <c r="Q17" s="81" t="s">
        <v>157</v>
      </c>
      <c r="R17" s="81" t="s">
        <v>157</v>
      </c>
      <c r="S17" s="81" t="s">
        <v>157</v>
      </c>
      <c r="T17" s="81" t="s">
        <v>157</v>
      </c>
      <c r="U17" s="81" t="s">
        <v>157</v>
      </c>
      <c r="V17" s="81" t="s">
        <v>157</v>
      </c>
      <c r="W17" s="81" t="s">
        <v>157</v>
      </c>
      <c r="X17" s="81" t="s">
        <v>157</v>
      </c>
      <c r="Y17" s="81" t="s">
        <v>157</v>
      </c>
      <c r="Z17" s="81" t="s">
        <v>157</v>
      </c>
      <c r="AA17" s="81" t="s">
        <v>157</v>
      </c>
      <c r="AB17" s="81" t="s">
        <v>157</v>
      </c>
      <c r="AC17" s="81">
        <v>11.1906</v>
      </c>
      <c r="AD17" s="81" t="s">
        <v>157</v>
      </c>
      <c r="AE17" s="81" t="s">
        <v>157</v>
      </c>
      <c r="AF17" s="81">
        <v>3.8800000000000003</v>
      </c>
      <c r="AG17" s="81" t="s">
        <v>158</v>
      </c>
      <c r="AH17" s="81">
        <v>14.240000000000002</v>
      </c>
      <c r="AI17" s="81" t="s">
        <v>157</v>
      </c>
      <c r="AJ17" s="81">
        <v>10.102133333333333</v>
      </c>
      <c r="AK17" s="81" t="s">
        <v>157</v>
      </c>
      <c r="AL17" s="81" t="s">
        <v>157</v>
      </c>
      <c r="AM17" s="81" t="s">
        <v>157</v>
      </c>
      <c r="AN17" s="81">
        <v>7.8970666666666665</v>
      </c>
      <c r="AO17" s="81" t="s">
        <v>157</v>
      </c>
      <c r="AP17" s="81" t="s">
        <v>157</v>
      </c>
      <c r="AQ17" s="81" t="s">
        <v>157</v>
      </c>
      <c r="AR17" s="81" t="s">
        <v>157</v>
      </c>
      <c r="AS17" s="81" t="s">
        <v>157</v>
      </c>
      <c r="AT17" s="81" t="s">
        <v>157</v>
      </c>
      <c r="AU17" s="81">
        <v>3.8575999999999997</v>
      </c>
      <c r="AV17" s="81" t="s">
        <v>157</v>
      </c>
      <c r="AW17" s="81" t="s">
        <v>157</v>
      </c>
      <c r="AX17" s="81" t="s">
        <v>157</v>
      </c>
      <c r="AY17" s="81" t="s">
        <v>157</v>
      </c>
      <c r="AZ17" s="81" t="s">
        <v>157</v>
      </c>
      <c r="BA17" s="81" t="s">
        <v>157</v>
      </c>
      <c r="BB17" s="81" t="s">
        <v>157</v>
      </c>
      <c r="BC17" s="81" t="s">
        <v>157</v>
      </c>
      <c r="BD17" s="81" t="s">
        <v>157</v>
      </c>
      <c r="BE17" s="81" t="s">
        <v>157</v>
      </c>
      <c r="BF17" s="81" t="s">
        <v>157</v>
      </c>
      <c r="BG17" s="81" t="s">
        <v>157</v>
      </c>
      <c r="BH17" s="81" t="s">
        <v>157</v>
      </c>
      <c r="BI17" s="81" t="s">
        <v>157</v>
      </c>
      <c r="BJ17" s="81" t="s">
        <v>157</v>
      </c>
      <c r="BK17" s="81" t="s">
        <v>157</v>
      </c>
      <c r="BL17" s="81">
        <v>10.026266666666666</v>
      </c>
      <c r="BM17" s="81">
        <v>23.988400000000002</v>
      </c>
      <c r="BN17" s="81">
        <v>34.44906666666666</v>
      </c>
      <c r="BO17" s="81">
        <v>9.5245999999999995</v>
      </c>
      <c r="BP17" s="81">
        <v>3.5712000000000002</v>
      </c>
      <c r="BQ17" s="81" t="s">
        <v>157</v>
      </c>
      <c r="BR17" s="81" t="s">
        <v>157</v>
      </c>
      <c r="BS17" s="81" t="s">
        <v>157</v>
      </c>
      <c r="BT17" s="81" t="s">
        <v>157</v>
      </c>
      <c r="BU17" s="81" t="s">
        <v>157</v>
      </c>
      <c r="BV17" s="104">
        <v>3.4533333333333331</v>
      </c>
    </row>
    <row r="18" spans="1:74" x14ac:dyDescent="0.25">
      <c r="A18" s="21">
        <v>41367</v>
      </c>
      <c r="B18" s="14">
        <f t="shared" si="0"/>
        <v>76</v>
      </c>
      <c r="C18" s="74"/>
      <c r="D18" s="223">
        <v>1</v>
      </c>
      <c r="E18" s="74"/>
      <c r="F18" s="76"/>
      <c r="G18" s="76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</row>
    <row r="19" spans="1:74" x14ac:dyDescent="0.25">
      <c r="A19" s="21">
        <v>41381</v>
      </c>
      <c r="B19" s="14">
        <f t="shared" si="0"/>
        <v>90</v>
      </c>
      <c r="C19" s="82" t="s">
        <v>186</v>
      </c>
      <c r="D19" s="223">
        <v>1</v>
      </c>
      <c r="E19" s="81">
        <v>28.08</v>
      </c>
      <c r="F19" s="81">
        <v>36.933333333333337</v>
      </c>
      <c r="G19" s="206"/>
      <c r="H19" s="81">
        <v>72.052399999999992</v>
      </c>
      <c r="I19" s="81">
        <v>85.148533333333333</v>
      </c>
      <c r="J19" s="138">
        <v>6.0928000000000004</v>
      </c>
      <c r="K19" s="81" t="s">
        <v>158</v>
      </c>
      <c r="L19" s="81" t="s">
        <v>158</v>
      </c>
      <c r="M19" s="81" t="s">
        <v>158</v>
      </c>
      <c r="N19" s="81" t="s">
        <v>157</v>
      </c>
      <c r="O19" s="81" t="s">
        <v>157</v>
      </c>
      <c r="P19" s="81" t="s">
        <v>157</v>
      </c>
      <c r="Q19" s="81" t="s">
        <v>157</v>
      </c>
      <c r="R19" s="81" t="s">
        <v>157</v>
      </c>
      <c r="S19" s="81" t="s">
        <v>157</v>
      </c>
      <c r="T19" s="81" t="s">
        <v>157</v>
      </c>
      <c r="U19" s="81" t="s">
        <v>157</v>
      </c>
      <c r="V19" s="81" t="s">
        <v>157</v>
      </c>
      <c r="W19" s="81" t="s">
        <v>157</v>
      </c>
      <c r="X19" s="81" t="s">
        <v>157</v>
      </c>
      <c r="Y19" s="81" t="s">
        <v>157</v>
      </c>
      <c r="Z19" s="81" t="s">
        <v>157</v>
      </c>
      <c r="AA19" s="81" t="s">
        <v>157</v>
      </c>
      <c r="AB19" s="81" t="s">
        <v>157</v>
      </c>
      <c r="AC19" s="81">
        <v>11.1844</v>
      </c>
      <c r="AD19" s="81" t="s">
        <v>157</v>
      </c>
      <c r="AE19" s="81" t="s">
        <v>157</v>
      </c>
      <c r="AF19" s="81">
        <v>7.0570666666666675</v>
      </c>
      <c r="AG19" s="81" t="s">
        <v>158</v>
      </c>
      <c r="AH19" s="81">
        <v>9.9755333333333329</v>
      </c>
      <c r="AI19" s="81" t="s">
        <v>157</v>
      </c>
      <c r="AJ19" s="81"/>
      <c r="AK19" s="81" t="s">
        <v>157</v>
      </c>
      <c r="AL19" s="81" t="s">
        <v>157</v>
      </c>
      <c r="AM19" s="81" t="s">
        <v>157</v>
      </c>
      <c r="AN19" s="81">
        <v>7.7451999999999996</v>
      </c>
      <c r="AO19" s="81" t="s">
        <v>158</v>
      </c>
      <c r="AP19" s="81" t="s">
        <v>157</v>
      </c>
      <c r="AQ19" s="81" t="s">
        <v>157</v>
      </c>
      <c r="AR19" s="81" t="s">
        <v>157</v>
      </c>
      <c r="AS19" s="81" t="s">
        <v>157</v>
      </c>
      <c r="AT19" s="81" t="s">
        <v>157</v>
      </c>
      <c r="AU19" s="81">
        <v>5.1833999999999998</v>
      </c>
      <c r="AV19" s="81" t="s">
        <v>157</v>
      </c>
      <c r="AW19" s="81" t="s">
        <v>157</v>
      </c>
      <c r="AX19" s="81" t="s">
        <v>157</v>
      </c>
      <c r="AY19" s="81" t="s">
        <v>157</v>
      </c>
      <c r="AZ19" s="81" t="s">
        <v>158</v>
      </c>
      <c r="BA19" s="81" t="s">
        <v>157</v>
      </c>
      <c r="BB19" s="81" t="s">
        <v>157</v>
      </c>
      <c r="BC19" s="81" t="s">
        <v>157</v>
      </c>
      <c r="BD19" s="81" t="s">
        <v>157</v>
      </c>
      <c r="BE19" s="81" t="s">
        <v>157</v>
      </c>
      <c r="BF19" s="81" t="s">
        <v>157</v>
      </c>
      <c r="BG19" s="81" t="s">
        <v>157</v>
      </c>
      <c r="BH19" s="81" t="s">
        <v>157</v>
      </c>
      <c r="BI19" s="81" t="s">
        <v>157</v>
      </c>
      <c r="BJ19" s="81" t="s">
        <v>157</v>
      </c>
      <c r="BK19" s="81" t="s">
        <v>157</v>
      </c>
      <c r="BL19" s="138">
        <v>24.356533333333331</v>
      </c>
      <c r="BM19" s="138">
        <v>30.242533333333331</v>
      </c>
      <c r="BN19" s="138">
        <v>34.468266666666665</v>
      </c>
      <c r="BO19" s="138">
        <v>8.004266666666668</v>
      </c>
      <c r="BP19" s="138">
        <v>5.3599999999999994</v>
      </c>
      <c r="BQ19" s="81" t="s">
        <v>157</v>
      </c>
      <c r="BR19" s="81" t="s">
        <v>157</v>
      </c>
      <c r="BS19" s="81" t="s">
        <v>157</v>
      </c>
      <c r="BT19" s="81" t="s">
        <v>157</v>
      </c>
      <c r="BU19" s="81" t="s">
        <v>157</v>
      </c>
      <c r="BV19" s="81">
        <v>5.7402000000000006</v>
      </c>
    </row>
    <row r="20" spans="1:74" x14ac:dyDescent="0.25">
      <c r="A20" s="21">
        <v>41395</v>
      </c>
      <c r="B20" s="14">
        <f t="shared" si="0"/>
        <v>104</v>
      </c>
      <c r="C20" s="74"/>
      <c r="D20" s="223">
        <v>1</v>
      </c>
      <c r="E20" s="74"/>
      <c r="F20" s="76"/>
      <c r="G20" s="76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</row>
    <row r="21" spans="1:74" x14ac:dyDescent="0.25">
      <c r="A21" s="21">
        <v>41410</v>
      </c>
      <c r="B21" s="14">
        <f t="shared" si="0"/>
        <v>119</v>
      </c>
      <c r="C21" s="82" t="s">
        <v>187</v>
      </c>
      <c r="D21" s="223">
        <v>1</v>
      </c>
      <c r="E21" s="81" t="s">
        <v>158</v>
      </c>
      <c r="F21" s="81">
        <v>27.5548</v>
      </c>
      <c r="G21" s="81">
        <v>120.6848</v>
      </c>
      <c r="H21" s="81">
        <v>76.563199999999995</v>
      </c>
      <c r="I21" s="81">
        <v>91.1434</v>
      </c>
      <c r="J21" s="81" t="s">
        <v>158</v>
      </c>
      <c r="K21" s="81" t="s">
        <v>158</v>
      </c>
      <c r="L21" s="81" t="s">
        <v>158</v>
      </c>
      <c r="M21" s="81" t="s">
        <v>158</v>
      </c>
      <c r="N21" s="81" t="s">
        <v>157</v>
      </c>
      <c r="O21" s="81" t="s">
        <v>157</v>
      </c>
      <c r="P21" s="81" t="s">
        <v>157</v>
      </c>
      <c r="Q21" s="81" t="s">
        <v>157</v>
      </c>
      <c r="R21" s="81" t="s">
        <v>157</v>
      </c>
      <c r="S21" s="81" t="s">
        <v>157</v>
      </c>
      <c r="T21" s="81" t="s">
        <v>157</v>
      </c>
      <c r="U21" s="81" t="s">
        <v>157</v>
      </c>
      <c r="V21" s="81" t="s">
        <v>157</v>
      </c>
      <c r="W21" s="81" t="s">
        <v>157</v>
      </c>
      <c r="X21" s="81" t="s">
        <v>157</v>
      </c>
      <c r="Y21" s="81" t="s">
        <v>157</v>
      </c>
      <c r="Z21" s="81" t="s">
        <v>157</v>
      </c>
      <c r="AA21" s="81" t="s">
        <v>157</v>
      </c>
      <c r="AB21" s="81" t="s">
        <v>157</v>
      </c>
      <c r="AC21" s="81">
        <v>3.2975999999999996</v>
      </c>
      <c r="AD21" s="81" t="s">
        <v>157</v>
      </c>
      <c r="AE21" s="81" t="s">
        <v>157</v>
      </c>
      <c r="AF21" s="81">
        <v>2.64</v>
      </c>
      <c r="AG21" s="81" t="s">
        <v>158</v>
      </c>
      <c r="AH21" s="81">
        <v>6.0323999999999991</v>
      </c>
      <c r="AI21" s="81" t="s">
        <v>157</v>
      </c>
      <c r="AJ21" s="81">
        <v>10.1492</v>
      </c>
      <c r="AK21" s="81" t="s">
        <v>157</v>
      </c>
      <c r="AL21" s="81" t="s">
        <v>157</v>
      </c>
      <c r="AM21" s="81" t="s">
        <v>157</v>
      </c>
      <c r="AN21" s="81">
        <v>4.2485999999999997</v>
      </c>
      <c r="AO21" s="81" t="s">
        <v>158</v>
      </c>
      <c r="AP21" s="81" t="s">
        <v>157</v>
      </c>
      <c r="AQ21" s="81" t="s">
        <v>157</v>
      </c>
      <c r="AR21" s="81" t="s">
        <v>157</v>
      </c>
      <c r="AS21" s="81" t="s">
        <v>157</v>
      </c>
      <c r="AT21" s="81" t="s">
        <v>157</v>
      </c>
      <c r="AU21" s="81" t="s">
        <v>158</v>
      </c>
      <c r="AV21" s="81" t="s">
        <v>157</v>
      </c>
      <c r="AW21" s="81" t="s">
        <v>157</v>
      </c>
      <c r="AX21" s="81" t="s">
        <v>157</v>
      </c>
      <c r="AY21" s="81" t="s">
        <v>157</v>
      </c>
      <c r="AZ21" s="81" t="s">
        <v>158</v>
      </c>
      <c r="BA21" s="81" t="s">
        <v>157</v>
      </c>
      <c r="BB21" s="81" t="s">
        <v>157</v>
      </c>
      <c r="BC21" s="81" t="s">
        <v>157</v>
      </c>
      <c r="BD21" s="81" t="s">
        <v>157</v>
      </c>
      <c r="BE21" s="81" t="s">
        <v>157</v>
      </c>
      <c r="BF21" s="81" t="s">
        <v>157</v>
      </c>
      <c r="BG21" s="81" t="s">
        <v>157</v>
      </c>
      <c r="BH21" s="81" t="s">
        <v>157</v>
      </c>
      <c r="BI21" s="81" t="s">
        <v>157</v>
      </c>
      <c r="BJ21" s="81" t="s">
        <v>157</v>
      </c>
      <c r="BK21" s="81" t="s">
        <v>157</v>
      </c>
      <c r="BL21" s="81" t="s">
        <v>158</v>
      </c>
      <c r="BM21" s="81" t="s">
        <v>158</v>
      </c>
      <c r="BN21" s="81" t="s">
        <v>158</v>
      </c>
      <c r="BO21" s="81" t="s">
        <v>158</v>
      </c>
      <c r="BP21" s="81" t="s">
        <v>158</v>
      </c>
      <c r="BQ21" s="81" t="s">
        <v>157</v>
      </c>
      <c r="BR21" s="81" t="s">
        <v>157</v>
      </c>
      <c r="BS21" s="81" t="s">
        <v>157</v>
      </c>
      <c r="BT21" s="81" t="s">
        <v>157</v>
      </c>
      <c r="BU21" s="81" t="s">
        <v>157</v>
      </c>
      <c r="BV21" s="81" t="s">
        <v>157</v>
      </c>
    </row>
    <row r="22" spans="1:74" x14ac:dyDescent="0.25">
      <c r="A22" s="21">
        <v>41424</v>
      </c>
      <c r="B22" s="14">
        <f t="shared" si="0"/>
        <v>133</v>
      </c>
      <c r="C22" s="82" t="s">
        <v>186</v>
      </c>
      <c r="D22" s="223">
        <v>1</v>
      </c>
      <c r="E22" s="81" t="s">
        <v>158</v>
      </c>
      <c r="F22" s="81">
        <v>29.906400000000001</v>
      </c>
      <c r="G22" s="206"/>
      <c r="H22" s="81">
        <v>73.572533333333325</v>
      </c>
      <c r="I22" s="81">
        <v>86.848799999999997</v>
      </c>
      <c r="J22" s="81">
        <v>3.4036</v>
      </c>
      <c r="K22" s="81" t="s">
        <v>158</v>
      </c>
      <c r="L22" s="81" t="s">
        <v>158</v>
      </c>
      <c r="M22" s="81" t="s">
        <v>158</v>
      </c>
      <c r="N22" s="81" t="s">
        <v>157</v>
      </c>
      <c r="O22" s="81" t="s">
        <v>157</v>
      </c>
      <c r="P22" s="81" t="s">
        <v>157</v>
      </c>
      <c r="Q22" s="81" t="s">
        <v>157</v>
      </c>
      <c r="R22" s="81" t="s">
        <v>157</v>
      </c>
      <c r="S22" s="81" t="s">
        <v>157</v>
      </c>
      <c r="T22" s="81" t="s">
        <v>157</v>
      </c>
      <c r="U22" s="81" t="s">
        <v>157</v>
      </c>
      <c r="V22" s="81" t="s">
        <v>157</v>
      </c>
      <c r="W22" s="81" t="s">
        <v>157</v>
      </c>
      <c r="X22" s="81" t="s">
        <v>157</v>
      </c>
      <c r="Y22" s="81" t="s">
        <v>157</v>
      </c>
      <c r="Z22" s="81" t="s">
        <v>157</v>
      </c>
      <c r="AA22" s="81" t="s">
        <v>157</v>
      </c>
      <c r="AB22" s="81" t="s">
        <v>157</v>
      </c>
      <c r="AC22" s="81">
        <v>10.3</v>
      </c>
      <c r="AD22" s="81" t="s">
        <v>157</v>
      </c>
      <c r="AE22" s="81" t="s">
        <v>157</v>
      </c>
      <c r="AF22" s="81">
        <v>7.1073333333333331</v>
      </c>
      <c r="AG22" s="81" t="s">
        <v>158</v>
      </c>
      <c r="AH22" s="81">
        <v>9.8915999999999986</v>
      </c>
      <c r="AI22" s="81" t="s">
        <v>157</v>
      </c>
      <c r="AJ22" s="81"/>
      <c r="AK22" s="81" t="s">
        <v>157</v>
      </c>
      <c r="AL22" s="81" t="s">
        <v>157</v>
      </c>
      <c r="AM22" s="81" t="s">
        <v>157</v>
      </c>
      <c r="AN22" s="81">
        <v>8.9257333333333317</v>
      </c>
      <c r="AO22" s="81" t="s">
        <v>157</v>
      </c>
      <c r="AP22" s="81" t="s">
        <v>157</v>
      </c>
      <c r="AQ22" s="81" t="s">
        <v>157</v>
      </c>
      <c r="AR22" s="81" t="s">
        <v>157</v>
      </c>
      <c r="AS22" s="81" t="s">
        <v>157</v>
      </c>
      <c r="AT22" s="81" t="s">
        <v>157</v>
      </c>
      <c r="AU22" s="81">
        <v>5.7156000000000002</v>
      </c>
      <c r="AV22" s="81" t="s">
        <v>157</v>
      </c>
      <c r="AW22" s="81" t="s">
        <v>157</v>
      </c>
      <c r="AX22" s="81" t="s">
        <v>157</v>
      </c>
      <c r="AY22" s="81" t="s">
        <v>157</v>
      </c>
      <c r="AZ22" s="81" t="s">
        <v>157</v>
      </c>
      <c r="BA22" s="81" t="s">
        <v>157</v>
      </c>
      <c r="BB22" s="81" t="s">
        <v>157</v>
      </c>
      <c r="BC22" s="81" t="s">
        <v>157</v>
      </c>
      <c r="BD22" s="81" t="s">
        <v>157</v>
      </c>
      <c r="BE22" s="81" t="s">
        <v>157</v>
      </c>
      <c r="BF22" s="81" t="s">
        <v>157</v>
      </c>
      <c r="BG22" s="81" t="s">
        <v>157</v>
      </c>
      <c r="BH22" s="81" t="s">
        <v>157</v>
      </c>
      <c r="BI22" s="81" t="s">
        <v>157</v>
      </c>
      <c r="BJ22" s="81" t="s">
        <v>157</v>
      </c>
      <c r="BK22" s="81" t="s">
        <v>157</v>
      </c>
      <c r="BL22" s="81">
        <v>3.7176000000000005</v>
      </c>
      <c r="BM22" s="81">
        <v>6.5464000000000002</v>
      </c>
      <c r="BN22" s="81">
        <v>6.8979999999999997</v>
      </c>
      <c r="BO22" s="81">
        <v>7.4205333333333341</v>
      </c>
      <c r="BP22" s="81" t="s">
        <v>158</v>
      </c>
      <c r="BQ22" s="81" t="s">
        <v>157</v>
      </c>
      <c r="BR22" s="81" t="s">
        <v>157</v>
      </c>
      <c r="BS22" s="81" t="s">
        <v>157</v>
      </c>
      <c r="BT22" s="81" t="s">
        <v>157</v>
      </c>
      <c r="BU22" s="81" t="s">
        <v>157</v>
      </c>
      <c r="BV22" s="81">
        <v>2.5411999999999999</v>
      </c>
    </row>
    <row r="23" spans="1:74" x14ac:dyDescent="0.25">
      <c r="A23" s="21">
        <v>41436</v>
      </c>
      <c r="B23" s="14">
        <f t="shared" si="0"/>
        <v>145</v>
      </c>
      <c r="C23" s="74"/>
      <c r="D23" s="223">
        <v>1</v>
      </c>
      <c r="E23" s="74"/>
      <c r="F23" s="76"/>
      <c r="G23" s="76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</row>
    <row r="24" spans="1:74" x14ac:dyDescent="0.25">
      <c r="A24" s="21">
        <v>41452</v>
      </c>
      <c r="B24" s="14">
        <f t="shared" si="0"/>
        <v>161</v>
      </c>
      <c r="C24" s="74"/>
      <c r="D24" s="223">
        <v>1</v>
      </c>
      <c r="E24" s="74"/>
      <c r="F24" s="76"/>
      <c r="G24" s="76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</row>
    <row r="25" spans="1:74" x14ac:dyDescent="0.25">
      <c r="A25" s="21">
        <v>41465</v>
      </c>
      <c r="B25" s="14">
        <f t="shared" si="0"/>
        <v>174</v>
      </c>
      <c r="C25" s="82" t="s">
        <v>187</v>
      </c>
      <c r="D25" s="223">
        <v>1</v>
      </c>
      <c r="E25" s="81" t="s">
        <v>158</v>
      </c>
      <c r="F25" s="81">
        <v>25.267599999999998</v>
      </c>
      <c r="G25" s="81">
        <v>116.99180000000001</v>
      </c>
      <c r="H25" s="81">
        <v>69.579599999999999</v>
      </c>
      <c r="I25" s="81">
        <v>65.681799999999996</v>
      </c>
      <c r="J25" s="81" t="s">
        <v>158</v>
      </c>
      <c r="K25" s="81" t="s">
        <v>158</v>
      </c>
      <c r="L25" s="81" t="s">
        <v>158</v>
      </c>
      <c r="M25" s="81">
        <v>3.1707999999999998</v>
      </c>
      <c r="N25" s="81" t="s">
        <v>157</v>
      </c>
      <c r="O25" s="81" t="s">
        <v>157</v>
      </c>
      <c r="P25" s="81" t="s">
        <v>157</v>
      </c>
      <c r="Q25" s="81" t="s">
        <v>157</v>
      </c>
      <c r="R25" s="81" t="s">
        <v>157</v>
      </c>
      <c r="S25" s="81" t="s">
        <v>157</v>
      </c>
      <c r="T25" s="81" t="s">
        <v>157</v>
      </c>
      <c r="U25" s="81" t="s">
        <v>157</v>
      </c>
      <c r="V25" s="81" t="s">
        <v>157</v>
      </c>
      <c r="W25" s="81" t="s">
        <v>157</v>
      </c>
      <c r="X25" s="81" t="s">
        <v>157</v>
      </c>
      <c r="Y25" s="81" t="s">
        <v>157</v>
      </c>
      <c r="Z25" s="81" t="s">
        <v>157</v>
      </c>
      <c r="AA25" s="81" t="s">
        <v>157</v>
      </c>
      <c r="AB25" s="81" t="s">
        <v>157</v>
      </c>
      <c r="AC25" s="81">
        <v>4.5389999999999997</v>
      </c>
      <c r="AD25" s="81" t="s">
        <v>157</v>
      </c>
      <c r="AE25" s="81" t="s">
        <v>157</v>
      </c>
      <c r="AF25" s="81">
        <v>5.7712000000000003</v>
      </c>
      <c r="AG25" s="81" t="s">
        <v>157</v>
      </c>
      <c r="AH25" s="81">
        <v>4.7159999999999993</v>
      </c>
      <c r="AI25" s="81" t="s">
        <v>157</v>
      </c>
      <c r="AJ25" s="81">
        <v>4.7033999999999994</v>
      </c>
      <c r="AK25" s="81" t="s">
        <v>157</v>
      </c>
      <c r="AL25" s="81" t="s">
        <v>157</v>
      </c>
      <c r="AM25" s="81" t="s">
        <v>157</v>
      </c>
      <c r="AN25" s="81">
        <v>2.6865999999999999</v>
      </c>
      <c r="AO25" s="81" t="s">
        <v>157</v>
      </c>
      <c r="AP25" s="81" t="s">
        <v>157</v>
      </c>
      <c r="AQ25" s="81" t="s">
        <v>157</v>
      </c>
      <c r="AR25" s="81" t="s">
        <v>157</v>
      </c>
      <c r="AS25" s="81" t="s">
        <v>157</v>
      </c>
      <c r="AT25" s="81" t="s">
        <v>157</v>
      </c>
      <c r="AU25" s="81" t="s">
        <v>158</v>
      </c>
      <c r="AV25" s="81" t="s">
        <v>157</v>
      </c>
      <c r="AW25" s="81" t="s">
        <v>157</v>
      </c>
      <c r="AX25" s="81" t="s">
        <v>157</v>
      </c>
      <c r="AY25" s="81" t="s">
        <v>157</v>
      </c>
      <c r="AZ25" s="81" t="s">
        <v>158</v>
      </c>
      <c r="BA25" s="81" t="s">
        <v>157</v>
      </c>
      <c r="BB25" s="81" t="s">
        <v>157</v>
      </c>
      <c r="BC25" s="81" t="s">
        <v>157</v>
      </c>
      <c r="BD25" s="81" t="s">
        <v>157</v>
      </c>
      <c r="BE25" s="81" t="s">
        <v>157</v>
      </c>
      <c r="BF25" s="81" t="s">
        <v>157</v>
      </c>
      <c r="BG25" s="81" t="s">
        <v>157</v>
      </c>
      <c r="BH25" s="81" t="s">
        <v>157</v>
      </c>
      <c r="BI25" s="81" t="s">
        <v>157</v>
      </c>
      <c r="BJ25" s="81" t="s">
        <v>157</v>
      </c>
      <c r="BK25" s="81" t="s">
        <v>157</v>
      </c>
      <c r="BL25" s="81">
        <v>2.6659999999999999</v>
      </c>
      <c r="BM25" s="81" t="s">
        <v>158</v>
      </c>
      <c r="BN25" s="81">
        <v>2.9144000000000001</v>
      </c>
      <c r="BO25" s="81" t="s">
        <v>158</v>
      </c>
      <c r="BP25" s="81" t="s">
        <v>158</v>
      </c>
      <c r="BQ25" s="81" t="s">
        <v>157</v>
      </c>
      <c r="BR25" s="81" t="s">
        <v>157</v>
      </c>
      <c r="BS25" s="81" t="s">
        <v>157</v>
      </c>
      <c r="BT25" s="81" t="s">
        <v>157</v>
      </c>
      <c r="BU25" s="81" t="s">
        <v>157</v>
      </c>
      <c r="BV25" s="81" t="s">
        <v>158</v>
      </c>
    </row>
    <row r="26" spans="1:74" x14ac:dyDescent="0.25">
      <c r="A26" s="21">
        <v>41479</v>
      </c>
      <c r="B26" s="14">
        <f t="shared" si="0"/>
        <v>188</v>
      </c>
      <c r="C26" s="74"/>
      <c r="D26" s="223">
        <v>1</v>
      </c>
      <c r="E26" s="74"/>
      <c r="F26" s="76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</row>
    <row r="27" spans="1:74" x14ac:dyDescent="0.25">
      <c r="A27" s="21">
        <v>41493</v>
      </c>
      <c r="B27" s="14">
        <f t="shared" si="0"/>
        <v>202</v>
      </c>
      <c r="C27" s="74"/>
      <c r="D27" s="223">
        <v>1</v>
      </c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</row>
    <row r="28" spans="1:74" x14ac:dyDescent="0.25">
      <c r="A28" s="21">
        <v>41507</v>
      </c>
      <c r="B28" s="14">
        <f>A28-$B$2</f>
        <v>216</v>
      </c>
      <c r="C28" s="74"/>
      <c r="D28" s="223">
        <v>1</v>
      </c>
      <c r="E28" s="74"/>
      <c r="F28" s="74"/>
      <c r="G28" s="76"/>
      <c r="H28" s="76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</row>
    <row r="29" spans="1:74" x14ac:dyDescent="0.25">
      <c r="A29" s="21">
        <v>41521</v>
      </c>
      <c r="B29" s="14">
        <f>A29-$B$2</f>
        <v>230</v>
      </c>
      <c r="C29" s="82" t="s">
        <v>187</v>
      </c>
      <c r="D29" s="223">
        <v>1</v>
      </c>
      <c r="E29" s="81" t="s">
        <v>158</v>
      </c>
      <c r="F29" s="81">
        <v>27.990800000000004</v>
      </c>
      <c r="G29" s="80">
        <v>138.16759999999999</v>
      </c>
      <c r="H29" s="80">
        <v>72.365399999999994</v>
      </c>
      <c r="I29" s="81">
        <v>78.325799999999987</v>
      </c>
      <c r="J29" s="138">
        <v>6.7376000000000005</v>
      </c>
      <c r="K29" s="81" t="s">
        <v>158</v>
      </c>
      <c r="L29" s="81" t="s">
        <v>158</v>
      </c>
      <c r="M29" s="81" t="s">
        <v>158</v>
      </c>
      <c r="N29" s="81" t="s">
        <v>157</v>
      </c>
      <c r="O29" s="81" t="s">
        <v>157</v>
      </c>
      <c r="P29" s="81" t="s">
        <v>157</v>
      </c>
      <c r="Q29" s="81" t="s">
        <v>157</v>
      </c>
      <c r="R29" s="81" t="s">
        <v>157</v>
      </c>
      <c r="S29" s="81" t="s">
        <v>157</v>
      </c>
      <c r="T29" s="81" t="s">
        <v>157</v>
      </c>
      <c r="U29" s="81" t="s">
        <v>157</v>
      </c>
      <c r="V29" s="81" t="s">
        <v>157</v>
      </c>
      <c r="W29" s="81" t="s">
        <v>157</v>
      </c>
      <c r="X29" s="81" t="s">
        <v>157</v>
      </c>
      <c r="Y29" s="81" t="s">
        <v>157</v>
      </c>
      <c r="Z29" s="81" t="s">
        <v>157</v>
      </c>
      <c r="AA29" s="81" t="s">
        <v>157</v>
      </c>
      <c r="AB29" s="81" t="s">
        <v>157</v>
      </c>
      <c r="AC29" s="81">
        <v>7.2316000000000003</v>
      </c>
      <c r="AD29" s="81" t="s">
        <v>157</v>
      </c>
      <c r="AE29" s="81" t="s">
        <v>157</v>
      </c>
      <c r="AF29" s="81">
        <v>5.0148000000000001</v>
      </c>
      <c r="AG29" s="81" t="s">
        <v>157</v>
      </c>
      <c r="AH29" s="81">
        <v>4.9075999999999995</v>
      </c>
      <c r="AI29" s="81" t="s">
        <v>157</v>
      </c>
      <c r="AJ29" s="81">
        <v>4.6924000000000001</v>
      </c>
      <c r="AK29" s="81" t="s">
        <v>157</v>
      </c>
      <c r="AL29" s="81" t="s">
        <v>157</v>
      </c>
      <c r="AM29" s="81" t="s">
        <v>157</v>
      </c>
      <c r="AN29" s="81">
        <v>5.8983999999999996</v>
      </c>
      <c r="AO29" s="81" t="s">
        <v>157</v>
      </c>
      <c r="AP29" s="81" t="s">
        <v>157</v>
      </c>
      <c r="AQ29" s="81" t="s">
        <v>157</v>
      </c>
      <c r="AR29" s="81" t="s">
        <v>157</v>
      </c>
      <c r="AS29" s="81" t="s">
        <v>157</v>
      </c>
      <c r="AT29" s="81" t="s">
        <v>157</v>
      </c>
      <c r="AU29" s="81">
        <v>2.1115999999999997</v>
      </c>
      <c r="AV29" s="81" t="s">
        <v>157</v>
      </c>
      <c r="AW29" s="81" t="s">
        <v>157</v>
      </c>
      <c r="AX29" s="81" t="s">
        <v>157</v>
      </c>
      <c r="AY29" s="81" t="s">
        <v>157</v>
      </c>
      <c r="AZ29" s="81" t="s">
        <v>157</v>
      </c>
      <c r="BA29" s="81" t="s">
        <v>157</v>
      </c>
      <c r="BB29" s="81" t="s">
        <v>157</v>
      </c>
      <c r="BC29" s="81" t="s">
        <v>157</v>
      </c>
      <c r="BD29" s="81" t="s">
        <v>157</v>
      </c>
      <c r="BE29" s="81" t="s">
        <v>157</v>
      </c>
      <c r="BF29" s="81" t="s">
        <v>157</v>
      </c>
      <c r="BG29" s="81" t="s">
        <v>157</v>
      </c>
      <c r="BH29" s="81" t="s">
        <v>157</v>
      </c>
      <c r="BI29" s="81" t="s">
        <v>157</v>
      </c>
      <c r="BJ29" s="81" t="s">
        <v>157</v>
      </c>
      <c r="BK29" s="81" t="s">
        <v>157</v>
      </c>
      <c r="BL29" s="81">
        <v>2.6023999999999998</v>
      </c>
      <c r="BM29" s="81" t="s">
        <v>158</v>
      </c>
      <c r="BN29" s="81">
        <v>5.0582000000000003</v>
      </c>
      <c r="BO29" s="81">
        <v>6.3088000000000006</v>
      </c>
      <c r="BP29" s="81">
        <v>5.5987999999999998</v>
      </c>
      <c r="BQ29" s="81" t="s">
        <v>157</v>
      </c>
      <c r="BR29" s="81" t="s">
        <v>157</v>
      </c>
      <c r="BS29" s="81" t="s">
        <v>157</v>
      </c>
      <c r="BT29" s="81" t="s">
        <v>157</v>
      </c>
      <c r="BU29" s="81" t="s">
        <v>157</v>
      </c>
      <c r="BV29" s="81" t="s">
        <v>157</v>
      </c>
    </row>
    <row r="30" spans="1:74" x14ac:dyDescent="0.25">
      <c r="A30" s="21">
        <v>41535</v>
      </c>
      <c r="B30" s="14">
        <f>A30-$B$2</f>
        <v>244</v>
      </c>
      <c r="C30" s="74"/>
      <c r="D30" s="223">
        <v>1</v>
      </c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</row>
    <row r="31" spans="1:74" x14ac:dyDescent="0.25">
      <c r="A31" s="21">
        <v>41551</v>
      </c>
      <c r="B31" s="14">
        <f>A31-$B$2</f>
        <v>260</v>
      </c>
      <c r="C31" s="74"/>
      <c r="D31" s="223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</row>
    <row r="32" spans="1:74" x14ac:dyDescent="0.25">
      <c r="A32" s="21">
        <v>41564</v>
      </c>
      <c r="B32" s="14">
        <f>A32-$B$2</f>
        <v>273</v>
      </c>
      <c r="C32" s="82" t="s">
        <v>187</v>
      </c>
      <c r="D32" s="223">
        <v>1</v>
      </c>
      <c r="E32" s="81">
        <v>31.98</v>
      </c>
      <c r="F32" s="81">
        <v>26.841999999999999</v>
      </c>
      <c r="G32" s="80">
        <v>121.05099999999999</v>
      </c>
      <c r="H32" s="81">
        <v>83.998800000000017</v>
      </c>
      <c r="I32" s="81">
        <v>72.242999999999995</v>
      </c>
      <c r="J32" s="81">
        <v>3.7591999999999999</v>
      </c>
      <c r="K32" s="81" t="s">
        <v>158</v>
      </c>
      <c r="L32" s="81" t="s">
        <v>157</v>
      </c>
      <c r="M32" s="81" t="s">
        <v>158</v>
      </c>
      <c r="N32" s="81" t="s">
        <v>157</v>
      </c>
      <c r="O32" s="81" t="s">
        <v>157</v>
      </c>
      <c r="P32" s="81" t="s">
        <v>157</v>
      </c>
      <c r="Q32" s="81" t="s">
        <v>157</v>
      </c>
      <c r="R32" s="81" t="s">
        <v>157</v>
      </c>
      <c r="S32" s="81" t="s">
        <v>157</v>
      </c>
      <c r="T32" s="81" t="s">
        <v>157</v>
      </c>
      <c r="U32" s="81" t="s">
        <v>157</v>
      </c>
      <c r="V32" s="81" t="s">
        <v>157</v>
      </c>
      <c r="W32" s="81" t="s">
        <v>157</v>
      </c>
      <c r="X32" s="81" t="s">
        <v>157</v>
      </c>
      <c r="Y32" s="81" t="s">
        <v>157</v>
      </c>
      <c r="Z32" s="81" t="s">
        <v>157</v>
      </c>
      <c r="AA32" s="81" t="s">
        <v>157</v>
      </c>
      <c r="AB32" s="81" t="s">
        <v>157</v>
      </c>
      <c r="AC32" s="81">
        <v>7.3995999999999995</v>
      </c>
      <c r="AD32" s="81" t="s">
        <v>157</v>
      </c>
      <c r="AE32" s="81" t="s">
        <v>157</v>
      </c>
      <c r="AF32" s="81">
        <v>4.6069999999999993</v>
      </c>
      <c r="AG32" s="81" t="s">
        <v>157</v>
      </c>
      <c r="AH32" s="81">
        <v>11.844199999999999</v>
      </c>
      <c r="AI32" s="81" t="s">
        <v>157</v>
      </c>
      <c r="AJ32" s="81">
        <v>3.0129999999999999</v>
      </c>
      <c r="AK32" s="81" t="s">
        <v>157</v>
      </c>
      <c r="AL32" s="81" t="s">
        <v>157</v>
      </c>
      <c r="AM32" s="81" t="s">
        <v>157</v>
      </c>
      <c r="AN32" s="81">
        <v>6.4409999999999998</v>
      </c>
      <c r="AO32" s="81" t="s">
        <v>158</v>
      </c>
      <c r="AP32" s="81" t="s">
        <v>157</v>
      </c>
      <c r="AQ32" s="81" t="s">
        <v>157</v>
      </c>
      <c r="AR32" s="81" t="s">
        <v>157</v>
      </c>
      <c r="AS32" s="81" t="s">
        <v>157</v>
      </c>
      <c r="AT32" s="81" t="s">
        <v>157</v>
      </c>
      <c r="AU32" s="81">
        <v>2.6537999999999995</v>
      </c>
      <c r="AV32" s="81" t="s">
        <v>157</v>
      </c>
      <c r="AW32" s="81" t="s">
        <v>157</v>
      </c>
      <c r="AX32" s="81" t="s">
        <v>157</v>
      </c>
      <c r="AY32" s="81" t="s">
        <v>157</v>
      </c>
      <c r="AZ32" s="81" t="s">
        <v>158</v>
      </c>
      <c r="BA32" s="81" t="s">
        <v>157</v>
      </c>
      <c r="BB32" s="81" t="s">
        <v>157</v>
      </c>
      <c r="BC32" s="81" t="s">
        <v>157</v>
      </c>
      <c r="BD32" s="81" t="s">
        <v>157</v>
      </c>
      <c r="BE32" s="81" t="s">
        <v>157</v>
      </c>
      <c r="BF32" s="81" t="s">
        <v>157</v>
      </c>
      <c r="BG32" s="81" t="s">
        <v>157</v>
      </c>
      <c r="BH32" s="81" t="s">
        <v>157</v>
      </c>
      <c r="BI32" s="81" t="s">
        <v>157</v>
      </c>
      <c r="BJ32" s="81" t="s">
        <v>157</v>
      </c>
      <c r="BK32" s="81" t="s">
        <v>157</v>
      </c>
      <c r="BL32" s="81">
        <v>5.3120000000000003</v>
      </c>
      <c r="BM32" s="81">
        <v>4.4807999999999995</v>
      </c>
      <c r="BN32" s="81">
        <v>11.785599999999999</v>
      </c>
      <c r="BO32" s="81" t="s">
        <v>158</v>
      </c>
      <c r="BP32" s="81" t="s">
        <v>158</v>
      </c>
      <c r="BQ32" s="81" t="s">
        <v>157</v>
      </c>
      <c r="BR32" s="81" t="s">
        <v>157</v>
      </c>
      <c r="BS32" s="81" t="s">
        <v>157</v>
      </c>
      <c r="BT32" s="81" t="s">
        <v>157</v>
      </c>
      <c r="BU32" s="81" t="s">
        <v>157</v>
      </c>
      <c r="BV32" s="81" t="s">
        <v>158</v>
      </c>
    </row>
    <row r="34" spans="1:75" s="162" customFormat="1" x14ac:dyDescent="0.25">
      <c r="A34" s="127"/>
      <c r="B34" s="205"/>
      <c r="C34" s="130" t="s">
        <v>240</v>
      </c>
      <c r="D34" s="130"/>
      <c r="E34" s="129">
        <f>COUNTIF(E9:E32,"ND")</f>
        <v>0</v>
      </c>
      <c r="F34" s="129">
        <f t="shared" ref="F34:BQ34" si="1">COUNTIF(F9:F32,"ND")</f>
        <v>0</v>
      </c>
      <c r="G34" s="129">
        <f t="shared" si="1"/>
        <v>0</v>
      </c>
      <c r="H34" s="129">
        <f t="shared" si="1"/>
        <v>0</v>
      </c>
      <c r="I34" s="129">
        <f t="shared" si="1"/>
        <v>0</v>
      </c>
      <c r="J34" s="129">
        <f t="shared" si="1"/>
        <v>0</v>
      </c>
      <c r="K34" s="129">
        <f t="shared" si="1"/>
        <v>0</v>
      </c>
      <c r="L34" s="129">
        <f t="shared" si="1"/>
        <v>1</v>
      </c>
      <c r="M34" s="129">
        <f t="shared" si="1"/>
        <v>1</v>
      </c>
      <c r="N34" s="129">
        <f t="shared" si="1"/>
        <v>7</v>
      </c>
      <c r="O34" s="129">
        <f t="shared" si="1"/>
        <v>10</v>
      </c>
      <c r="P34" s="129">
        <f t="shared" si="1"/>
        <v>10</v>
      </c>
      <c r="Q34" s="129">
        <f t="shared" si="1"/>
        <v>10</v>
      </c>
      <c r="R34" s="129">
        <f t="shared" si="1"/>
        <v>10</v>
      </c>
      <c r="S34" s="129">
        <f>COUNTIF(S9:S32,"ND")</f>
        <v>10</v>
      </c>
      <c r="T34" s="129">
        <f t="shared" si="1"/>
        <v>10</v>
      </c>
      <c r="U34" s="129">
        <f t="shared" si="1"/>
        <v>8</v>
      </c>
      <c r="V34" s="129">
        <f t="shared" si="1"/>
        <v>10</v>
      </c>
      <c r="W34" s="129">
        <f t="shared" si="1"/>
        <v>10</v>
      </c>
      <c r="X34" s="129">
        <f t="shared" si="1"/>
        <v>10</v>
      </c>
      <c r="Y34" s="129">
        <f t="shared" si="1"/>
        <v>9</v>
      </c>
      <c r="Z34" s="129">
        <f t="shared" si="1"/>
        <v>9</v>
      </c>
      <c r="AA34" s="129">
        <f t="shared" si="1"/>
        <v>10</v>
      </c>
      <c r="AB34" s="129">
        <f t="shared" si="1"/>
        <v>10</v>
      </c>
      <c r="AC34" s="129">
        <f t="shared" si="1"/>
        <v>0</v>
      </c>
      <c r="AD34" s="129">
        <f t="shared" si="1"/>
        <v>10</v>
      </c>
      <c r="AE34" s="129">
        <f t="shared" si="1"/>
        <v>10</v>
      </c>
      <c r="AF34" s="129">
        <f t="shared" si="1"/>
        <v>0</v>
      </c>
      <c r="AG34" s="129">
        <f t="shared" si="1"/>
        <v>4</v>
      </c>
      <c r="AH34" s="129">
        <f t="shared" si="1"/>
        <v>0</v>
      </c>
      <c r="AI34" s="129">
        <f t="shared" si="1"/>
        <v>10</v>
      </c>
      <c r="AJ34" s="129">
        <f t="shared" si="1"/>
        <v>0</v>
      </c>
      <c r="AK34" s="129">
        <f t="shared" si="1"/>
        <v>10</v>
      </c>
      <c r="AL34" s="129">
        <f t="shared" si="1"/>
        <v>10</v>
      </c>
      <c r="AM34" s="129">
        <f t="shared" si="1"/>
        <v>10</v>
      </c>
      <c r="AN34" s="129">
        <f t="shared" si="1"/>
        <v>0</v>
      </c>
      <c r="AO34" s="129">
        <f t="shared" si="1"/>
        <v>4</v>
      </c>
      <c r="AP34" s="129">
        <f t="shared" si="1"/>
        <v>10</v>
      </c>
      <c r="AQ34" s="129">
        <f t="shared" si="1"/>
        <v>10</v>
      </c>
      <c r="AR34" s="129">
        <f t="shared" si="1"/>
        <v>10</v>
      </c>
      <c r="AS34" s="129">
        <f t="shared" si="1"/>
        <v>10</v>
      </c>
      <c r="AT34" s="129">
        <f t="shared" si="1"/>
        <v>10</v>
      </c>
      <c r="AU34" s="129">
        <f t="shared" si="1"/>
        <v>0</v>
      </c>
      <c r="AV34" s="129">
        <f t="shared" si="1"/>
        <v>10</v>
      </c>
      <c r="AW34" s="129">
        <f t="shared" si="1"/>
        <v>10</v>
      </c>
      <c r="AX34" s="129">
        <f t="shared" si="1"/>
        <v>10</v>
      </c>
      <c r="AY34" s="129">
        <f t="shared" si="1"/>
        <v>10</v>
      </c>
      <c r="AZ34" s="129">
        <f t="shared" si="1"/>
        <v>6</v>
      </c>
      <c r="BA34" s="129">
        <f t="shared" si="1"/>
        <v>10</v>
      </c>
      <c r="BB34" s="129">
        <f t="shared" si="1"/>
        <v>10</v>
      </c>
      <c r="BC34" s="129">
        <f t="shared" si="1"/>
        <v>10</v>
      </c>
      <c r="BD34" s="129">
        <f t="shared" si="1"/>
        <v>7</v>
      </c>
      <c r="BE34" s="129">
        <f t="shared" si="1"/>
        <v>10</v>
      </c>
      <c r="BF34" s="129">
        <f t="shared" si="1"/>
        <v>10</v>
      </c>
      <c r="BG34" s="129">
        <f t="shared" si="1"/>
        <v>10</v>
      </c>
      <c r="BH34" s="129">
        <f t="shared" si="1"/>
        <v>10</v>
      </c>
      <c r="BI34" s="129">
        <f t="shared" si="1"/>
        <v>10</v>
      </c>
      <c r="BJ34" s="129">
        <f t="shared" si="1"/>
        <v>10</v>
      </c>
      <c r="BK34" s="129">
        <f t="shared" si="1"/>
        <v>10</v>
      </c>
      <c r="BL34" s="129">
        <f t="shared" si="1"/>
        <v>0</v>
      </c>
      <c r="BM34" s="129">
        <f t="shared" si="1"/>
        <v>0</v>
      </c>
      <c r="BN34" s="129">
        <f t="shared" si="1"/>
        <v>0</v>
      </c>
      <c r="BO34" s="129">
        <f t="shared" si="1"/>
        <v>0</v>
      </c>
      <c r="BP34" s="129">
        <f t="shared" si="1"/>
        <v>0</v>
      </c>
      <c r="BQ34" s="129">
        <f t="shared" si="1"/>
        <v>10</v>
      </c>
      <c r="BR34" s="129">
        <f t="shared" ref="BR34:BV34" si="2">COUNTIF(BR9:BR32,"ND")</f>
        <v>10</v>
      </c>
      <c r="BS34" s="129">
        <f t="shared" si="2"/>
        <v>10</v>
      </c>
      <c r="BT34" s="129">
        <f t="shared" si="2"/>
        <v>10</v>
      </c>
      <c r="BU34" s="129">
        <f t="shared" si="2"/>
        <v>10</v>
      </c>
      <c r="BV34" s="129">
        <f t="shared" si="2"/>
        <v>2</v>
      </c>
    </row>
    <row r="35" spans="1:75" s="162" customFormat="1" x14ac:dyDescent="0.25">
      <c r="A35" s="127"/>
      <c r="B35" s="205"/>
      <c r="C35" s="130" t="s">
        <v>241</v>
      </c>
      <c r="D35" s="130"/>
      <c r="E35" s="129">
        <f>COUNTIF(E9:E32,"&lt;LOQ")</f>
        <v>5</v>
      </c>
      <c r="F35" s="129">
        <f t="shared" ref="F35:BQ35" si="3">COUNTIF(F9:F32,"&lt;LOQ")</f>
        <v>0</v>
      </c>
      <c r="G35" s="129">
        <f t="shared" si="3"/>
        <v>0</v>
      </c>
      <c r="H35" s="129">
        <f t="shared" si="3"/>
        <v>0</v>
      </c>
      <c r="I35" s="129">
        <f t="shared" si="3"/>
        <v>0</v>
      </c>
      <c r="J35" s="129">
        <f t="shared" si="3"/>
        <v>2</v>
      </c>
      <c r="K35" s="129">
        <f t="shared" si="3"/>
        <v>10</v>
      </c>
      <c r="L35" s="129">
        <f t="shared" si="3"/>
        <v>9</v>
      </c>
      <c r="M35" s="129">
        <f t="shared" si="3"/>
        <v>8</v>
      </c>
      <c r="N35" s="129">
        <f t="shared" si="3"/>
        <v>3</v>
      </c>
      <c r="O35" s="129">
        <f t="shared" si="3"/>
        <v>0</v>
      </c>
      <c r="P35" s="129">
        <f t="shared" si="3"/>
        <v>0</v>
      </c>
      <c r="Q35" s="129">
        <f t="shared" si="3"/>
        <v>0</v>
      </c>
      <c r="R35" s="129">
        <f t="shared" si="3"/>
        <v>0</v>
      </c>
      <c r="S35" s="129">
        <f t="shared" si="3"/>
        <v>0</v>
      </c>
      <c r="T35" s="129">
        <f t="shared" si="3"/>
        <v>0</v>
      </c>
      <c r="U35" s="129">
        <f t="shared" si="3"/>
        <v>1</v>
      </c>
      <c r="V35" s="129">
        <f t="shared" si="3"/>
        <v>0</v>
      </c>
      <c r="W35" s="129">
        <f t="shared" si="3"/>
        <v>0</v>
      </c>
      <c r="X35" s="129">
        <f t="shared" si="3"/>
        <v>0</v>
      </c>
      <c r="Y35" s="129">
        <f t="shared" si="3"/>
        <v>0</v>
      </c>
      <c r="Z35" s="129">
        <f t="shared" si="3"/>
        <v>1</v>
      </c>
      <c r="AA35" s="129">
        <f t="shared" si="3"/>
        <v>0</v>
      </c>
      <c r="AB35" s="129">
        <f t="shared" si="3"/>
        <v>0</v>
      </c>
      <c r="AC35" s="129">
        <f t="shared" si="3"/>
        <v>0</v>
      </c>
      <c r="AD35" s="129">
        <f t="shared" si="3"/>
        <v>0</v>
      </c>
      <c r="AE35" s="129">
        <f t="shared" si="3"/>
        <v>0</v>
      </c>
      <c r="AF35" s="129">
        <f t="shared" si="3"/>
        <v>1</v>
      </c>
      <c r="AG35" s="129">
        <f t="shared" si="3"/>
        <v>6</v>
      </c>
      <c r="AH35" s="129">
        <f t="shared" si="3"/>
        <v>0</v>
      </c>
      <c r="AI35" s="129">
        <f t="shared" si="3"/>
        <v>0</v>
      </c>
      <c r="AJ35" s="129">
        <f t="shared" si="3"/>
        <v>0</v>
      </c>
      <c r="AK35" s="129">
        <f t="shared" si="3"/>
        <v>0</v>
      </c>
      <c r="AL35" s="129">
        <f t="shared" si="3"/>
        <v>0</v>
      </c>
      <c r="AM35" s="129">
        <f t="shared" si="3"/>
        <v>0</v>
      </c>
      <c r="AN35" s="129">
        <f t="shared" si="3"/>
        <v>0</v>
      </c>
      <c r="AO35" s="129">
        <f t="shared" si="3"/>
        <v>6</v>
      </c>
      <c r="AP35" s="129">
        <f t="shared" si="3"/>
        <v>0</v>
      </c>
      <c r="AQ35" s="129">
        <f t="shared" si="3"/>
        <v>0</v>
      </c>
      <c r="AR35" s="129">
        <f t="shared" si="3"/>
        <v>0</v>
      </c>
      <c r="AS35" s="129">
        <f t="shared" si="3"/>
        <v>0</v>
      </c>
      <c r="AT35" s="129">
        <f t="shared" si="3"/>
        <v>0</v>
      </c>
      <c r="AU35" s="129">
        <f t="shared" si="3"/>
        <v>3</v>
      </c>
      <c r="AV35" s="129">
        <f t="shared" si="3"/>
        <v>0</v>
      </c>
      <c r="AW35" s="129">
        <f t="shared" si="3"/>
        <v>0</v>
      </c>
      <c r="AX35" s="129">
        <f t="shared" si="3"/>
        <v>0</v>
      </c>
      <c r="AY35" s="129">
        <f t="shared" si="3"/>
        <v>0</v>
      </c>
      <c r="AZ35" s="129">
        <f t="shared" si="3"/>
        <v>4</v>
      </c>
      <c r="BA35" s="129">
        <f t="shared" si="3"/>
        <v>0</v>
      </c>
      <c r="BB35" s="129">
        <f t="shared" si="3"/>
        <v>0</v>
      </c>
      <c r="BC35" s="129">
        <f t="shared" si="3"/>
        <v>0</v>
      </c>
      <c r="BD35" s="129">
        <f t="shared" si="3"/>
        <v>1</v>
      </c>
      <c r="BE35" s="129">
        <f t="shared" si="3"/>
        <v>0</v>
      </c>
      <c r="BF35" s="129">
        <f t="shared" si="3"/>
        <v>0</v>
      </c>
      <c r="BG35" s="129">
        <f t="shared" si="3"/>
        <v>0</v>
      </c>
      <c r="BH35" s="129">
        <f t="shared" si="3"/>
        <v>0</v>
      </c>
      <c r="BI35" s="129">
        <f t="shared" si="3"/>
        <v>0</v>
      </c>
      <c r="BJ35" s="129">
        <f t="shared" si="3"/>
        <v>0</v>
      </c>
      <c r="BK35" s="129">
        <f t="shared" si="3"/>
        <v>0</v>
      </c>
      <c r="BL35" s="129">
        <f t="shared" si="3"/>
        <v>1</v>
      </c>
      <c r="BM35" s="129">
        <f t="shared" si="3"/>
        <v>3</v>
      </c>
      <c r="BN35" s="129">
        <f t="shared" si="3"/>
        <v>1</v>
      </c>
      <c r="BO35" s="129">
        <f t="shared" si="3"/>
        <v>3</v>
      </c>
      <c r="BP35" s="129">
        <f t="shared" si="3"/>
        <v>4</v>
      </c>
      <c r="BQ35" s="129">
        <f t="shared" si="3"/>
        <v>0</v>
      </c>
      <c r="BR35" s="129">
        <f t="shared" ref="BR35:BV35" si="4">COUNTIF(BR9:BR32,"&lt;LOQ")</f>
        <v>0</v>
      </c>
      <c r="BS35" s="129">
        <f t="shared" si="4"/>
        <v>0</v>
      </c>
      <c r="BT35" s="129">
        <f t="shared" si="4"/>
        <v>0</v>
      </c>
      <c r="BU35" s="129">
        <f t="shared" si="4"/>
        <v>0</v>
      </c>
      <c r="BV35" s="129">
        <f t="shared" si="4"/>
        <v>2</v>
      </c>
    </row>
    <row r="37" spans="1:75" s="45" customFormat="1" x14ac:dyDescent="0.25">
      <c r="A37" s="48">
        <v>41291</v>
      </c>
      <c r="B37" s="45" t="s">
        <v>156</v>
      </c>
      <c r="C37" s="48">
        <v>41815</v>
      </c>
      <c r="D37" s="125"/>
      <c r="E37" s="45" t="s">
        <v>157</v>
      </c>
      <c r="F37" s="45" t="s">
        <v>157</v>
      </c>
      <c r="G37" s="45" t="s">
        <v>157</v>
      </c>
      <c r="H37" s="45" t="s">
        <v>158</v>
      </c>
      <c r="I37" s="45" t="s">
        <v>158</v>
      </c>
      <c r="J37" s="45" t="s">
        <v>158</v>
      </c>
      <c r="K37" s="45" t="s">
        <v>157</v>
      </c>
      <c r="L37" s="45" t="s">
        <v>157</v>
      </c>
      <c r="M37" s="45" t="s">
        <v>157</v>
      </c>
      <c r="N37" s="45" t="s">
        <v>157</v>
      </c>
      <c r="O37" s="45" t="s">
        <v>157</v>
      </c>
      <c r="P37" s="45" t="s">
        <v>157</v>
      </c>
      <c r="Q37" s="45" t="s">
        <v>157</v>
      </c>
      <c r="R37" s="45" t="s">
        <v>157</v>
      </c>
      <c r="S37" s="45" t="s">
        <v>157</v>
      </c>
      <c r="T37" s="45" t="s">
        <v>157</v>
      </c>
      <c r="U37" s="45" t="s">
        <v>157</v>
      </c>
      <c r="V37" s="45" t="s">
        <v>157</v>
      </c>
      <c r="W37" s="45" t="s">
        <v>157</v>
      </c>
      <c r="X37" s="45" t="s">
        <v>157</v>
      </c>
      <c r="Y37" s="45" t="s">
        <v>157</v>
      </c>
      <c r="Z37" s="45" t="s">
        <v>157</v>
      </c>
      <c r="AA37" s="45" t="s">
        <v>157</v>
      </c>
      <c r="AB37" s="45" t="s">
        <v>157</v>
      </c>
      <c r="AC37" s="45" t="s">
        <v>157</v>
      </c>
      <c r="AD37" s="45" t="s">
        <v>157</v>
      </c>
      <c r="AE37" s="45" t="s">
        <v>157</v>
      </c>
      <c r="AF37" s="45" t="s">
        <v>157</v>
      </c>
      <c r="AG37" s="45" t="s">
        <v>157</v>
      </c>
      <c r="AH37" s="45" t="s">
        <v>157</v>
      </c>
      <c r="AI37" s="45" t="s">
        <v>157</v>
      </c>
      <c r="AJ37" s="45" t="s">
        <v>158</v>
      </c>
      <c r="AK37" s="45" t="s">
        <v>157</v>
      </c>
      <c r="AL37" s="45" t="s">
        <v>157</v>
      </c>
      <c r="AM37" s="45" t="s">
        <v>157</v>
      </c>
      <c r="AN37" s="45" t="s">
        <v>158</v>
      </c>
      <c r="AO37" s="45" t="s">
        <v>158</v>
      </c>
      <c r="AP37" s="45" t="s">
        <v>157</v>
      </c>
      <c r="AQ37" s="45" t="s">
        <v>157</v>
      </c>
      <c r="AR37" s="45" t="s">
        <v>157</v>
      </c>
      <c r="AS37" s="45" t="s">
        <v>157</v>
      </c>
      <c r="AT37" s="45" t="s">
        <v>157</v>
      </c>
      <c r="AU37" s="45" t="s">
        <v>157</v>
      </c>
      <c r="AV37" s="45" t="s">
        <v>157</v>
      </c>
      <c r="AW37" s="45" t="s">
        <v>157</v>
      </c>
      <c r="AX37" s="45" t="s">
        <v>157</v>
      </c>
      <c r="AY37" s="45" t="s">
        <v>158</v>
      </c>
      <c r="AZ37" s="45" t="s">
        <v>157</v>
      </c>
      <c r="BA37" s="45" t="s">
        <v>157</v>
      </c>
      <c r="BB37" s="45" t="s">
        <v>157</v>
      </c>
      <c r="BC37" s="45" t="s">
        <v>157</v>
      </c>
      <c r="BD37" s="45" t="s">
        <v>157</v>
      </c>
      <c r="BE37" s="45" t="s">
        <v>157</v>
      </c>
      <c r="BF37" s="45" t="s">
        <v>157</v>
      </c>
      <c r="BG37" s="45" t="s">
        <v>157</v>
      </c>
      <c r="BH37" s="45" t="s">
        <v>157</v>
      </c>
      <c r="BI37" s="45" t="s">
        <v>157</v>
      </c>
      <c r="BJ37" s="45" t="s">
        <v>157</v>
      </c>
      <c r="BK37" s="45" t="s">
        <v>157</v>
      </c>
      <c r="BL37" s="45" t="s">
        <v>158</v>
      </c>
      <c r="BM37" s="45" t="s">
        <v>157</v>
      </c>
      <c r="BN37" s="45" t="s">
        <v>158</v>
      </c>
      <c r="BO37" s="45" t="s">
        <v>157</v>
      </c>
      <c r="BP37" s="45" t="s">
        <v>157</v>
      </c>
      <c r="BQ37" s="45" t="s">
        <v>157</v>
      </c>
      <c r="BR37" s="45" t="s">
        <v>157</v>
      </c>
      <c r="BS37" s="45" t="s">
        <v>157</v>
      </c>
      <c r="BT37" s="45" t="s">
        <v>157</v>
      </c>
      <c r="BU37" s="45" t="s">
        <v>157</v>
      </c>
      <c r="BV37" s="45" t="s">
        <v>157</v>
      </c>
    </row>
    <row r="38" spans="1:75" s="45" customFormat="1" x14ac:dyDescent="0.25">
      <c r="D38" s="162"/>
    </row>
    <row r="39" spans="1:75" s="45" customFormat="1" x14ac:dyDescent="0.25">
      <c r="D39" s="162"/>
    </row>
    <row r="40" spans="1:75" s="45" customFormat="1" x14ac:dyDescent="0.25">
      <c r="D40" s="162"/>
    </row>
    <row r="41" spans="1:75" s="49" customFormat="1" x14ac:dyDescent="0.25">
      <c r="A41" s="49" t="s">
        <v>159</v>
      </c>
    </row>
    <row r="42" spans="1:75" s="45" customFormat="1" x14ac:dyDescent="0.25">
      <c r="D42" s="162"/>
    </row>
    <row r="43" spans="1:75" x14ac:dyDescent="0.25">
      <c r="B43" s="84" t="s">
        <v>163</v>
      </c>
      <c r="C43" s="86">
        <v>41479</v>
      </c>
      <c r="D43" s="161"/>
      <c r="E43" s="105" t="s">
        <v>157</v>
      </c>
      <c r="F43" s="105" t="s">
        <v>157</v>
      </c>
      <c r="G43" s="105" t="s">
        <v>157</v>
      </c>
      <c r="H43" s="105" t="s">
        <v>157</v>
      </c>
      <c r="I43" s="105" t="s">
        <v>157</v>
      </c>
      <c r="J43" s="105" t="s">
        <v>157</v>
      </c>
      <c r="K43" s="105" t="s">
        <v>157</v>
      </c>
      <c r="L43" s="105" t="s">
        <v>157</v>
      </c>
      <c r="M43" s="105" t="s">
        <v>157</v>
      </c>
      <c r="N43" s="105" t="s">
        <v>157</v>
      </c>
      <c r="O43" s="105" t="s">
        <v>157</v>
      </c>
      <c r="P43" s="105" t="s">
        <v>157</v>
      </c>
      <c r="Q43" s="105" t="s">
        <v>157</v>
      </c>
      <c r="R43" s="105" t="s">
        <v>157</v>
      </c>
      <c r="S43" s="105" t="s">
        <v>157</v>
      </c>
      <c r="T43" s="105" t="s">
        <v>157</v>
      </c>
      <c r="U43" s="105" t="s">
        <v>157</v>
      </c>
      <c r="V43" s="105" t="s">
        <v>157</v>
      </c>
      <c r="W43" s="105" t="s">
        <v>157</v>
      </c>
      <c r="X43" s="105" t="s">
        <v>157</v>
      </c>
      <c r="Y43" s="105" t="s">
        <v>157</v>
      </c>
      <c r="Z43" s="105" t="s">
        <v>157</v>
      </c>
      <c r="AA43" s="105" t="s">
        <v>157</v>
      </c>
      <c r="AB43" s="105" t="s">
        <v>157</v>
      </c>
      <c r="AC43" s="105" t="s">
        <v>157</v>
      </c>
      <c r="AD43" s="105" t="s">
        <v>157</v>
      </c>
      <c r="AE43" s="105" t="s">
        <v>157</v>
      </c>
      <c r="AF43" s="105" t="s">
        <v>157</v>
      </c>
      <c r="AG43" s="105" t="s">
        <v>157</v>
      </c>
      <c r="AH43" s="105" t="s">
        <v>157</v>
      </c>
      <c r="AI43" s="105" t="s">
        <v>157</v>
      </c>
      <c r="AJ43" s="105" t="s">
        <v>157</v>
      </c>
      <c r="AK43" s="105" t="s">
        <v>157</v>
      </c>
      <c r="AL43" s="105" t="s">
        <v>157</v>
      </c>
      <c r="AM43" s="105" t="s">
        <v>157</v>
      </c>
      <c r="AN43" s="105" t="s">
        <v>157</v>
      </c>
      <c r="AO43" s="105" t="s">
        <v>157</v>
      </c>
      <c r="AP43" s="105" t="s">
        <v>157</v>
      </c>
      <c r="AQ43" s="105" t="s">
        <v>157</v>
      </c>
      <c r="AR43" s="105" t="s">
        <v>157</v>
      </c>
      <c r="AS43" s="105" t="s">
        <v>157</v>
      </c>
      <c r="AT43" s="105" t="s">
        <v>157</v>
      </c>
      <c r="AU43" s="105" t="s">
        <v>157</v>
      </c>
      <c r="AV43" s="105" t="s">
        <v>157</v>
      </c>
      <c r="AW43" s="105" t="s">
        <v>157</v>
      </c>
      <c r="AX43" s="105" t="s">
        <v>157</v>
      </c>
      <c r="AY43" s="105" t="s">
        <v>157</v>
      </c>
      <c r="AZ43" s="105" t="s">
        <v>157</v>
      </c>
      <c r="BA43" s="105" t="s">
        <v>157</v>
      </c>
      <c r="BB43" s="105" t="s">
        <v>157</v>
      </c>
      <c r="BC43" s="105" t="s">
        <v>157</v>
      </c>
      <c r="BD43" s="105" t="s">
        <v>157</v>
      </c>
      <c r="BE43" s="105" t="s">
        <v>157</v>
      </c>
      <c r="BF43" s="105" t="s">
        <v>157</v>
      </c>
      <c r="BG43" s="105" t="s">
        <v>157</v>
      </c>
      <c r="BH43" s="105" t="s">
        <v>157</v>
      </c>
      <c r="BI43" s="105" t="s">
        <v>157</v>
      </c>
      <c r="BJ43" s="105" t="s">
        <v>157</v>
      </c>
      <c r="BK43" s="105" t="s">
        <v>157</v>
      </c>
      <c r="BL43" s="105" t="s">
        <v>157</v>
      </c>
      <c r="BM43" s="105" t="s">
        <v>157</v>
      </c>
      <c r="BN43" s="105" t="s">
        <v>157</v>
      </c>
      <c r="BO43" s="105" t="s">
        <v>157</v>
      </c>
      <c r="BP43" s="105" t="s">
        <v>157</v>
      </c>
      <c r="BQ43" s="105" t="s">
        <v>157</v>
      </c>
      <c r="BR43" s="105" t="s">
        <v>157</v>
      </c>
      <c r="BS43" s="105" t="s">
        <v>157</v>
      </c>
      <c r="BT43" s="105" t="s">
        <v>157</v>
      </c>
      <c r="BU43" s="105" t="s">
        <v>157</v>
      </c>
      <c r="BV43" s="105" t="s">
        <v>157</v>
      </c>
      <c r="BW43" s="99"/>
    </row>
    <row r="44" spans="1:75" x14ac:dyDescent="0.25">
      <c r="B44" s="84" t="s">
        <v>164</v>
      </c>
      <c r="C44" s="86">
        <v>41479</v>
      </c>
      <c r="D44" s="161"/>
      <c r="E44" s="105" t="s">
        <v>157</v>
      </c>
      <c r="F44" s="105" t="s">
        <v>157</v>
      </c>
      <c r="G44" s="105" t="s">
        <v>157</v>
      </c>
      <c r="H44" s="105" t="s">
        <v>157</v>
      </c>
      <c r="I44" s="105" t="s">
        <v>157</v>
      </c>
      <c r="J44" s="105" t="s">
        <v>157</v>
      </c>
      <c r="K44" s="105" t="s">
        <v>157</v>
      </c>
      <c r="L44" s="105" t="s">
        <v>157</v>
      </c>
      <c r="M44" s="105" t="s">
        <v>157</v>
      </c>
      <c r="N44" s="105" t="s">
        <v>157</v>
      </c>
      <c r="O44" s="105" t="s">
        <v>157</v>
      </c>
      <c r="P44" s="105" t="s">
        <v>157</v>
      </c>
      <c r="Q44" s="105" t="s">
        <v>157</v>
      </c>
      <c r="R44" s="105" t="s">
        <v>157</v>
      </c>
      <c r="S44" s="105" t="s">
        <v>157</v>
      </c>
      <c r="T44" s="105" t="s">
        <v>157</v>
      </c>
      <c r="U44" s="105" t="s">
        <v>157</v>
      </c>
      <c r="V44" s="105" t="s">
        <v>157</v>
      </c>
      <c r="W44" s="105" t="s">
        <v>157</v>
      </c>
      <c r="X44" s="105" t="s">
        <v>157</v>
      </c>
      <c r="Y44" s="105" t="s">
        <v>157</v>
      </c>
      <c r="Z44" s="105" t="s">
        <v>157</v>
      </c>
      <c r="AA44" s="105" t="s">
        <v>157</v>
      </c>
      <c r="AB44" s="105" t="s">
        <v>157</v>
      </c>
      <c r="AC44" s="105" t="s">
        <v>157</v>
      </c>
      <c r="AD44" s="105" t="s">
        <v>157</v>
      </c>
      <c r="AE44" s="105" t="s">
        <v>157</v>
      </c>
      <c r="AF44" s="105" t="s">
        <v>157</v>
      </c>
      <c r="AG44" s="105" t="s">
        <v>157</v>
      </c>
      <c r="AH44" s="105" t="s">
        <v>157</v>
      </c>
      <c r="AI44" s="105" t="s">
        <v>157</v>
      </c>
      <c r="AJ44" s="105" t="s">
        <v>157</v>
      </c>
      <c r="AK44" s="105" t="s">
        <v>157</v>
      </c>
      <c r="AL44" s="105" t="s">
        <v>157</v>
      </c>
      <c r="AM44" s="105" t="s">
        <v>157</v>
      </c>
      <c r="AN44" s="105" t="s">
        <v>157</v>
      </c>
      <c r="AO44" s="105" t="s">
        <v>157</v>
      </c>
      <c r="AP44" s="105" t="s">
        <v>157</v>
      </c>
      <c r="AQ44" s="105" t="s">
        <v>157</v>
      </c>
      <c r="AR44" s="105" t="s">
        <v>157</v>
      </c>
      <c r="AS44" s="105" t="s">
        <v>157</v>
      </c>
      <c r="AT44" s="105" t="s">
        <v>157</v>
      </c>
      <c r="AU44" s="105" t="s">
        <v>157</v>
      </c>
      <c r="AV44" s="105" t="s">
        <v>157</v>
      </c>
      <c r="AW44" s="105" t="s">
        <v>157</v>
      </c>
      <c r="AX44" s="105" t="s">
        <v>157</v>
      </c>
      <c r="AY44" s="105" t="s">
        <v>157</v>
      </c>
      <c r="AZ44" s="105" t="s">
        <v>157</v>
      </c>
      <c r="BA44" s="105" t="s">
        <v>157</v>
      </c>
      <c r="BB44" s="105" t="s">
        <v>157</v>
      </c>
      <c r="BC44" s="105" t="s">
        <v>157</v>
      </c>
      <c r="BD44" s="105" t="s">
        <v>157</v>
      </c>
      <c r="BE44" s="105" t="s">
        <v>157</v>
      </c>
      <c r="BF44" s="105" t="s">
        <v>157</v>
      </c>
      <c r="BG44" s="105" t="s">
        <v>157</v>
      </c>
      <c r="BH44" s="105" t="s">
        <v>157</v>
      </c>
      <c r="BI44" s="105" t="s">
        <v>157</v>
      </c>
      <c r="BJ44" s="105" t="s">
        <v>157</v>
      </c>
      <c r="BK44" s="105" t="s">
        <v>157</v>
      </c>
      <c r="BL44" s="105" t="s">
        <v>157</v>
      </c>
      <c r="BM44" s="105" t="s">
        <v>157</v>
      </c>
      <c r="BN44" s="105" t="s">
        <v>157</v>
      </c>
      <c r="BO44" s="105" t="s">
        <v>157</v>
      </c>
      <c r="BP44" s="105" t="s">
        <v>157</v>
      </c>
      <c r="BQ44" s="105" t="s">
        <v>157</v>
      </c>
      <c r="BR44" s="105" t="s">
        <v>157</v>
      </c>
      <c r="BS44" s="105" t="s">
        <v>157</v>
      </c>
      <c r="BT44" s="105" t="s">
        <v>157</v>
      </c>
      <c r="BU44" s="105" t="s">
        <v>157</v>
      </c>
      <c r="BV44" s="105" t="s">
        <v>157</v>
      </c>
      <c r="BW44" s="99"/>
    </row>
    <row r="45" spans="1:75" x14ac:dyDescent="0.25">
      <c r="B45" s="84" t="s">
        <v>165</v>
      </c>
      <c r="C45" s="86">
        <v>41479</v>
      </c>
      <c r="D45" s="161"/>
      <c r="E45" s="105">
        <v>91.083333333333329</v>
      </c>
      <c r="F45" s="105">
        <v>91.850000000000009</v>
      </c>
      <c r="G45" s="105">
        <v>95.166666666666671</v>
      </c>
      <c r="H45" s="105">
        <v>105.8</v>
      </c>
      <c r="I45" s="105">
        <v>95.283333333333346</v>
      </c>
      <c r="J45" s="105">
        <v>94.199999999999989</v>
      </c>
      <c r="K45" s="105">
        <v>93.183333333333337</v>
      </c>
      <c r="L45" s="105">
        <v>94.716666666666654</v>
      </c>
      <c r="M45" s="105">
        <v>92.5</v>
      </c>
      <c r="N45" s="105">
        <v>91.7</v>
      </c>
      <c r="O45" s="105">
        <v>91.916666666666671</v>
      </c>
      <c r="P45" s="105" t="s">
        <v>166</v>
      </c>
      <c r="Q45" s="105">
        <v>109.96666666666665</v>
      </c>
      <c r="R45" s="105" t="s">
        <v>166</v>
      </c>
      <c r="S45" s="105">
        <v>101.63333333333334</v>
      </c>
      <c r="T45" s="105" t="s">
        <v>166</v>
      </c>
      <c r="U45" s="105">
        <v>124.73333333333335</v>
      </c>
      <c r="V45" s="105">
        <v>91.416666666666671</v>
      </c>
      <c r="W45" s="105">
        <v>92.183333333333337</v>
      </c>
      <c r="X45" s="105" t="s">
        <v>166</v>
      </c>
      <c r="Y45" s="105">
        <v>66.600000000000009</v>
      </c>
      <c r="Z45" s="105">
        <v>90.733333333333334</v>
      </c>
      <c r="AA45" s="105" t="s">
        <v>166</v>
      </c>
      <c r="AB45" s="105">
        <v>120.16666666666667</v>
      </c>
      <c r="AC45" s="105">
        <v>90.649999999999991</v>
      </c>
      <c r="AD45" s="105">
        <v>87.233333333333334</v>
      </c>
      <c r="AE45" s="105" t="s">
        <v>166</v>
      </c>
      <c r="AF45" s="105">
        <v>93.649999999999991</v>
      </c>
      <c r="AG45" s="105" t="s">
        <v>166</v>
      </c>
      <c r="AH45" s="105">
        <v>93.350000000000009</v>
      </c>
      <c r="AI45" s="105" t="s">
        <v>166</v>
      </c>
      <c r="AJ45" s="105">
        <v>92.600000000000009</v>
      </c>
      <c r="AK45" s="105" t="s">
        <v>166</v>
      </c>
      <c r="AL45" s="105">
        <v>84.95</v>
      </c>
      <c r="AM45" s="105">
        <v>82.466666666666683</v>
      </c>
      <c r="AN45" s="105">
        <v>103.13333333333334</v>
      </c>
      <c r="AO45" s="105">
        <v>107.51666666666665</v>
      </c>
      <c r="AP45" s="105" t="s">
        <v>166</v>
      </c>
      <c r="AQ45" s="105" t="s">
        <v>166</v>
      </c>
      <c r="AR45" s="105" t="s">
        <v>166</v>
      </c>
      <c r="AS45" s="105" t="s">
        <v>166</v>
      </c>
      <c r="AT45" s="105">
        <v>69.133333333333326</v>
      </c>
      <c r="AU45" s="105" t="s">
        <v>182</v>
      </c>
      <c r="AV45" s="105" t="s">
        <v>166</v>
      </c>
      <c r="AW45" s="105" t="s">
        <v>166</v>
      </c>
      <c r="AX45" s="105" t="s">
        <v>166</v>
      </c>
      <c r="AY45" s="105">
        <v>93.416666666666671</v>
      </c>
      <c r="AZ45" s="105" t="s">
        <v>166</v>
      </c>
      <c r="BA45" s="105" t="s">
        <v>166</v>
      </c>
      <c r="BB45" s="105" t="s">
        <v>166</v>
      </c>
      <c r="BC45" s="105" t="s">
        <v>166</v>
      </c>
      <c r="BD45" s="105">
        <v>77.116666666666674</v>
      </c>
      <c r="BE45" s="105" t="s">
        <v>166</v>
      </c>
      <c r="BF45" s="105" t="s">
        <v>166</v>
      </c>
      <c r="BG45" s="105">
        <v>114.60000000000002</v>
      </c>
      <c r="BH45" s="105">
        <v>120.55</v>
      </c>
      <c r="BI45" s="105">
        <v>119.63333333333333</v>
      </c>
      <c r="BJ45" s="105" t="s">
        <v>166</v>
      </c>
      <c r="BK45" s="105" t="s">
        <v>166</v>
      </c>
      <c r="BL45" s="105">
        <v>89.433333333333337</v>
      </c>
      <c r="BM45" s="105" t="s">
        <v>166</v>
      </c>
      <c r="BN45" s="105" t="s">
        <v>182</v>
      </c>
      <c r="BO45" s="105" t="s">
        <v>166</v>
      </c>
      <c r="BP45" s="105" t="s">
        <v>166</v>
      </c>
      <c r="BQ45" s="105" t="s">
        <v>166</v>
      </c>
      <c r="BR45" s="105" t="s">
        <v>166</v>
      </c>
      <c r="BS45" s="105" t="s">
        <v>166</v>
      </c>
      <c r="BT45" s="105" t="s">
        <v>166</v>
      </c>
      <c r="BU45" s="105" t="s">
        <v>166</v>
      </c>
      <c r="BV45" s="105" t="s">
        <v>166</v>
      </c>
      <c r="BW45" s="99"/>
    </row>
    <row r="46" spans="1:75" ht="17.25" x14ac:dyDescent="0.25">
      <c r="B46" s="85" t="s">
        <v>168</v>
      </c>
      <c r="C46" s="86">
        <v>41479</v>
      </c>
      <c r="D46" s="161"/>
      <c r="E46" s="105">
        <v>0.998</v>
      </c>
      <c r="F46" s="105">
        <v>0.999</v>
      </c>
      <c r="G46" s="105">
        <v>0.997</v>
      </c>
      <c r="H46" s="105">
        <v>0.996</v>
      </c>
      <c r="I46" s="105">
        <v>0.998</v>
      </c>
      <c r="J46" s="105">
        <v>0.997</v>
      </c>
      <c r="K46" s="105">
        <v>0.999</v>
      </c>
      <c r="L46" s="105">
        <v>0.999</v>
      </c>
      <c r="M46" s="105">
        <v>0.998</v>
      </c>
      <c r="N46" s="105">
        <v>0.999</v>
      </c>
      <c r="O46" s="105">
        <v>0.998</v>
      </c>
      <c r="P46" s="105" t="s">
        <v>166</v>
      </c>
      <c r="Q46" s="105">
        <v>0.999</v>
      </c>
      <c r="R46" s="105" t="s">
        <v>166</v>
      </c>
      <c r="S46" s="105">
        <v>0.998</v>
      </c>
      <c r="T46" s="105" t="s">
        <v>166</v>
      </c>
      <c r="U46" s="105">
        <v>0.98399999999999999</v>
      </c>
      <c r="V46" s="105">
        <v>0.98499999999999999</v>
      </c>
      <c r="W46" s="105">
        <v>0.98599999999999999</v>
      </c>
      <c r="X46" s="105" t="s">
        <v>166</v>
      </c>
      <c r="Y46" s="105">
        <v>0.99199999999999999</v>
      </c>
      <c r="Z46" s="105">
        <v>0.998</v>
      </c>
      <c r="AA46" s="105" t="s">
        <v>166</v>
      </c>
      <c r="AB46" s="105">
        <v>0.996</v>
      </c>
      <c r="AC46" s="105">
        <v>0.995</v>
      </c>
      <c r="AD46" s="105">
        <v>0.996</v>
      </c>
      <c r="AE46" s="105" t="s">
        <v>166</v>
      </c>
      <c r="AF46" s="105">
        <v>0.997</v>
      </c>
      <c r="AG46" s="105" t="s">
        <v>166</v>
      </c>
      <c r="AH46" s="105">
        <v>0.997</v>
      </c>
      <c r="AI46" s="105" t="s">
        <v>166</v>
      </c>
      <c r="AJ46" s="105">
        <v>0.997</v>
      </c>
      <c r="AK46" s="105" t="s">
        <v>166</v>
      </c>
      <c r="AL46" s="105">
        <v>0.999</v>
      </c>
      <c r="AM46" s="105">
        <v>0.98599999999999999</v>
      </c>
      <c r="AN46" s="105">
        <v>0.99199999999999999</v>
      </c>
      <c r="AO46" s="105">
        <v>0.99399999999999999</v>
      </c>
      <c r="AP46" s="105" t="s">
        <v>166</v>
      </c>
      <c r="AQ46" s="105" t="s">
        <v>166</v>
      </c>
      <c r="AR46" s="105" t="s">
        <v>166</v>
      </c>
      <c r="AS46" s="105" t="s">
        <v>166</v>
      </c>
      <c r="AT46" s="105">
        <v>0.997</v>
      </c>
      <c r="AU46" s="105">
        <v>0.996</v>
      </c>
      <c r="AV46" s="105" t="s">
        <v>166</v>
      </c>
      <c r="AW46" s="105" t="s">
        <v>166</v>
      </c>
      <c r="AX46" s="105" t="s">
        <v>166</v>
      </c>
      <c r="AY46" s="105">
        <v>0.998</v>
      </c>
      <c r="AZ46" s="105" t="s">
        <v>166</v>
      </c>
      <c r="BA46" s="105" t="s">
        <v>166</v>
      </c>
      <c r="BB46" s="105" t="s">
        <v>166</v>
      </c>
      <c r="BC46" s="105" t="s">
        <v>166</v>
      </c>
      <c r="BD46" s="105">
        <v>0.996</v>
      </c>
      <c r="BE46" s="105" t="s">
        <v>166</v>
      </c>
      <c r="BF46" s="105" t="s">
        <v>166</v>
      </c>
      <c r="BG46" s="105">
        <v>0.998</v>
      </c>
      <c r="BH46" s="105">
        <v>0.997</v>
      </c>
      <c r="BI46" s="105">
        <v>0.998</v>
      </c>
      <c r="BJ46" s="105" t="s">
        <v>166</v>
      </c>
      <c r="BK46" s="105" t="s">
        <v>166</v>
      </c>
      <c r="BL46" s="105">
        <v>0.999</v>
      </c>
      <c r="BM46" s="105" t="s">
        <v>166</v>
      </c>
      <c r="BN46" s="105">
        <v>0.996</v>
      </c>
      <c r="BO46" s="105" t="s">
        <v>166</v>
      </c>
      <c r="BP46" s="105" t="s">
        <v>166</v>
      </c>
      <c r="BQ46" s="105" t="s">
        <v>166</v>
      </c>
      <c r="BR46" s="105" t="s">
        <v>166</v>
      </c>
      <c r="BS46" s="105" t="s">
        <v>166</v>
      </c>
      <c r="BT46" s="105" t="s">
        <v>166</v>
      </c>
      <c r="BU46" s="105" t="s">
        <v>166</v>
      </c>
      <c r="BV46" s="105" t="s">
        <v>166</v>
      </c>
      <c r="BW46" s="99"/>
    </row>
    <row r="47" spans="1:75" x14ac:dyDescent="0.25">
      <c r="B47" s="85" t="s">
        <v>170</v>
      </c>
      <c r="C47" s="86">
        <v>41479</v>
      </c>
      <c r="D47" s="161"/>
      <c r="E47" s="105" t="s">
        <v>169</v>
      </c>
      <c r="F47" s="105" t="s">
        <v>169</v>
      </c>
      <c r="G47" s="105" t="s">
        <v>169</v>
      </c>
      <c r="H47" s="105" t="s">
        <v>169</v>
      </c>
      <c r="I47" s="105" t="s">
        <v>169</v>
      </c>
      <c r="J47" s="105" t="s">
        <v>169</v>
      </c>
      <c r="K47" s="105" t="s">
        <v>169</v>
      </c>
      <c r="L47" s="105" t="s">
        <v>169</v>
      </c>
      <c r="M47" s="105" t="s">
        <v>169</v>
      </c>
      <c r="N47" s="105" t="s">
        <v>169</v>
      </c>
      <c r="O47" s="105" t="s">
        <v>169</v>
      </c>
      <c r="P47" s="105" t="s">
        <v>169</v>
      </c>
      <c r="Q47" s="105" t="s">
        <v>169</v>
      </c>
      <c r="R47" s="105" t="s">
        <v>169</v>
      </c>
      <c r="S47" s="105" t="s">
        <v>169</v>
      </c>
      <c r="T47" s="105" t="s">
        <v>169</v>
      </c>
      <c r="U47" s="105" t="s">
        <v>169</v>
      </c>
      <c r="V47" s="105" t="s">
        <v>169</v>
      </c>
      <c r="W47" s="105" t="s">
        <v>169</v>
      </c>
      <c r="X47" s="105" t="s">
        <v>169</v>
      </c>
      <c r="Y47" s="105" t="s">
        <v>169</v>
      </c>
      <c r="Z47" s="105" t="s">
        <v>169</v>
      </c>
      <c r="AA47" s="105" t="s">
        <v>169</v>
      </c>
      <c r="AB47" s="105" t="s">
        <v>169</v>
      </c>
      <c r="AC47" s="105" t="s">
        <v>169</v>
      </c>
      <c r="AD47" s="105" t="s">
        <v>169</v>
      </c>
      <c r="AE47" s="105" t="s">
        <v>166</v>
      </c>
      <c r="AF47" s="105" t="s">
        <v>169</v>
      </c>
      <c r="AG47" s="105" t="s">
        <v>169</v>
      </c>
      <c r="AH47" s="105" t="s">
        <v>169</v>
      </c>
      <c r="AI47" s="105" t="s">
        <v>166</v>
      </c>
      <c r="AJ47" s="105" t="s">
        <v>169</v>
      </c>
      <c r="AK47" s="105" t="s">
        <v>166</v>
      </c>
      <c r="AL47" s="105" t="s">
        <v>169</v>
      </c>
      <c r="AM47" s="105" t="s">
        <v>169</v>
      </c>
      <c r="AN47" s="105" t="s">
        <v>169</v>
      </c>
      <c r="AO47" s="105" t="s">
        <v>169</v>
      </c>
      <c r="AP47" s="105" t="s">
        <v>166</v>
      </c>
      <c r="AQ47" s="105" t="s">
        <v>166</v>
      </c>
      <c r="AR47" s="105" t="s">
        <v>166</v>
      </c>
      <c r="AS47" s="105" t="s">
        <v>166</v>
      </c>
      <c r="AT47" s="105" t="s">
        <v>169</v>
      </c>
      <c r="AU47" s="105" t="s">
        <v>169</v>
      </c>
      <c r="AV47" s="105" t="s">
        <v>166</v>
      </c>
      <c r="AW47" s="105" t="s">
        <v>166</v>
      </c>
      <c r="AX47" s="105" t="s">
        <v>166</v>
      </c>
      <c r="AY47" s="105" t="s">
        <v>169</v>
      </c>
      <c r="AZ47" s="105" t="s">
        <v>166</v>
      </c>
      <c r="BA47" s="105" t="s">
        <v>166</v>
      </c>
      <c r="BB47" s="105" t="s">
        <v>166</v>
      </c>
      <c r="BC47" s="105" t="s">
        <v>166</v>
      </c>
      <c r="BD47" s="105" t="s">
        <v>169</v>
      </c>
      <c r="BE47" s="105" t="s">
        <v>166</v>
      </c>
      <c r="BF47" s="105" t="s">
        <v>169</v>
      </c>
      <c r="BG47" s="105" t="s">
        <v>169</v>
      </c>
      <c r="BH47" s="105" t="s">
        <v>169</v>
      </c>
      <c r="BI47" s="105" t="s">
        <v>169</v>
      </c>
      <c r="BJ47" s="105" t="s">
        <v>166</v>
      </c>
      <c r="BK47" s="105" t="s">
        <v>166</v>
      </c>
      <c r="BL47" s="105" t="s">
        <v>169</v>
      </c>
      <c r="BM47" s="105" t="s">
        <v>166</v>
      </c>
      <c r="BN47" s="105" t="s">
        <v>169</v>
      </c>
      <c r="BO47" s="105" t="s">
        <v>166</v>
      </c>
      <c r="BP47" s="105" t="s">
        <v>169</v>
      </c>
      <c r="BQ47" s="105" t="s">
        <v>169</v>
      </c>
      <c r="BR47" s="105" t="s">
        <v>169</v>
      </c>
      <c r="BS47" s="105" t="s">
        <v>169</v>
      </c>
      <c r="BT47" s="105" t="s">
        <v>169</v>
      </c>
      <c r="BU47" s="105" t="s">
        <v>169</v>
      </c>
      <c r="BV47" s="105" t="s">
        <v>169</v>
      </c>
      <c r="BW47" s="99"/>
    </row>
    <row r="48" spans="1:75" s="147" customFormat="1" x14ac:dyDescent="0.25">
      <c r="B48" s="148" t="s">
        <v>202</v>
      </c>
      <c r="C48" s="142">
        <v>41479</v>
      </c>
      <c r="D48" s="161"/>
      <c r="E48" s="147" t="s">
        <v>175</v>
      </c>
      <c r="F48" s="147">
        <v>2.895708526737891</v>
      </c>
      <c r="G48" s="147">
        <v>1.1112603419265892</v>
      </c>
      <c r="H48" s="147">
        <v>2.3133097914590883</v>
      </c>
      <c r="I48" s="147">
        <v>1.5901391048866413</v>
      </c>
      <c r="J48" s="147">
        <v>12.674982705206849</v>
      </c>
      <c r="K48" s="147">
        <v>24.644860996915423</v>
      </c>
      <c r="L48" s="147">
        <v>10.904221178598963</v>
      </c>
      <c r="M48" s="147">
        <v>13.390162015748434</v>
      </c>
      <c r="N48" s="147" t="s">
        <v>175</v>
      </c>
      <c r="O48" s="147" t="s">
        <v>175</v>
      </c>
      <c r="P48" s="147" t="s">
        <v>175</v>
      </c>
      <c r="Q48" s="147" t="s">
        <v>175</v>
      </c>
      <c r="R48" s="147" t="s">
        <v>175</v>
      </c>
      <c r="S48" s="147" t="s">
        <v>175</v>
      </c>
      <c r="T48" s="147" t="s">
        <v>175</v>
      </c>
      <c r="U48" s="147">
        <v>5.3233071837976151</v>
      </c>
      <c r="V48" s="147" t="s">
        <v>175</v>
      </c>
      <c r="W48" s="147" t="s">
        <v>175</v>
      </c>
      <c r="X48" s="147" t="s">
        <v>175</v>
      </c>
      <c r="Y48" s="147" t="s">
        <v>175</v>
      </c>
      <c r="Z48" s="147" t="s">
        <v>175</v>
      </c>
      <c r="AA48" s="147" t="s">
        <v>175</v>
      </c>
      <c r="AB48" s="147" t="s">
        <v>175</v>
      </c>
      <c r="AC48" s="147">
        <v>2.2389901020513192</v>
      </c>
      <c r="AD48" s="147" t="s">
        <v>175</v>
      </c>
      <c r="AE48" s="147" t="s">
        <v>175</v>
      </c>
      <c r="AF48" s="147">
        <v>11.097637345096949</v>
      </c>
      <c r="AG48" s="147" t="s">
        <v>175</v>
      </c>
      <c r="AH48" s="147">
        <v>1.8458327178915921</v>
      </c>
      <c r="AI48" s="147" t="s">
        <v>175</v>
      </c>
      <c r="AJ48" s="147">
        <v>4.4456765613855751</v>
      </c>
      <c r="AK48" s="147" t="s">
        <v>175</v>
      </c>
      <c r="AL48" s="147" t="s">
        <v>175</v>
      </c>
      <c r="AM48" s="147" t="s">
        <v>175</v>
      </c>
      <c r="AN48" s="147">
        <v>1.3729022503160735</v>
      </c>
      <c r="AO48" s="147" t="s">
        <v>175</v>
      </c>
      <c r="AP48" s="147" t="s">
        <v>175</v>
      </c>
      <c r="AQ48" s="147" t="s">
        <v>175</v>
      </c>
      <c r="AR48" s="147" t="s">
        <v>175</v>
      </c>
      <c r="AS48" s="147" t="s">
        <v>175</v>
      </c>
      <c r="AT48" s="147" t="s">
        <v>175</v>
      </c>
      <c r="AU48" s="147">
        <v>6.6121823563350451E-3</v>
      </c>
      <c r="AV48" s="147" t="s">
        <v>175</v>
      </c>
      <c r="AW48" s="147" t="s">
        <v>175</v>
      </c>
      <c r="AX48" s="147" t="s">
        <v>175</v>
      </c>
      <c r="AY48" s="147">
        <v>17.154757498173915</v>
      </c>
      <c r="AZ48" s="147" t="s">
        <v>175</v>
      </c>
      <c r="BA48" s="147" t="s">
        <v>175</v>
      </c>
      <c r="BB48" s="147" t="s">
        <v>175</v>
      </c>
      <c r="BC48" s="147" t="s">
        <v>175</v>
      </c>
      <c r="BD48" s="147">
        <v>2.2325249407578291</v>
      </c>
      <c r="BE48" s="147" t="s">
        <v>175</v>
      </c>
      <c r="BF48" s="147" t="s">
        <v>175</v>
      </c>
      <c r="BG48" s="147" t="s">
        <v>175</v>
      </c>
      <c r="BH48" s="147" t="s">
        <v>175</v>
      </c>
      <c r="BI48" s="147" t="s">
        <v>175</v>
      </c>
      <c r="BJ48" s="147" t="s">
        <v>175</v>
      </c>
      <c r="BK48" s="147" t="s">
        <v>175</v>
      </c>
      <c r="BL48" s="147">
        <v>0.15204070395418878</v>
      </c>
      <c r="BM48" s="147">
        <v>0.84835804057361619</v>
      </c>
      <c r="BN48" s="147">
        <v>1.6713476864212164</v>
      </c>
      <c r="BO48" s="147">
        <v>5.0861362265926538E-2</v>
      </c>
      <c r="BP48" s="147">
        <v>3.7769656951272474</v>
      </c>
      <c r="BQ48" s="147" t="s">
        <v>175</v>
      </c>
      <c r="BR48" s="147" t="s">
        <v>175</v>
      </c>
      <c r="BS48" s="147" t="s">
        <v>175</v>
      </c>
      <c r="BT48" s="147" t="s">
        <v>175</v>
      </c>
      <c r="BU48" s="147" t="s">
        <v>175</v>
      </c>
      <c r="BV48" s="147">
        <v>17.278832834270329</v>
      </c>
    </row>
    <row r="49" spans="2:75" x14ac:dyDescent="0.25"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5"/>
      <c r="BW49" s="99"/>
    </row>
    <row r="50" spans="2:75" x14ac:dyDescent="0.25">
      <c r="B50" s="87" t="s">
        <v>163</v>
      </c>
      <c r="C50" s="89">
        <v>41501</v>
      </c>
      <c r="D50" s="161"/>
      <c r="E50" s="105" t="s">
        <v>157</v>
      </c>
      <c r="F50" s="106" t="s">
        <v>157</v>
      </c>
      <c r="G50" s="106" t="s">
        <v>157</v>
      </c>
      <c r="H50" s="106" t="s">
        <v>157</v>
      </c>
      <c r="I50" s="123" t="s">
        <v>157</v>
      </c>
      <c r="J50" s="106" t="s">
        <v>157</v>
      </c>
      <c r="K50" s="106" t="s">
        <v>157</v>
      </c>
      <c r="L50" s="106" t="s">
        <v>157</v>
      </c>
      <c r="M50" s="106" t="s">
        <v>157</v>
      </c>
      <c r="N50" s="106" t="s">
        <v>157</v>
      </c>
      <c r="O50" s="106" t="s">
        <v>157</v>
      </c>
      <c r="P50" s="106" t="s">
        <v>157</v>
      </c>
      <c r="Q50" s="106" t="s">
        <v>157</v>
      </c>
      <c r="R50" s="106" t="s">
        <v>157</v>
      </c>
      <c r="S50" s="106" t="s">
        <v>157</v>
      </c>
      <c r="T50" s="106" t="s">
        <v>157</v>
      </c>
      <c r="U50" s="106" t="s">
        <v>157</v>
      </c>
      <c r="V50" s="106" t="s">
        <v>157</v>
      </c>
      <c r="W50" s="106" t="s">
        <v>157</v>
      </c>
      <c r="X50" s="106" t="s">
        <v>157</v>
      </c>
      <c r="Y50" s="106" t="s">
        <v>157</v>
      </c>
      <c r="Z50" s="106" t="s">
        <v>157</v>
      </c>
      <c r="AA50" s="106" t="s">
        <v>157</v>
      </c>
      <c r="AB50" s="106" t="s">
        <v>157</v>
      </c>
      <c r="AC50" s="106" t="s">
        <v>157</v>
      </c>
      <c r="AD50" s="106" t="s">
        <v>157</v>
      </c>
      <c r="AE50" s="106" t="s">
        <v>157</v>
      </c>
      <c r="AF50" s="106" t="s">
        <v>157</v>
      </c>
      <c r="AG50" s="106" t="s">
        <v>157</v>
      </c>
      <c r="AH50" s="105" t="s">
        <v>157</v>
      </c>
      <c r="AI50" s="106" t="s">
        <v>157</v>
      </c>
      <c r="AJ50" s="106" t="s">
        <v>157</v>
      </c>
      <c r="AK50" s="106" t="s">
        <v>157</v>
      </c>
      <c r="AL50" s="106" t="s">
        <v>157</v>
      </c>
      <c r="AM50" s="106" t="s">
        <v>157</v>
      </c>
      <c r="AN50" s="106" t="s">
        <v>157</v>
      </c>
      <c r="AO50" s="106" t="s">
        <v>157</v>
      </c>
      <c r="AP50" s="106" t="s">
        <v>157</v>
      </c>
      <c r="AQ50" s="106" t="s">
        <v>157</v>
      </c>
      <c r="AR50" s="106" t="s">
        <v>157</v>
      </c>
      <c r="AS50" s="106" t="s">
        <v>157</v>
      </c>
      <c r="AT50" s="106" t="s">
        <v>157</v>
      </c>
      <c r="AU50" s="106" t="s">
        <v>157</v>
      </c>
      <c r="AV50" s="106" t="s">
        <v>157</v>
      </c>
      <c r="AW50" s="106" t="s">
        <v>157</v>
      </c>
      <c r="AX50" s="106" t="s">
        <v>157</v>
      </c>
      <c r="AY50" s="106" t="s">
        <v>157</v>
      </c>
      <c r="AZ50" s="106" t="s">
        <v>157</v>
      </c>
      <c r="BA50" s="106" t="s">
        <v>157</v>
      </c>
      <c r="BB50" s="106" t="s">
        <v>157</v>
      </c>
      <c r="BC50" s="106" t="s">
        <v>157</v>
      </c>
      <c r="BD50" s="106" t="s">
        <v>157</v>
      </c>
      <c r="BE50" s="106" t="s">
        <v>157</v>
      </c>
      <c r="BF50" s="106" t="s">
        <v>157</v>
      </c>
      <c r="BG50" s="106" t="s">
        <v>157</v>
      </c>
      <c r="BH50" s="106" t="s">
        <v>157</v>
      </c>
      <c r="BI50" s="106" t="s">
        <v>157</v>
      </c>
      <c r="BJ50" s="106" t="s">
        <v>157</v>
      </c>
      <c r="BK50" s="106" t="s">
        <v>157</v>
      </c>
      <c r="BL50" s="106" t="s">
        <v>157</v>
      </c>
      <c r="BM50" s="106" t="s">
        <v>157</v>
      </c>
      <c r="BN50" s="106" t="s">
        <v>157</v>
      </c>
      <c r="BO50" s="106" t="s">
        <v>157</v>
      </c>
      <c r="BP50" s="106" t="s">
        <v>157</v>
      </c>
      <c r="BQ50" s="106" t="s">
        <v>157</v>
      </c>
      <c r="BR50" s="106" t="s">
        <v>157</v>
      </c>
      <c r="BS50" s="106" t="s">
        <v>157</v>
      </c>
      <c r="BT50" s="106" t="s">
        <v>157</v>
      </c>
      <c r="BU50" s="106" t="s">
        <v>157</v>
      </c>
      <c r="BV50" s="106" t="s">
        <v>157</v>
      </c>
      <c r="BW50" s="99"/>
    </row>
    <row r="51" spans="2:75" x14ac:dyDescent="0.25">
      <c r="B51" s="87" t="s">
        <v>164</v>
      </c>
      <c r="C51" s="89">
        <v>41501</v>
      </c>
      <c r="D51" s="161"/>
      <c r="E51" s="105" t="s">
        <v>157</v>
      </c>
      <c r="F51" s="106" t="s">
        <v>157</v>
      </c>
      <c r="G51" s="106" t="s">
        <v>157</v>
      </c>
      <c r="H51" s="106" t="s">
        <v>157</v>
      </c>
      <c r="I51" s="123" t="s">
        <v>157</v>
      </c>
      <c r="J51" s="106" t="s">
        <v>157</v>
      </c>
      <c r="K51" s="106" t="s">
        <v>157</v>
      </c>
      <c r="L51" s="106" t="s">
        <v>157</v>
      </c>
      <c r="M51" s="106" t="s">
        <v>157</v>
      </c>
      <c r="N51" s="106" t="s">
        <v>157</v>
      </c>
      <c r="O51" s="106" t="s">
        <v>157</v>
      </c>
      <c r="P51" s="106" t="s">
        <v>157</v>
      </c>
      <c r="Q51" s="106" t="s">
        <v>157</v>
      </c>
      <c r="R51" s="106" t="s">
        <v>157</v>
      </c>
      <c r="S51" s="106" t="s">
        <v>157</v>
      </c>
      <c r="T51" s="106" t="s">
        <v>157</v>
      </c>
      <c r="U51" s="106" t="s">
        <v>157</v>
      </c>
      <c r="V51" s="106" t="s">
        <v>157</v>
      </c>
      <c r="W51" s="106" t="s">
        <v>157</v>
      </c>
      <c r="X51" s="106" t="s">
        <v>157</v>
      </c>
      <c r="Y51" s="106" t="s">
        <v>157</v>
      </c>
      <c r="Z51" s="106" t="s">
        <v>157</v>
      </c>
      <c r="AA51" s="106" t="s">
        <v>157</v>
      </c>
      <c r="AB51" s="106" t="s">
        <v>157</v>
      </c>
      <c r="AC51" s="106" t="s">
        <v>157</v>
      </c>
      <c r="AD51" s="106" t="s">
        <v>157</v>
      </c>
      <c r="AE51" s="106" t="s">
        <v>157</v>
      </c>
      <c r="AF51" s="123" t="s">
        <v>157</v>
      </c>
      <c r="AG51" s="106" t="s">
        <v>157</v>
      </c>
      <c r="AH51" s="105" t="s">
        <v>157</v>
      </c>
      <c r="AI51" s="106" t="s">
        <v>157</v>
      </c>
      <c r="AJ51" s="106" t="s">
        <v>157</v>
      </c>
      <c r="AK51" s="106" t="s">
        <v>157</v>
      </c>
      <c r="AL51" s="106" t="s">
        <v>157</v>
      </c>
      <c r="AM51" s="106" t="s">
        <v>157</v>
      </c>
      <c r="AN51" s="106" t="s">
        <v>157</v>
      </c>
      <c r="AO51" s="106" t="s">
        <v>157</v>
      </c>
      <c r="AP51" s="106" t="s">
        <v>157</v>
      </c>
      <c r="AQ51" s="106" t="s">
        <v>157</v>
      </c>
      <c r="AR51" s="106" t="s">
        <v>157</v>
      </c>
      <c r="AS51" s="106" t="s">
        <v>157</v>
      </c>
      <c r="AT51" s="106" t="s">
        <v>157</v>
      </c>
      <c r="AU51" s="106" t="s">
        <v>157</v>
      </c>
      <c r="AV51" s="106" t="s">
        <v>157</v>
      </c>
      <c r="AW51" s="106" t="s">
        <v>157</v>
      </c>
      <c r="AX51" s="106" t="s">
        <v>157</v>
      </c>
      <c r="AY51" s="106" t="s">
        <v>157</v>
      </c>
      <c r="AZ51" s="106" t="s">
        <v>157</v>
      </c>
      <c r="BA51" s="106" t="s">
        <v>157</v>
      </c>
      <c r="BB51" s="106" t="s">
        <v>157</v>
      </c>
      <c r="BC51" s="106" t="s">
        <v>157</v>
      </c>
      <c r="BD51" s="106" t="s">
        <v>157</v>
      </c>
      <c r="BE51" s="106" t="s">
        <v>157</v>
      </c>
      <c r="BF51" s="106" t="s">
        <v>157</v>
      </c>
      <c r="BG51" s="106" t="s">
        <v>157</v>
      </c>
      <c r="BH51" s="106" t="s">
        <v>157</v>
      </c>
      <c r="BI51" s="106" t="s">
        <v>157</v>
      </c>
      <c r="BJ51" s="106" t="s">
        <v>157</v>
      </c>
      <c r="BK51" s="106" t="s">
        <v>157</v>
      </c>
      <c r="BL51" s="106" t="s">
        <v>157</v>
      </c>
      <c r="BM51" s="106" t="s">
        <v>157</v>
      </c>
      <c r="BN51" s="106" t="s">
        <v>157</v>
      </c>
      <c r="BO51" s="106" t="s">
        <v>157</v>
      </c>
      <c r="BP51" s="106" t="s">
        <v>157</v>
      </c>
      <c r="BQ51" s="106" t="s">
        <v>157</v>
      </c>
      <c r="BR51" s="106" t="s">
        <v>157</v>
      </c>
      <c r="BS51" s="106" t="s">
        <v>157</v>
      </c>
      <c r="BT51" s="106" t="s">
        <v>157</v>
      </c>
      <c r="BU51" s="106" t="s">
        <v>157</v>
      </c>
      <c r="BV51" s="106" t="s">
        <v>157</v>
      </c>
      <c r="BW51" s="99"/>
    </row>
    <row r="52" spans="2:75" x14ac:dyDescent="0.25">
      <c r="B52" s="87" t="s">
        <v>165</v>
      </c>
      <c r="C52" s="89">
        <v>41501</v>
      </c>
      <c r="D52" s="161"/>
      <c r="E52" s="106">
        <v>80.166666666666671</v>
      </c>
      <c r="F52" s="106">
        <v>78.650000000000006</v>
      </c>
      <c r="G52" s="106">
        <v>79.924999999999997</v>
      </c>
      <c r="H52" s="106">
        <v>107.1</v>
      </c>
      <c r="I52" s="106">
        <v>78.199999999999989</v>
      </c>
      <c r="J52" s="106">
        <v>76.099999999999994</v>
      </c>
      <c r="K52" s="106">
        <v>79.900000000000006</v>
      </c>
      <c r="L52" s="106">
        <v>87.8</v>
      </c>
      <c r="M52" s="106">
        <v>80.25</v>
      </c>
      <c r="N52" s="106">
        <v>75.3</v>
      </c>
      <c r="O52" s="106">
        <v>91.1</v>
      </c>
      <c r="P52" s="105" t="s">
        <v>166</v>
      </c>
      <c r="Q52" s="106">
        <v>71.133333333333326</v>
      </c>
      <c r="R52" s="105" t="s">
        <v>166</v>
      </c>
      <c r="S52" s="106">
        <v>78.183333333333337</v>
      </c>
      <c r="T52" s="105" t="s">
        <v>166</v>
      </c>
      <c r="U52" s="106">
        <v>96.899999999999991</v>
      </c>
      <c r="V52" s="106">
        <v>99.983333333333334</v>
      </c>
      <c r="W52" s="106">
        <v>129.75</v>
      </c>
      <c r="X52" s="105" t="s">
        <v>166</v>
      </c>
      <c r="Y52" s="106" t="s">
        <v>182</v>
      </c>
      <c r="Z52" s="106">
        <v>91.25</v>
      </c>
      <c r="AA52" s="105" t="s">
        <v>166</v>
      </c>
      <c r="AB52" s="106">
        <v>125.45</v>
      </c>
      <c r="AC52" s="106" t="s">
        <v>166</v>
      </c>
      <c r="AD52" s="106">
        <v>76.2</v>
      </c>
      <c r="AE52" s="105" t="s">
        <v>166</v>
      </c>
      <c r="AF52" s="106">
        <v>78.983333333333334</v>
      </c>
      <c r="AG52" s="105" t="s">
        <v>166</v>
      </c>
      <c r="AH52" s="106">
        <v>77.016666666666666</v>
      </c>
      <c r="AI52" s="105" t="s">
        <v>166</v>
      </c>
      <c r="AJ52" s="106">
        <v>71</v>
      </c>
      <c r="AK52" s="105" t="s">
        <v>166</v>
      </c>
      <c r="AL52" s="106" t="s">
        <v>182</v>
      </c>
      <c r="AM52" s="106">
        <v>84.7</v>
      </c>
      <c r="AN52" s="106">
        <v>82.65</v>
      </c>
      <c r="AO52" s="106">
        <v>107.35</v>
      </c>
      <c r="AP52" s="105" t="s">
        <v>166</v>
      </c>
      <c r="AQ52" s="105" t="s">
        <v>166</v>
      </c>
      <c r="AR52" s="105" t="s">
        <v>166</v>
      </c>
      <c r="AS52" s="105" t="s">
        <v>166</v>
      </c>
      <c r="AT52" s="106">
        <v>65.100000000000009</v>
      </c>
      <c r="AU52" s="106">
        <v>69.474999999999994</v>
      </c>
      <c r="AV52" s="105" t="s">
        <v>166</v>
      </c>
      <c r="AW52" s="105" t="s">
        <v>166</v>
      </c>
      <c r="AX52" s="105" t="s">
        <v>166</v>
      </c>
      <c r="AY52" s="106">
        <v>75.400000000000006</v>
      </c>
      <c r="AZ52" s="105" t="s">
        <v>166</v>
      </c>
      <c r="BA52" s="105" t="s">
        <v>166</v>
      </c>
      <c r="BB52" s="105" t="s">
        <v>166</v>
      </c>
      <c r="BC52" s="105" t="s">
        <v>166</v>
      </c>
      <c r="BD52" s="106">
        <v>77.566666666666663</v>
      </c>
      <c r="BE52" s="105" t="s">
        <v>166</v>
      </c>
      <c r="BF52" s="105" t="s">
        <v>166</v>
      </c>
      <c r="BG52" s="106">
        <v>72.933333333333337</v>
      </c>
      <c r="BH52" s="106">
        <v>76.05</v>
      </c>
      <c r="BI52" s="106">
        <v>75.599999999999994</v>
      </c>
      <c r="BJ52" s="105" t="s">
        <v>166</v>
      </c>
      <c r="BK52" s="105" t="s">
        <v>166</v>
      </c>
      <c r="BL52" s="106">
        <v>77.775000000000006</v>
      </c>
      <c r="BM52" s="105" t="s">
        <v>166</v>
      </c>
      <c r="BN52" s="106">
        <v>81.683333333333323</v>
      </c>
      <c r="BO52" s="105" t="s">
        <v>166</v>
      </c>
      <c r="BP52" s="105" t="s">
        <v>166</v>
      </c>
      <c r="BQ52" s="105" t="s">
        <v>166</v>
      </c>
      <c r="BR52" s="105" t="s">
        <v>166</v>
      </c>
      <c r="BS52" s="105" t="s">
        <v>166</v>
      </c>
      <c r="BT52" s="105" t="s">
        <v>166</v>
      </c>
      <c r="BU52" s="105" t="s">
        <v>166</v>
      </c>
      <c r="BV52" s="105" t="s">
        <v>166</v>
      </c>
      <c r="BW52" s="99"/>
    </row>
    <row r="53" spans="2:75" ht="17.25" x14ac:dyDescent="0.25">
      <c r="B53" s="88" t="s">
        <v>168</v>
      </c>
      <c r="C53" s="89">
        <v>41501</v>
      </c>
      <c r="D53" s="161"/>
      <c r="E53" s="106">
        <v>0.999</v>
      </c>
      <c r="F53" s="106">
        <v>0.999</v>
      </c>
      <c r="G53" s="106">
        <v>0.999</v>
      </c>
      <c r="H53" s="106">
        <v>0.99299999999999999</v>
      </c>
      <c r="I53" s="106">
        <v>0.999</v>
      </c>
      <c r="J53" s="106">
        <v>0.999</v>
      </c>
      <c r="K53" s="106">
        <v>0.995</v>
      </c>
      <c r="L53" s="106">
        <v>0.998</v>
      </c>
      <c r="M53" s="106">
        <v>0.998</v>
      </c>
      <c r="N53" s="106">
        <v>0.999</v>
      </c>
      <c r="O53" s="106">
        <v>0.98899999999999999</v>
      </c>
      <c r="P53" s="105" t="s">
        <v>166</v>
      </c>
      <c r="Q53" s="106">
        <v>0.999</v>
      </c>
      <c r="R53" s="105" t="s">
        <v>166</v>
      </c>
      <c r="S53" s="106">
        <v>0.99399999999999999</v>
      </c>
      <c r="T53" s="105" t="s">
        <v>166</v>
      </c>
      <c r="U53" s="106">
        <v>0.997</v>
      </c>
      <c r="V53" s="106">
        <v>0.99</v>
      </c>
      <c r="W53" s="106">
        <v>0.98399999999999999</v>
      </c>
      <c r="X53" s="105" t="s">
        <v>166</v>
      </c>
      <c r="Y53" s="106">
        <v>0.996</v>
      </c>
      <c r="Z53" s="106">
        <v>0.999</v>
      </c>
      <c r="AA53" s="105" t="s">
        <v>166</v>
      </c>
      <c r="AB53" s="106">
        <v>0.997</v>
      </c>
      <c r="AC53" s="106">
        <v>0.999</v>
      </c>
      <c r="AD53" s="106">
        <v>0.997</v>
      </c>
      <c r="AE53" s="105" t="s">
        <v>166</v>
      </c>
      <c r="AF53" s="106">
        <v>0.997</v>
      </c>
      <c r="AG53" s="105" t="s">
        <v>166</v>
      </c>
      <c r="AH53" s="106">
        <v>0.999</v>
      </c>
      <c r="AI53" s="105" t="s">
        <v>166</v>
      </c>
      <c r="AJ53" s="106">
        <v>0.999</v>
      </c>
      <c r="AK53" s="105" t="s">
        <v>166</v>
      </c>
      <c r="AL53" s="106">
        <v>0.99099999999999999</v>
      </c>
      <c r="AM53" s="106">
        <v>0.999</v>
      </c>
      <c r="AN53" s="106">
        <v>0.999</v>
      </c>
      <c r="AO53" s="106">
        <v>0.999</v>
      </c>
      <c r="AP53" s="105" t="s">
        <v>166</v>
      </c>
      <c r="AQ53" s="105" t="s">
        <v>166</v>
      </c>
      <c r="AR53" s="105" t="s">
        <v>166</v>
      </c>
      <c r="AS53" s="105" t="s">
        <v>166</v>
      </c>
      <c r="AT53" s="106">
        <v>0.99299999999999999</v>
      </c>
      <c r="AU53" s="106" t="s">
        <v>174</v>
      </c>
      <c r="AV53" s="105" t="s">
        <v>166</v>
      </c>
      <c r="AW53" s="105" t="s">
        <v>166</v>
      </c>
      <c r="AX53" s="105" t="s">
        <v>166</v>
      </c>
      <c r="AY53" s="106">
        <v>0.999</v>
      </c>
      <c r="AZ53" s="105" t="s">
        <v>166</v>
      </c>
      <c r="BA53" s="105" t="s">
        <v>166</v>
      </c>
      <c r="BB53" s="105" t="s">
        <v>166</v>
      </c>
      <c r="BC53" s="105" t="s">
        <v>166</v>
      </c>
      <c r="BD53" s="106">
        <v>0.998</v>
      </c>
      <c r="BE53" s="105" t="s">
        <v>166</v>
      </c>
      <c r="BF53" s="105" t="s">
        <v>166</v>
      </c>
      <c r="BG53" s="106">
        <v>0.99199999999999999</v>
      </c>
      <c r="BH53" s="106">
        <v>0.99399999999999999</v>
      </c>
      <c r="BI53" s="106">
        <v>0.995</v>
      </c>
      <c r="BJ53" s="105" t="s">
        <v>166</v>
      </c>
      <c r="BK53" s="105" t="s">
        <v>166</v>
      </c>
      <c r="BL53" s="106">
        <v>0.997</v>
      </c>
      <c r="BM53" s="105" t="s">
        <v>166</v>
      </c>
      <c r="BN53" s="106">
        <v>0.998</v>
      </c>
      <c r="BO53" s="105" t="s">
        <v>166</v>
      </c>
      <c r="BP53" s="105" t="s">
        <v>166</v>
      </c>
      <c r="BQ53" s="105" t="s">
        <v>166</v>
      </c>
      <c r="BR53" s="105" t="s">
        <v>166</v>
      </c>
      <c r="BS53" s="105" t="s">
        <v>166</v>
      </c>
      <c r="BT53" s="105" t="s">
        <v>166</v>
      </c>
      <c r="BU53" s="105" t="s">
        <v>166</v>
      </c>
      <c r="BV53" s="105" t="s">
        <v>166</v>
      </c>
      <c r="BW53" s="99"/>
    </row>
    <row r="54" spans="2:75" x14ac:dyDescent="0.25">
      <c r="B54" s="88" t="s">
        <v>170</v>
      </c>
      <c r="C54" s="89">
        <v>41501</v>
      </c>
      <c r="D54" s="161"/>
      <c r="E54" s="106" t="s">
        <v>169</v>
      </c>
      <c r="F54" s="106" t="s">
        <v>169</v>
      </c>
      <c r="G54" s="106" t="s">
        <v>169</v>
      </c>
      <c r="H54" s="106" t="s">
        <v>169</v>
      </c>
      <c r="I54" s="106" t="s">
        <v>169</v>
      </c>
      <c r="J54" s="106" t="s">
        <v>169</v>
      </c>
      <c r="K54" s="106" t="s">
        <v>169</v>
      </c>
      <c r="L54" s="106" t="s">
        <v>169</v>
      </c>
      <c r="M54" s="106" t="s">
        <v>169</v>
      </c>
      <c r="N54" s="106" t="s">
        <v>169</v>
      </c>
      <c r="O54" s="106" t="s">
        <v>169</v>
      </c>
      <c r="P54" s="105" t="s">
        <v>166</v>
      </c>
      <c r="Q54" s="106" t="s">
        <v>169</v>
      </c>
      <c r="R54" s="105" t="s">
        <v>166</v>
      </c>
      <c r="S54" s="106" t="s">
        <v>169</v>
      </c>
      <c r="T54" s="105" t="s">
        <v>166</v>
      </c>
      <c r="U54" s="106" t="s">
        <v>169</v>
      </c>
      <c r="V54" s="106" t="s">
        <v>169</v>
      </c>
      <c r="W54" s="106" t="s">
        <v>169</v>
      </c>
      <c r="X54" s="105" t="s">
        <v>166</v>
      </c>
      <c r="Y54" s="106" t="s">
        <v>169</v>
      </c>
      <c r="Z54" s="106" t="s">
        <v>169</v>
      </c>
      <c r="AA54" s="106" t="s">
        <v>169</v>
      </c>
      <c r="AB54" s="106" t="s">
        <v>169</v>
      </c>
      <c r="AC54" s="106" t="s">
        <v>169</v>
      </c>
      <c r="AD54" s="106" t="s">
        <v>169</v>
      </c>
      <c r="AE54" s="105" t="s">
        <v>166</v>
      </c>
      <c r="AF54" s="106" t="s">
        <v>169</v>
      </c>
      <c r="AG54" s="105" t="s">
        <v>166</v>
      </c>
      <c r="AH54" s="106" t="s">
        <v>169</v>
      </c>
      <c r="AI54" s="105" t="s">
        <v>166</v>
      </c>
      <c r="AJ54" s="106" t="s">
        <v>169</v>
      </c>
      <c r="AK54" s="105" t="s">
        <v>166</v>
      </c>
      <c r="AL54" s="106" t="s">
        <v>169</v>
      </c>
      <c r="AM54" s="106" t="s">
        <v>169</v>
      </c>
      <c r="AN54" s="106" t="s">
        <v>169</v>
      </c>
      <c r="AO54" s="106" t="s">
        <v>169</v>
      </c>
      <c r="AP54" s="105" t="s">
        <v>166</v>
      </c>
      <c r="AQ54" s="105" t="s">
        <v>166</v>
      </c>
      <c r="AR54" s="105" t="s">
        <v>166</v>
      </c>
      <c r="AS54" s="105" t="s">
        <v>166</v>
      </c>
      <c r="AT54" s="106" t="s">
        <v>169</v>
      </c>
      <c r="AU54" s="106" t="s">
        <v>169</v>
      </c>
      <c r="AV54" s="105" t="s">
        <v>166</v>
      </c>
      <c r="AW54" s="105" t="s">
        <v>166</v>
      </c>
      <c r="AX54" s="105" t="s">
        <v>166</v>
      </c>
      <c r="AY54" s="106" t="s">
        <v>169</v>
      </c>
      <c r="AZ54" s="105" t="s">
        <v>166</v>
      </c>
      <c r="BA54" s="105" t="s">
        <v>166</v>
      </c>
      <c r="BB54" s="105" t="s">
        <v>166</v>
      </c>
      <c r="BC54" s="105" t="s">
        <v>166</v>
      </c>
      <c r="BD54" s="106" t="s">
        <v>169</v>
      </c>
      <c r="BE54" s="105" t="s">
        <v>166</v>
      </c>
      <c r="BF54" s="105" t="s">
        <v>166</v>
      </c>
      <c r="BG54" s="106" t="s">
        <v>169</v>
      </c>
      <c r="BH54" s="106" t="s">
        <v>169</v>
      </c>
      <c r="BI54" s="106" t="s">
        <v>169</v>
      </c>
      <c r="BJ54" s="105" t="s">
        <v>166</v>
      </c>
      <c r="BK54" s="105" t="s">
        <v>166</v>
      </c>
      <c r="BL54" s="106" t="s">
        <v>169</v>
      </c>
      <c r="BM54" s="105" t="s">
        <v>166</v>
      </c>
      <c r="BN54" s="106" t="s">
        <v>169</v>
      </c>
      <c r="BO54" s="105" t="s">
        <v>166</v>
      </c>
      <c r="BP54" s="106" t="s">
        <v>169</v>
      </c>
      <c r="BQ54" s="106" t="s">
        <v>169</v>
      </c>
      <c r="BR54" s="106" t="s">
        <v>169</v>
      </c>
      <c r="BS54" s="106" t="s">
        <v>169</v>
      </c>
      <c r="BT54" s="106" t="s">
        <v>169</v>
      </c>
      <c r="BU54" s="106" t="s">
        <v>169</v>
      </c>
      <c r="BV54" s="106" t="s">
        <v>169</v>
      </c>
      <c r="BW54" s="99"/>
    </row>
    <row r="55" spans="2:75" x14ac:dyDescent="0.25">
      <c r="B55" s="155" t="s">
        <v>206</v>
      </c>
      <c r="C55" s="142">
        <v>41501</v>
      </c>
      <c r="D55" s="161"/>
      <c r="E55" s="154">
        <v>2.3108663669443592</v>
      </c>
      <c r="F55" s="154">
        <v>7.9145607331937553</v>
      </c>
      <c r="G55" s="154">
        <v>6.0780877046987811</v>
      </c>
      <c r="H55" s="154">
        <v>10.001731504692398</v>
      </c>
      <c r="I55" s="154">
        <v>9.7551885115869101</v>
      </c>
      <c r="J55" s="154">
        <v>9.5934675363571564</v>
      </c>
      <c r="K55" s="154">
        <v>16.081904029503701</v>
      </c>
      <c r="L55" s="154" t="s">
        <v>175</v>
      </c>
      <c r="M55" s="154" t="s">
        <v>175</v>
      </c>
      <c r="N55" s="154" t="s">
        <v>175</v>
      </c>
      <c r="O55" s="154" t="s">
        <v>175</v>
      </c>
      <c r="P55" s="154" t="s">
        <v>175</v>
      </c>
      <c r="Q55" s="154" t="s">
        <v>175</v>
      </c>
      <c r="R55" s="154" t="s">
        <v>175</v>
      </c>
      <c r="S55" s="154" t="s">
        <v>175</v>
      </c>
      <c r="T55" s="154" t="s">
        <v>175</v>
      </c>
      <c r="U55" s="154">
        <v>22.317023653783409</v>
      </c>
      <c r="V55" s="154">
        <v>29.804298168825834</v>
      </c>
      <c r="W55" s="154" t="s">
        <v>175</v>
      </c>
      <c r="X55" s="154" t="s">
        <v>175</v>
      </c>
      <c r="Y55" s="154" t="s">
        <v>175</v>
      </c>
      <c r="Z55" s="154" t="s">
        <v>175</v>
      </c>
      <c r="AA55" s="154" t="s">
        <v>175</v>
      </c>
      <c r="AB55" s="154">
        <v>14.08630784638801</v>
      </c>
      <c r="AC55" s="154">
        <v>4.5993843523152389</v>
      </c>
      <c r="AD55" s="154">
        <v>7.7815320713317115</v>
      </c>
      <c r="AE55" s="154" t="s">
        <v>175</v>
      </c>
      <c r="AF55" s="154">
        <v>8.5405857374791427</v>
      </c>
      <c r="AG55" s="154">
        <v>4.5013856515853439</v>
      </c>
      <c r="AH55" s="154">
        <v>6.9928086652949473</v>
      </c>
      <c r="AI55" s="154" t="s">
        <v>175</v>
      </c>
      <c r="AJ55" s="154">
        <v>3.3378774656054322</v>
      </c>
      <c r="AK55" s="154" t="s">
        <v>175</v>
      </c>
      <c r="AL55" s="154" t="s">
        <v>175</v>
      </c>
      <c r="AM55" s="154" t="s">
        <v>175</v>
      </c>
      <c r="AN55" s="154">
        <v>8.2769260543324776</v>
      </c>
      <c r="AO55" s="154">
        <v>22.142802410120279</v>
      </c>
      <c r="AP55" s="154" t="s">
        <v>175</v>
      </c>
      <c r="AQ55" s="154" t="s">
        <v>175</v>
      </c>
      <c r="AR55" s="154" t="s">
        <v>175</v>
      </c>
      <c r="AS55" s="154" t="s">
        <v>175</v>
      </c>
      <c r="AT55" s="154" t="s">
        <v>175</v>
      </c>
      <c r="AU55" s="154">
        <v>9.0051536396147291</v>
      </c>
      <c r="AV55" s="154">
        <v>6.7710930451790254</v>
      </c>
      <c r="AW55" s="154">
        <v>0.69647734227843261</v>
      </c>
      <c r="AX55" s="154">
        <v>10.436378029109298</v>
      </c>
      <c r="AY55" s="154">
        <v>0.18706675890201246</v>
      </c>
      <c r="AZ55" s="154">
        <v>9.133709276719669</v>
      </c>
      <c r="BA55" s="154">
        <v>7.563317536102697</v>
      </c>
      <c r="BB55" s="154">
        <v>18.22205190993332</v>
      </c>
      <c r="BC55" s="154">
        <v>17.193774583171582</v>
      </c>
      <c r="BD55" s="154">
        <v>16.003631043241509</v>
      </c>
      <c r="BE55" s="154" t="s">
        <v>175</v>
      </c>
      <c r="BF55" s="154" t="s">
        <v>175</v>
      </c>
      <c r="BG55" s="154" t="s">
        <v>175</v>
      </c>
      <c r="BH55" s="154" t="s">
        <v>175</v>
      </c>
      <c r="BI55" s="154" t="s">
        <v>175</v>
      </c>
      <c r="BJ55" s="154" t="s">
        <v>175</v>
      </c>
      <c r="BK55" s="154" t="s">
        <v>175</v>
      </c>
      <c r="BL55" s="154" t="s">
        <v>175</v>
      </c>
      <c r="BM55" s="154" t="s">
        <v>175</v>
      </c>
      <c r="BN55" s="154" t="s">
        <v>175</v>
      </c>
      <c r="BO55" s="154" t="s">
        <v>175</v>
      </c>
      <c r="BP55" s="154" t="s">
        <v>175</v>
      </c>
      <c r="BQ55" s="154" t="s">
        <v>175</v>
      </c>
      <c r="BR55" s="154" t="s">
        <v>175</v>
      </c>
      <c r="BS55" s="154" t="s">
        <v>175</v>
      </c>
      <c r="BT55" s="154" t="s">
        <v>175</v>
      </c>
      <c r="BU55" s="154" t="s">
        <v>175</v>
      </c>
      <c r="BV55" s="154">
        <v>6.0098804575893876</v>
      </c>
      <c r="BW55" s="99"/>
    </row>
    <row r="56" spans="2:75" s="154" customFormat="1" x14ac:dyDescent="0.25">
      <c r="B56" s="155"/>
      <c r="C56" s="142"/>
      <c r="D56" s="161"/>
    </row>
    <row r="57" spans="2:75" x14ac:dyDescent="0.25">
      <c r="B57" s="78" t="s">
        <v>163</v>
      </c>
      <c r="C57" s="79">
        <v>41815</v>
      </c>
      <c r="D57" s="161"/>
      <c r="E57" s="75" t="s">
        <v>157</v>
      </c>
      <c r="F57" s="75" t="s">
        <v>157</v>
      </c>
      <c r="G57" s="75" t="s">
        <v>157</v>
      </c>
      <c r="H57" s="75" t="s">
        <v>157</v>
      </c>
      <c r="I57" s="75" t="s">
        <v>157</v>
      </c>
      <c r="J57" s="75" t="s">
        <v>157</v>
      </c>
      <c r="K57" s="75" t="s">
        <v>157</v>
      </c>
      <c r="L57" s="75" t="s">
        <v>157</v>
      </c>
      <c r="M57" s="75" t="s">
        <v>157</v>
      </c>
      <c r="N57" s="75" t="s">
        <v>157</v>
      </c>
      <c r="O57" s="75" t="s">
        <v>157</v>
      </c>
      <c r="P57" s="75" t="s">
        <v>157</v>
      </c>
      <c r="Q57" s="75" t="s">
        <v>157</v>
      </c>
      <c r="R57" s="75" t="s">
        <v>157</v>
      </c>
      <c r="S57" s="75" t="s">
        <v>157</v>
      </c>
      <c r="T57" s="75" t="s">
        <v>157</v>
      </c>
      <c r="U57" s="75" t="s">
        <v>157</v>
      </c>
      <c r="V57" s="75" t="s">
        <v>157</v>
      </c>
      <c r="W57" s="75" t="s">
        <v>157</v>
      </c>
      <c r="X57" s="75" t="s">
        <v>157</v>
      </c>
      <c r="Y57" s="75" t="s">
        <v>157</v>
      </c>
      <c r="Z57" s="75" t="s">
        <v>157</v>
      </c>
      <c r="AA57" s="75" t="s">
        <v>157</v>
      </c>
      <c r="AB57" s="75" t="s">
        <v>157</v>
      </c>
      <c r="AC57" s="75" t="s">
        <v>157</v>
      </c>
      <c r="AD57" s="75" t="s">
        <v>157</v>
      </c>
      <c r="AE57" s="75" t="s">
        <v>157</v>
      </c>
      <c r="AF57" s="75" t="s">
        <v>157</v>
      </c>
      <c r="AG57" s="75" t="s">
        <v>157</v>
      </c>
      <c r="AH57" s="75" t="s">
        <v>157</v>
      </c>
      <c r="AI57" s="75" t="s">
        <v>157</v>
      </c>
      <c r="AJ57" s="75" t="s">
        <v>157</v>
      </c>
      <c r="AK57" s="75" t="s">
        <v>157</v>
      </c>
      <c r="AL57" s="75" t="s">
        <v>157</v>
      </c>
      <c r="AM57" s="75" t="s">
        <v>157</v>
      </c>
      <c r="AN57" s="75" t="s">
        <v>157</v>
      </c>
      <c r="AO57" s="75" t="s">
        <v>157</v>
      </c>
      <c r="AP57" s="75" t="s">
        <v>157</v>
      </c>
      <c r="AQ57" s="75" t="s">
        <v>157</v>
      </c>
      <c r="AR57" s="75" t="s">
        <v>157</v>
      </c>
      <c r="AS57" s="75" t="s">
        <v>157</v>
      </c>
      <c r="AT57" s="75" t="s">
        <v>157</v>
      </c>
      <c r="AU57" s="75" t="s">
        <v>157</v>
      </c>
      <c r="AV57" s="75" t="s">
        <v>157</v>
      </c>
      <c r="AW57" s="75" t="s">
        <v>157</v>
      </c>
      <c r="AX57" s="75" t="s">
        <v>157</v>
      </c>
      <c r="AY57" s="75" t="s">
        <v>157</v>
      </c>
      <c r="AZ57" s="75" t="s">
        <v>157</v>
      </c>
      <c r="BA57" s="75" t="s">
        <v>157</v>
      </c>
      <c r="BB57" s="75" t="s">
        <v>157</v>
      </c>
      <c r="BC57" s="75" t="s">
        <v>157</v>
      </c>
      <c r="BD57" s="75" t="s">
        <v>157</v>
      </c>
      <c r="BE57" s="75" t="s">
        <v>157</v>
      </c>
      <c r="BF57" s="75" t="s">
        <v>157</v>
      </c>
      <c r="BG57" s="75" t="s">
        <v>157</v>
      </c>
      <c r="BH57" s="75" t="s">
        <v>157</v>
      </c>
      <c r="BI57" s="75" t="s">
        <v>157</v>
      </c>
      <c r="BJ57" s="75" t="s">
        <v>157</v>
      </c>
      <c r="BK57" s="75" t="s">
        <v>157</v>
      </c>
      <c r="BL57" s="75" t="s">
        <v>157</v>
      </c>
      <c r="BM57" s="75" t="s">
        <v>157</v>
      </c>
      <c r="BN57" s="75" t="s">
        <v>157</v>
      </c>
      <c r="BO57" s="75" t="s">
        <v>157</v>
      </c>
      <c r="BP57" s="75" t="s">
        <v>157</v>
      </c>
      <c r="BQ57" s="75" t="s">
        <v>157</v>
      </c>
      <c r="BR57" s="75" t="s">
        <v>157</v>
      </c>
      <c r="BS57" s="75" t="s">
        <v>157</v>
      </c>
      <c r="BT57" s="75" t="s">
        <v>157</v>
      </c>
      <c r="BU57" s="75" t="s">
        <v>157</v>
      </c>
      <c r="BV57" s="75" t="s">
        <v>157</v>
      </c>
      <c r="BW57" s="99"/>
    </row>
    <row r="58" spans="2:75" x14ac:dyDescent="0.25">
      <c r="B58" s="78" t="s">
        <v>164</v>
      </c>
      <c r="C58" s="79">
        <v>41815</v>
      </c>
      <c r="D58" s="161"/>
      <c r="E58" s="75" t="s">
        <v>157</v>
      </c>
      <c r="F58" s="75" t="s">
        <v>157</v>
      </c>
      <c r="G58" s="75" t="s">
        <v>157</v>
      </c>
      <c r="H58" s="75" t="s">
        <v>157</v>
      </c>
      <c r="I58" s="75" t="s">
        <v>158</v>
      </c>
      <c r="J58" s="75" t="s">
        <v>157</v>
      </c>
      <c r="K58" s="75" t="s">
        <v>158</v>
      </c>
      <c r="L58" s="75" t="s">
        <v>157</v>
      </c>
      <c r="M58" s="75" t="s">
        <v>157</v>
      </c>
      <c r="N58" s="75" t="s">
        <v>157</v>
      </c>
      <c r="O58" s="75" t="s">
        <v>157</v>
      </c>
      <c r="P58" s="75" t="s">
        <v>157</v>
      </c>
      <c r="Q58" s="75" t="s">
        <v>157</v>
      </c>
      <c r="R58" s="75" t="s">
        <v>157</v>
      </c>
      <c r="S58" s="75" t="s">
        <v>157</v>
      </c>
      <c r="T58" s="75" t="s">
        <v>157</v>
      </c>
      <c r="U58" s="75" t="s">
        <v>157</v>
      </c>
      <c r="V58" s="75" t="s">
        <v>157</v>
      </c>
      <c r="W58" s="75" t="s">
        <v>157</v>
      </c>
      <c r="X58" s="75" t="s">
        <v>157</v>
      </c>
      <c r="Y58" s="75" t="s">
        <v>158</v>
      </c>
      <c r="Z58" s="75" t="s">
        <v>157</v>
      </c>
      <c r="AA58" s="75" t="s">
        <v>157</v>
      </c>
      <c r="AB58" s="75" t="s">
        <v>157</v>
      </c>
      <c r="AC58" s="75" t="s">
        <v>157</v>
      </c>
      <c r="AD58" s="75" t="s">
        <v>157</v>
      </c>
      <c r="AE58" s="75" t="s">
        <v>157</v>
      </c>
      <c r="AF58" s="75" t="s">
        <v>157</v>
      </c>
      <c r="AG58" s="75" t="s">
        <v>157</v>
      </c>
      <c r="AH58" s="75" t="s">
        <v>157</v>
      </c>
      <c r="AI58" s="75" t="s">
        <v>157</v>
      </c>
      <c r="AJ58" s="75" t="s">
        <v>158</v>
      </c>
      <c r="AK58" s="75" t="s">
        <v>157</v>
      </c>
      <c r="AL58" s="75" t="s">
        <v>157</v>
      </c>
      <c r="AM58" s="75" t="s">
        <v>157</v>
      </c>
      <c r="AN58" s="75" t="s">
        <v>158</v>
      </c>
      <c r="AO58" s="75" t="s">
        <v>157</v>
      </c>
      <c r="AP58" s="75" t="s">
        <v>157</v>
      </c>
      <c r="AQ58" s="75" t="s">
        <v>157</v>
      </c>
      <c r="AR58" s="75" t="s">
        <v>157</v>
      </c>
      <c r="AS58" s="75" t="s">
        <v>157</v>
      </c>
      <c r="AT58" s="75" t="s">
        <v>157</v>
      </c>
      <c r="AU58" s="75" t="s">
        <v>157</v>
      </c>
      <c r="AV58" s="75" t="s">
        <v>157</v>
      </c>
      <c r="AW58" s="75" t="s">
        <v>157</v>
      </c>
      <c r="AX58" s="75" t="s">
        <v>157</v>
      </c>
      <c r="AY58" s="75" t="s">
        <v>157</v>
      </c>
      <c r="AZ58" s="75" t="s">
        <v>157</v>
      </c>
      <c r="BA58" s="75" t="s">
        <v>157</v>
      </c>
      <c r="BB58" s="75" t="s">
        <v>157</v>
      </c>
      <c r="BC58" s="75" t="s">
        <v>157</v>
      </c>
      <c r="BD58" s="75" t="s">
        <v>157</v>
      </c>
      <c r="BE58" s="75" t="s">
        <v>157</v>
      </c>
      <c r="BF58" s="75" t="s">
        <v>157</v>
      </c>
      <c r="BG58" s="75" t="s">
        <v>157</v>
      </c>
      <c r="BH58" s="75" t="s">
        <v>157</v>
      </c>
      <c r="BI58" s="75" t="s">
        <v>157</v>
      </c>
      <c r="BJ58" s="75" t="s">
        <v>157</v>
      </c>
      <c r="BK58" s="75" t="s">
        <v>157</v>
      </c>
      <c r="BL58" s="75" t="s">
        <v>158</v>
      </c>
      <c r="BM58" s="75" t="s">
        <v>157</v>
      </c>
      <c r="BN58" s="75" t="s">
        <v>158</v>
      </c>
      <c r="BO58" s="75" t="s">
        <v>157</v>
      </c>
      <c r="BP58" s="75" t="s">
        <v>157</v>
      </c>
      <c r="BQ58" s="75" t="s">
        <v>157</v>
      </c>
      <c r="BR58" s="75" t="s">
        <v>157</v>
      </c>
      <c r="BS58" s="75" t="s">
        <v>157</v>
      </c>
      <c r="BT58" s="75" t="s">
        <v>157</v>
      </c>
      <c r="BU58" s="75" t="s">
        <v>157</v>
      </c>
      <c r="BV58" s="75" t="s">
        <v>157</v>
      </c>
      <c r="BW58" s="99"/>
    </row>
    <row r="59" spans="2:75" x14ac:dyDescent="0.25">
      <c r="B59" s="78" t="s">
        <v>165</v>
      </c>
      <c r="C59" s="79">
        <v>41815</v>
      </c>
      <c r="D59" s="161"/>
      <c r="E59" s="75">
        <v>89.95</v>
      </c>
      <c r="F59" s="75">
        <v>109.96666666666668</v>
      </c>
      <c r="G59" s="75">
        <v>103.64999999999999</v>
      </c>
      <c r="H59" s="75">
        <v>124.23333333333333</v>
      </c>
      <c r="I59" s="75">
        <v>99.116666666666674</v>
      </c>
      <c r="J59" s="75">
        <v>105.80000000000001</v>
      </c>
      <c r="K59" s="75">
        <v>106.91666666666664</v>
      </c>
      <c r="L59" s="75">
        <v>96.433333333333323</v>
      </c>
      <c r="M59" s="75">
        <v>95.816666666666677</v>
      </c>
      <c r="N59" s="75">
        <v>102.83333333333336</v>
      </c>
      <c r="O59" s="75">
        <v>105.01666666666665</v>
      </c>
      <c r="P59" s="74" t="s">
        <v>166</v>
      </c>
      <c r="Q59" s="75">
        <v>100.83333333333331</v>
      </c>
      <c r="R59" s="74" t="s">
        <v>166</v>
      </c>
      <c r="S59" s="75">
        <v>99.416666666666671</v>
      </c>
      <c r="T59" s="74" t="s">
        <v>166</v>
      </c>
      <c r="U59" s="75" t="s">
        <v>171</v>
      </c>
      <c r="V59" s="75">
        <v>91.7</v>
      </c>
      <c r="W59" s="75">
        <v>100.31666666666668</v>
      </c>
      <c r="X59" s="74" t="s">
        <v>166</v>
      </c>
      <c r="Y59" s="75">
        <v>97.95</v>
      </c>
      <c r="Z59" s="75">
        <v>105.41666666666667</v>
      </c>
      <c r="AA59" s="74" t="s">
        <v>166</v>
      </c>
      <c r="AB59" s="74" t="s">
        <v>166</v>
      </c>
      <c r="AC59" s="75">
        <v>97.45</v>
      </c>
      <c r="AD59" s="75">
        <v>108.14999999999999</v>
      </c>
      <c r="AE59" s="74" t="s">
        <v>166</v>
      </c>
      <c r="AF59" s="75">
        <v>80.7</v>
      </c>
      <c r="AG59" s="74" t="s">
        <v>166</v>
      </c>
      <c r="AH59" s="75">
        <v>87.066666666666677</v>
      </c>
      <c r="AI59" s="74" t="s">
        <v>166</v>
      </c>
      <c r="AJ59" s="75">
        <v>88.616666666666674</v>
      </c>
      <c r="AK59" s="74" t="s">
        <v>166</v>
      </c>
      <c r="AL59" s="75">
        <v>96.283333333333346</v>
      </c>
      <c r="AM59" s="75">
        <v>77.516666666666666</v>
      </c>
      <c r="AN59" s="75">
        <v>123.26666666666667</v>
      </c>
      <c r="AO59" s="75">
        <v>87.716666666666654</v>
      </c>
      <c r="AP59" s="74" t="s">
        <v>166</v>
      </c>
      <c r="AQ59" s="74" t="s">
        <v>166</v>
      </c>
      <c r="AR59" s="74" t="s">
        <v>166</v>
      </c>
      <c r="AS59" s="74" t="s">
        <v>166</v>
      </c>
      <c r="AT59" s="75">
        <v>110.93333333333334</v>
      </c>
      <c r="AU59" s="75">
        <v>84.84999999999998</v>
      </c>
      <c r="AV59" s="74" t="s">
        <v>166</v>
      </c>
      <c r="AW59" s="74" t="s">
        <v>166</v>
      </c>
      <c r="AX59" s="74" t="s">
        <v>166</v>
      </c>
      <c r="AY59" s="75">
        <v>114.49999999999999</v>
      </c>
      <c r="AZ59" s="74" t="s">
        <v>166</v>
      </c>
      <c r="BA59" s="74" t="s">
        <v>166</v>
      </c>
      <c r="BB59" s="74" t="s">
        <v>166</v>
      </c>
      <c r="BC59" s="74" t="s">
        <v>166</v>
      </c>
      <c r="BD59" s="75">
        <v>99.516666666666666</v>
      </c>
      <c r="BE59" s="74" t="s">
        <v>166</v>
      </c>
      <c r="BF59" s="74" t="s">
        <v>166</v>
      </c>
      <c r="BG59" s="75">
        <v>120.11666666666667</v>
      </c>
      <c r="BH59" s="75">
        <v>106.16666666666667</v>
      </c>
      <c r="BI59" s="75">
        <v>110.01666666666667</v>
      </c>
      <c r="BJ59" s="74" t="s">
        <v>166</v>
      </c>
      <c r="BK59" s="74" t="s">
        <v>166</v>
      </c>
      <c r="BL59" s="75">
        <v>98.633333333333326</v>
      </c>
      <c r="BM59" s="74" t="s">
        <v>166</v>
      </c>
      <c r="BN59" s="75">
        <v>108.83333333333333</v>
      </c>
      <c r="BO59" s="74" t="s">
        <v>166</v>
      </c>
      <c r="BP59" s="74" t="s">
        <v>166</v>
      </c>
      <c r="BQ59" s="74" t="s">
        <v>166</v>
      </c>
      <c r="BR59" s="74" t="s">
        <v>166</v>
      </c>
      <c r="BS59" s="74" t="s">
        <v>166</v>
      </c>
      <c r="BT59" s="74" t="s">
        <v>166</v>
      </c>
      <c r="BU59" s="74" t="s">
        <v>166</v>
      </c>
      <c r="BV59" s="74" t="s">
        <v>166</v>
      </c>
      <c r="BW59" s="99"/>
    </row>
    <row r="60" spans="2:75" x14ac:dyDescent="0.25">
      <c r="B60" s="78" t="s">
        <v>172</v>
      </c>
      <c r="C60" s="79">
        <v>41815</v>
      </c>
      <c r="D60" s="161"/>
      <c r="E60" s="75">
        <v>1</v>
      </c>
      <c r="F60" s="75">
        <v>0.99</v>
      </c>
      <c r="G60" s="75">
        <v>0.999</v>
      </c>
      <c r="H60" s="75">
        <v>0.997</v>
      </c>
      <c r="I60" s="75">
        <v>1</v>
      </c>
      <c r="J60" s="75">
        <v>0.99</v>
      </c>
      <c r="K60" s="75">
        <v>0.98199999999999998</v>
      </c>
      <c r="L60" s="75">
        <v>0.999</v>
      </c>
      <c r="M60" s="75">
        <v>1</v>
      </c>
      <c r="N60" s="75">
        <v>0.98799999999999999</v>
      </c>
      <c r="O60" s="75">
        <v>0.98699999999999999</v>
      </c>
      <c r="P60" s="74" t="s">
        <v>166</v>
      </c>
      <c r="Q60" s="75">
        <v>0.998</v>
      </c>
      <c r="R60" s="74" t="s">
        <v>166</v>
      </c>
      <c r="S60" s="75">
        <v>0.99399999999999999</v>
      </c>
      <c r="T60" s="74" t="s">
        <v>166</v>
      </c>
      <c r="U60" s="75">
        <v>0.98</v>
      </c>
      <c r="V60" s="75">
        <v>0.997</v>
      </c>
      <c r="W60" s="75">
        <v>0.97199999999999998</v>
      </c>
      <c r="X60" s="74" t="s">
        <v>166</v>
      </c>
      <c r="Y60" s="75">
        <v>0.999</v>
      </c>
      <c r="Z60" s="75">
        <v>1</v>
      </c>
      <c r="AA60" s="74" t="s">
        <v>166</v>
      </c>
      <c r="AB60" s="75">
        <v>0.98699999999999999</v>
      </c>
      <c r="AC60" s="75">
        <v>0.998</v>
      </c>
      <c r="AD60" s="75">
        <v>0.999</v>
      </c>
      <c r="AE60" s="74" t="s">
        <v>166</v>
      </c>
      <c r="AF60" s="75">
        <v>0.998</v>
      </c>
      <c r="AG60" s="74" t="s">
        <v>166</v>
      </c>
      <c r="AH60" s="75">
        <v>0.99</v>
      </c>
      <c r="AI60" s="74" t="s">
        <v>166</v>
      </c>
      <c r="AJ60" s="75">
        <v>1</v>
      </c>
      <c r="AK60" s="74" t="s">
        <v>166</v>
      </c>
      <c r="AL60" s="75">
        <v>0.98</v>
      </c>
      <c r="AM60" s="75">
        <v>0.99299999999999999</v>
      </c>
      <c r="AN60" s="75">
        <v>0.98899999999999999</v>
      </c>
      <c r="AO60" s="75">
        <v>0.996</v>
      </c>
      <c r="AP60" s="74" t="s">
        <v>166</v>
      </c>
      <c r="AQ60" s="74" t="s">
        <v>166</v>
      </c>
      <c r="AR60" s="74" t="s">
        <v>166</v>
      </c>
      <c r="AS60" s="74" t="s">
        <v>166</v>
      </c>
      <c r="AT60" s="75">
        <v>0.996</v>
      </c>
      <c r="AU60" s="75">
        <v>0.998</v>
      </c>
      <c r="AV60" s="74" t="s">
        <v>166</v>
      </c>
      <c r="AW60" s="74" t="s">
        <v>166</v>
      </c>
      <c r="AX60" s="74" t="s">
        <v>166</v>
      </c>
      <c r="AY60" s="75">
        <v>0.99099999999999999</v>
      </c>
      <c r="AZ60" s="74" t="s">
        <v>166</v>
      </c>
      <c r="BA60" s="74" t="s">
        <v>166</v>
      </c>
      <c r="BB60" s="74" t="s">
        <v>166</v>
      </c>
      <c r="BC60" s="74" t="s">
        <v>166</v>
      </c>
      <c r="BD60" s="75">
        <v>0.997</v>
      </c>
      <c r="BE60" s="74" t="s">
        <v>166</v>
      </c>
      <c r="BF60" s="74" t="s">
        <v>166</v>
      </c>
      <c r="BG60" s="75">
        <v>0.998</v>
      </c>
      <c r="BH60" s="75">
        <v>1</v>
      </c>
      <c r="BI60" s="75">
        <v>0.999</v>
      </c>
      <c r="BJ60" s="74" t="s">
        <v>166</v>
      </c>
      <c r="BK60" s="74" t="s">
        <v>166</v>
      </c>
      <c r="BL60" s="75">
        <v>0.999</v>
      </c>
      <c r="BM60" s="74" t="s">
        <v>166</v>
      </c>
      <c r="BN60" s="75">
        <v>0.99399999999999999</v>
      </c>
      <c r="BO60" s="74" t="s">
        <v>166</v>
      </c>
      <c r="BP60" s="74" t="s">
        <v>166</v>
      </c>
      <c r="BQ60" s="74" t="s">
        <v>166</v>
      </c>
      <c r="BR60" s="74" t="s">
        <v>166</v>
      </c>
      <c r="BS60" s="74" t="s">
        <v>166</v>
      </c>
      <c r="BT60" s="74" t="s">
        <v>166</v>
      </c>
      <c r="BU60" s="74" t="s">
        <v>166</v>
      </c>
      <c r="BV60" s="74" t="s">
        <v>166</v>
      </c>
      <c r="BW60" s="99"/>
    </row>
    <row r="61" spans="2:75" x14ac:dyDescent="0.25">
      <c r="B61" s="78" t="s">
        <v>173</v>
      </c>
      <c r="C61" s="79">
        <v>41815</v>
      </c>
      <c r="D61" s="161"/>
      <c r="E61" s="75">
        <v>81.2</v>
      </c>
      <c r="F61" s="75">
        <v>88.2</v>
      </c>
      <c r="G61" s="75">
        <v>83.3</v>
      </c>
      <c r="H61" s="75">
        <v>83.6</v>
      </c>
      <c r="I61" s="75">
        <v>82.3</v>
      </c>
      <c r="J61" s="75">
        <v>85.4</v>
      </c>
      <c r="K61" s="75">
        <v>86.2</v>
      </c>
      <c r="L61" s="75">
        <v>82.4</v>
      </c>
      <c r="M61" s="75">
        <v>80.900000000000006</v>
      </c>
      <c r="N61" s="75">
        <v>83.8</v>
      </c>
      <c r="O61" s="75">
        <v>89.5</v>
      </c>
      <c r="P61" s="74" t="s">
        <v>166</v>
      </c>
      <c r="Q61" s="75">
        <v>82.3</v>
      </c>
      <c r="R61" s="74" t="s">
        <v>166</v>
      </c>
      <c r="S61" s="75">
        <v>80.5</v>
      </c>
      <c r="T61" s="74" t="s">
        <v>166</v>
      </c>
      <c r="U61" s="75">
        <v>102.5</v>
      </c>
      <c r="V61" s="75">
        <v>119.1</v>
      </c>
      <c r="W61" s="75">
        <v>119.5</v>
      </c>
      <c r="X61" s="74" t="s">
        <v>166</v>
      </c>
      <c r="Y61" s="75">
        <v>80.3</v>
      </c>
      <c r="Z61" s="75">
        <v>80.2</v>
      </c>
      <c r="AA61" s="74" t="s">
        <v>166</v>
      </c>
      <c r="AB61" s="75">
        <v>96.5</v>
      </c>
      <c r="AC61" s="75">
        <v>85.5</v>
      </c>
      <c r="AD61" s="75">
        <v>89.1</v>
      </c>
      <c r="AE61" s="74" t="s">
        <v>166</v>
      </c>
      <c r="AF61" s="75">
        <v>84.1</v>
      </c>
      <c r="AG61" s="74" t="s">
        <v>166</v>
      </c>
      <c r="AH61" s="75">
        <v>83.4</v>
      </c>
      <c r="AI61" s="74" t="s">
        <v>166</v>
      </c>
      <c r="AJ61" s="75">
        <v>81.3</v>
      </c>
      <c r="AK61" s="74" t="s">
        <v>166</v>
      </c>
      <c r="AL61" s="75">
        <v>90.7</v>
      </c>
      <c r="AM61" s="75">
        <v>92.4</v>
      </c>
      <c r="AN61" s="75">
        <v>86.6</v>
      </c>
      <c r="AO61" s="75">
        <v>83.7</v>
      </c>
      <c r="AP61" s="74" t="s">
        <v>166</v>
      </c>
      <c r="AQ61" s="74" t="s">
        <v>166</v>
      </c>
      <c r="AR61" s="74" t="s">
        <v>166</v>
      </c>
      <c r="AS61" s="74" t="s">
        <v>166</v>
      </c>
      <c r="AT61" s="75">
        <v>87</v>
      </c>
      <c r="AU61" s="75">
        <v>86.6</v>
      </c>
      <c r="AV61" s="74" t="s">
        <v>166</v>
      </c>
      <c r="AW61" s="74" t="s">
        <v>166</v>
      </c>
      <c r="AX61" s="74" t="s">
        <v>166</v>
      </c>
      <c r="AY61" s="75">
        <v>95.7</v>
      </c>
      <c r="AZ61" s="74" t="s">
        <v>166</v>
      </c>
      <c r="BA61" s="74" t="s">
        <v>166</v>
      </c>
      <c r="BB61" s="74" t="s">
        <v>166</v>
      </c>
      <c r="BC61" s="74" t="s">
        <v>166</v>
      </c>
      <c r="BD61" s="75">
        <v>80.2</v>
      </c>
      <c r="BE61" s="74" t="s">
        <v>166</v>
      </c>
      <c r="BF61" s="74" t="s">
        <v>166</v>
      </c>
      <c r="BG61" s="75">
        <v>84.8</v>
      </c>
      <c r="BH61" s="75">
        <v>80.400000000000006</v>
      </c>
      <c r="BI61" s="75">
        <v>81.8</v>
      </c>
      <c r="BJ61" s="74" t="s">
        <v>166</v>
      </c>
      <c r="BK61" s="74" t="s">
        <v>166</v>
      </c>
      <c r="BL61" s="75">
        <v>82.1</v>
      </c>
      <c r="BM61" s="74" t="s">
        <v>166</v>
      </c>
      <c r="BN61" s="75">
        <v>92.6</v>
      </c>
      <c r="BO61" s="74" t="s">
        <v>166</v>
      </c>
      <c r="BP61" s="74" t="s">
        <v>166</v>
      </c>
      <c r="BQ61" s="74" t="s">
        <v>166</v>
      </c>
      <c r="BR61" s="74" t="s">
        <v>166</v>
      </c>
      <c r="BS61" s="74" t="s">
        <v>166</v>
      </c>
      <c r="BT61" s="74" t="s">
        <v>166</v>
      </c>
      <c r="BU61" s="74" t="s">
        <v>166</v>
      </c>
      <c r="BV61" s="74" t="s">
        <v>166</v>
      </c>
      <c r="BW61" s="99"/>
    </row>
    <row r="62" spans="2:75" x14ac:dyDescent="0.25">
      <c r="B62" s="78" t="s">
        <v>170</v>
      </c>
      <c r="C62" s="79">
        <v>41815</v>
      </c>
      <c r="D62" s="161"/>
      <c r="E62" s="75" t="s">
        <v>169</v>
      </c>
      <c r="F62" s="75" t="s">
        <v>169</v>
      </c>
      <c r="G62" s="75" t="s">
        <v>169</v>
      </c>
      <c r="H62" s="75" t="s">
        <v>169</v>
      </c>
      <c r="I62" s="75" t="s">
        <v>169</v>
      </c>
      <c r="J62" s="75" t="s">
        <v>169</v>
      </c>
      <c r="K62" s="75" t="s">
        <v>169</v>
      </c>
      <c r="L62" s="75" t="s">
        <v>169</v>
      </c>
      <c r="M62" s="75" t="s">
        <v>169</v>
      </c>
      <c r="N62" s="75" t="s">
        <v>169</v>
      </c>
      <c r="O62" s="75" t="s">
        <v>169</v>
      </c>
      <c r="P62" s="74" t="s">
        <v>166</v>
      </c>
      <c r="Q62" s="75" t="s">
        <v>169</v>
      </c>
      <c r="R62" s="74" t="s">
        <v>166</v>
      </c>
      <c r="S62" s="75" t="s">
        <v>169</v>
      </c>
      <c r="T62" s="74" t="s">
        <v>166</v>
      </c>
      <c r="U62" s="75" t="s">
        <v>169</v>
      </c>
      <c r="V62" s="75" t="s">
        <v>169</v>
      </c>
      <c r="W62" s="75" t="s">
        <v>169</v>
      </c>
      <c r="X62" s="74" t="s">
        <v>166</v>
      </c>
      <c r="Y62" s="75" t="s">
        <v>169</v>
      </c>
      <c r="Z62" s="75" t="s">
        <v>169</v>
      </c>
      <c r="AA62" s="75" t="s">
        <v>169</v>
      </c>
      <c r="AB62" s="75" t="s">
        <v>169</v>
      </c>
      <c r="AC62" s="75" t="s">
        <v>169</v>
      </c>
      <c r="AD62" s="75" t="s">
        <v>169</v>
      </c>
      <c r="AE62" s="74" t="s">
        <v>166</v>
      </c>
      <c r="AF62" s="75" t="s">
        <v>169</v>
      </c>
      <c r="AG62" s="74" t="s">
        <v>166</v>
      </c>
      <c r="AH62" s="75" t="s">
        <v>169</v>
      </c>
      <c r="AI62" s="74" t="s">
        <v>166</v>
      </c>
      <c r="AJ62" s="75" t="s">
        <v>169</v>
      </c>
      <c r="AK62" s="74" t="s">
        <v>166</v>
      </c>
      <c r="AL62" s="75" t="s">
        <v>169</v>
      </c>
      <c r="AM62" s="75" t="s">
        <v>169</v>
      </c>
      <c r="AN62" s="75" t="s">
        <v>169</v>
      </c>
      <c r="AO62" s="75" t="s">
        <v>169</v>
      </c>
      <c r="AP62" s="74" t="s">
        <v>166</v>
      </c>
      <c r="AQ62" s="74" t="s">
        <v>166</v>
      </c>
      <c r="AR62" s="74" t="s">
        <v>166</v>
      </c>
      <c r="AS62" s="74" t="s">
        <v>166</v>
      </c>
      <c r="AT62" s="75" t="s">
        <v>169</v>
      </c>
      <c r="AU62" s="75" t="s">
        <v>169</v>
      </c>
      <c r="AV62" s="74" t="s">
        <v>166</v>
      </c>
      <c r="AW62" s="74" t="s">
        <v>166</v>
      </c>
      <c r="AX62" s="74" t="s">
        <v>166</v>
      </c>
      <c r="AY62" s="75" t="s">
        <v>169</v>
      </c>
      <c r="AZ62" s="74" t="s">
        <v>166</v>
      </c>
      <c r="BA62" s="74" t="s">
        <v>166</v>
      </c>
      <c r="BB62" s="74" t="s">
        <v>166</v>
      </c>
      <c r="BC62" s="74" t="s">
        <v>166</v>
      </c>
      <c r="BD62" s="75" t="s">
        <v>169</v>
      </c>
      <c r="BE62" s="74" t="s">
        <v>166</v>
      </c>
      <c r="BF62" s="74" t="s">
        <v>166</v>
      </c>
      <c r="BG62" s="75" t="s">
        <v>169</v>
      </c>
      <c r="BH62" s="75" t="s">
        <v>169</v>
      </c>
      <c r="BI62" s="75" t="s">
        <v>169</v>
      </c>
      <c r="BJ62" s="74" t="s">
        <v>166</v>
      </c>
      <c r="BK62" s="74" t="s">
        <v>166</v>
      </c>
      <c r="BL62" s="75" t="s">
        <v>169</v>
      </c>
      <c r="BM62" s="74" t="s">
        <v>166</v>
      </c>
      <c r="BN62" s="75" t="s">
        <v>169</v>
      </c>
      <c r="BO62" s="74" t="s">
        <v>166</v>
      </c>
      <c r="BP62" s="75" t="s">
        <v>169</v>
      </c>
      <c r="BQ62" s="75" t="s">
        <v>169</v>
      </c>
      <c r="BR62" s="75" t="s">
        <v>169</v>
      </c>
      <c r="BS62" s="75" t="s">
        <v>169</v>
      </c>
      <c r="BT62" s="75" t="s">
        <v>169</v>
      </c>
      <c r="BU62" s="75" t="s">
        <v>169</v>
      </c>
      <c r="BV62" s="75" t="s">
        <v>169</v>
      </c>
      <c r="BW62" s="99"/>
    </row>
    <row r="63" spans="2:75" x14ac:dyDescent="0.25">
      <c r="B63" s="151" t="s">
        <v>198</v>
      </c>
      <c r="C63" s="79">
        <v>41815</v>
      </c>
      <c r="D63" s="161"/>
      <c r="E63" s="73" t="s">
        <v>175</v>
      </c>
      <c r="F63" s="73" t="s">
        <v>175</v>
      </c>
      <c r="G63" s="73">
        <v>14.811948211701788</v>
      </c>
      <c r="H63" s="73">
        <v>10.879383510095245</v>
      </c>
      <c r="I63" s="73">
        <v>7.0981393169762645</v>
      </c>
      <c r="J63" s="73" t="s">
        <v>175</v>
      </c>
      <c r="K63" s="73" t="s">
        <v>175</v>
      </c>
      <c r="L63" s="73" t="s">
        <v>175</v>
      </c>
      <c r="M63" s="73" t="s">
        <v>175</v>
      </c>
      <c r="N63" s="73" t="s">
        <v>175</v>
      </c>
      <c r="O63" s="73" t="s">
        <v>175</v>
      </c>
      <c r="P63" s="73" t="s">
        <v>175</v>
      </c>
      <c r="Q63" s="73" t="s">
        <v>175</v>
      </c>
      <c r="R63" s="73" t="s">
        <v>175</v>
      </c>
      <c r="S63" s="73" t="s">
        <v>175</v>
      </c>
      <c r="T63" s="73" t="s">
        <v>175</v>
      </c>
      <c r="U63" s="73" t="s">
        <v>175</v>
      </c>
      <c r="V63" s="73" t="s">
        <v>175</v>
      </c>
      <c r="W63" s="73" t="s">
        <v>175</v>
      </c>
      <c r="X63" s="73" t="s">
        <v>175</v>
      </c>
      <c r="Y63" s="73" t="s">
        <v>175</v>
      </c>
      <c r="Z63" s="73" t="s">
        <v>175</v>
      </c>
      <c r="AA63" s="73" t="s">
        <v>175</v>
      </c>
      <c r="AB63" s="73" t="s">
        <v>175</v>
      </c>
      <c r="AC63" s="73">
        <v>19.41158320474004</v>
      </c>
      <c r="AD63" s="73" t="s">
        <v>175</v>
      </c>
      <c r="AE63" s="73" t="s">
        <v>175</v>
      </c>
      <c r="AF63" s="73" t="s">
        <v>175</v>
      </c>
      <c r="AG63" s="73" t="s">
        <v>175</v>
      </c>
      <c r="AH63" s="73">
        <v>5.9089414342330082</v>
      </c>
      <c r="AI63" s="73" t="s">
        <v>175</v>
      </c>
      <c r="AJ63" s="73">
        <v>8.8864341706086556</v>
      </c>
      <c r="AK63" s="73" t="s">
        <v>175</v>
      </c>
      <c r="AL63" s="73" t="s">
        <v>175</v>
      </c>
      <c r="AM63" s="73" t="s">
        <v>175</v>
      </c>
      <c r="AN63" s="73">
        <v>46.558758445353114</v>
      </c>
      <c r="AO63" s="73" t="s">
        <v>175</v>
      </c>
      <c r="AP63" s="73" t="s">
        <v>175</v>
      </c>
      <c r="AQ63" s="73" t="s">
        <v>175</v>
      </c>
      <c r="AR63" s="73" t="s">
        <v>175</v>
      </c>
      <c r="AS63" s="73" t="s">
        <v>175</v>
      </c>
      <c r="AT63" s="73" t="s">
        <v>175</v>
      </c>
      <c r="AU63" s="73">
        <v>13.822806550044564</v>
      </c>
      <c r="AV63" s="73" t="s">
        <v>175</v>
      </c>
      <c r="AW63" s="73" t="s">
        <v>175</v>
      </c>
      <c r="AX63" s="73" t="s">
        <v>175</v>
      </c>
      <c r="AY63" s="73" t="s">
        <v>175</v>
      </c>
      <c r="AZ63" s="73" t="s">
        <v>175</v>
      </c>
      <c r="BA63" s="73" t="s">
        <v>175</v>
      </c>
      <c r="BB63" s="73" t="s">
        <v>175</v>
      </c>
      <c r="BC63" s="73" t="s">
        <v>175</v>
      </c>
      <c r="BD63" s="73">
        <v>74.655719696168333</v>
      </c>
      <c r="BE63" s="73" t="s">
        <v>175</v>
      </c>
      <c r="BF63" s="73" t="s">
        <v>175</v>
      </c>
      <c r="BG63" s="73" t="s">
        <v>175</v>
      </c>
      <c r="BH63" s="73" t="s">
        <v>175</v>
      </c>
      <c r="BI63" s="73" t="s">
        <v>175</v>
      </c>
      <c r="BJ63" s="73" t="s">
        <v>175</v>
      </c>
      <c r="BK63" s="73" t="s">
        <v>175</v>
      </c>
      <c r="BL63" s="73">
        <v>35.395863578110045</v>
      </c>
      <c r="BM63" s="73">
        <v>5.7837096900478802</v>
      </c>
      <c r="BN63" s="73">
        <v>36.180444122132265</v>
      </c>
      <c r="BO63" s="73">
        <v>1.5714754829766484</v>
      </c>
      <c r="BP63" s="73">
        <v>70.299786697996936</v>
      </c>
      <c r="BQ63" s="73" t="s">
        <v>175</v>
      </c>
      <c r="BR63" s="73" t="s">
        <v>175</v>
      </c>
      <c r="BS63" s="73" t="s">
        <v>175</v>
      </c>
      <c r="BT63" s="73" t="s">
        <v>175</v>
      </c>
      <c r="BU63" s="73" t="s">
        <v>175</v>
      </c>
      <c r="BV63" s="73" t="s">
        <v>175</v>
      </c>
    </row>
    <row r="65" spans="2:75" x14ac:dyDescent="0.25">
      <c r="B65" s="92" t="s">
        <v>163</v>
      </c>
      <c r="C65" s="93">
        <v>41864</v>
      </c>
      <c r="D65" s="161"/>
      <c r="E65" s="91" t="s">
        <v>157</v>
      </c>
      <c r="F65" s="91" t="s">
        <v>157</v>
      </c>
      <c r="G65" s="91" t="s">
        <v>157</v>
      </c>
      <c r="H65" s="91" t="s">
        <v>157</v>
      </c>
      <c r="I65" s="91" t="s">
        <v>157</v>
      </c>
      <c r="J65" s="91" t="s">
        <v>157</v>
      </c>
      <c r="K65" s="91" t="s">
        <v>157</v>
      </c>
      <c r="L65" s="91" t="s">
        <v>157</v>
      </c>
      <c r="M65" s="91" t="s">
        <v>157</v>
      </c>
      <c r="N65" s="91" t="s">
        <v>157</v>
      </c>
      <c r="O65" s="91" t="s">
        <v>157</v>
      </c>
      <c r="P65" s="91" t="s">
        <v>157</v>
      </c>
      <c r="Q65" s="91" t="s">
        <v>157</v>
      </c>
      <c r="R65" s="91" t="s">
        <v>157</v>
      </c>
      <c r="S65" s="91" t="s">
        <v>157</v>
      </c>
      <c r="T65" s="91" t="s">
        <v>157</v>
      </c>
      <c r="U65" s="91" t="s">
        <v>157</v>
      </c>
      <c r="V65" s="91" t="s">
        <v>157</v>
      </c>
      <c r="W65" s="91" t="s">
        <v>157</v>
      </c>
      <c r="X65" s="91" t="s">
        <v>157</v>
      </c>
      <c r="Y65" s="91" t="s">
        <v>157</v>
      </c>
      <c r="Z65" s="91" t="s">
        <v>157</v>
      </c>
      <c r="AA65" s="91" t="s">
        <v>157</v>
      </c>
      <c r="AB65" s="91" t="s">
        <v>157</v>
      </c>
      <c r="AC65" s="91" t="s">
        <v>157</v>
      </c>
      <c r="AD65" s="91" t="s">
        <v>157</v>
      </c>
      <c r="AE65" s="91" t="s">
        <v>157</v>
      </c>
      <c r="AF65" s="91" t="s">
        <v>157</v>
      </c>
      <c r="AG65" s="91" t="s">
        <v>157</v>
      </c>
      <c r="AH65" s="91" t="s">
        <v>157</v>
      </c>
      <c r="AI65" s="91" t="s">
        <v>157</v>
      </c>
      <c r="AJ65" s="91" t="s">
        <v>157</v>
      </c>
      <c r="AK65" s="91" t="s">
        <v>157</v>
      </c>
      <c r="AL65" s="91" t="s">
        <v>157</v>
      </c>
      <c r="AM65" s="91" t="s">
        <v>157</v>
      </c>
      <c r="AN65" s="91" t="s">
        <v>157</v>
      </c>
      <c r="AO65" s="91" t="s">
        <v>157</v>
      </c>
      <c r="AP65" s="91" t="s">
        <v>157</v>
      </c>
      <c r="AQ65" s="91" t="s">
        <v>157</v>
      </c>
      <c r="AR65" s="91" t="s">
        <v>157</v>
      </c>
      <c r="AS65" s="91" t="s">
        <v>157</v>
      </c>
      <c r="AT65" s="91" t="s">
        <v>157</v>
      </c>
      <c r="AU65" s="91" t="s">
        <v>157</v>
      </c>
      <c r="AV65" s="91" t="s">
        <v>157</v>
      </c>
      <c r="AW65" s="91" t="s">
        <v>157</v>
      </c>
      <c r="AX65" s="91" t="s">
        <v>157</v>
      </c>
      <c r="AY65" s="91" t="s">
        <v>157</v>
      </c>
      <c r="AZ65" s="91" t="s">
        <v>157</v>
      </c>
      <c r="BA65" s="91" t="s">
        <v>157</v>
      </c>
      <c r="BB65" s="91" t="s">
        <v>157</v>
      </c>
      <c r="BC65" s="91" t="s">
        <v>157</v>
      </c>
      <c r="BD65" s="91" t="s">
        <v>157</v>
      </c>
      <c r="BE65" s="91" t="s">
        <v>157</v>
      </c>
      <c r="BF65" s="91" t="s">
        <v>157</v>
      </c>
      <c r="BG65" s="91" t="s">
        <v>157</v>
      </c>
      <c r="BH65" s="91" t="s">
        <v>157</v>
      </c>
      <c r="BI65" s="91" t="s">
        <v>157</v>
      </c>
      <c r="BJ65" s="91" t="s">
        <v>157</v>
      </c>
      <c r="BK65" s="91" t="s">
        <v>157</v>
      </c>
      <c r="BL65" s="91" t="s">
        <v>157</v>
      </c>
      <c r="BM65" s="91" t="s">
        <v>157</v>
      </c>
      <c r="BN65" s="91" t="s">
        <v>157</v>
      </c>
      <c r="BO65" s="91" t="s">
        <v>157</v>
      </c>
      <c r="BP65" s="91" t="s">
        <v>157</v>
      </c>
      <c r="BQ65" s="91" t="s">
        <v>157</v>
      </c>
      <c r="BR65" s="91" t="s">
        <v>157</v>
      </c>
      <c r="BS65" s="91" t="s">
        <v>157</v>
      </c>
      <c r="BT65" s="91" t="s">
        <v>157</v>
      </c>
      <c r="BU65" s="91" t="s">
        <v>157</v>
      </c>
      <c r="BV65" s="91" t="s">
        <v>157</v>
      </c>
      <c r="BW65" s="99"/>
    </row>
    <row r="66" spans="2:75" x14ac:dyDescent="0.25">
      <c r="B66" s="92" t="s">
        <v>164</v>
      </c>
      <c r="C66" s="93">
        <v>41864</v>
      </c>
      <c r="D66" s="161"/>
      <c r="E66" s="91" t="s">
        <v>157</v>
      </c>
      <c r="F66" s="91" t="s">
        <v>157</v>
      </c>
      <c r="G66" s="91" t="s">
        <v>157</v>
      </c>
      <c r="H66" s="91" t="s">
        <v>157</v>
      </c>
      <c r="I66" s="91" t="s">
        <v>157</v>
      </c>
      <c r="J66" s="91" t="s">
        <v>157</v>
      </c>
      <c r="K66" s="91" t="s">
        <v>157</v>
      </c>
      <c r="L66" s="91" t="s">
        <v>157</v>
      </c>
      <c r="M66" s="91" t="s">
        <v>157</v>
      </c>
      <c r="N66" s="91" t="s">
        <v>157</v>
      </c>
      <c r="O66" s="91" t="s">
        <v>157</v>
      </c>
      <c r="P66" s="91" t="s">
        <v>157</v>
      </c>
      <c r="Q66" s="91" t="s">
        <v>157</v>
      </c>
      <c r="R66" s="91" t="s">
        <v>157</v>
      </c>
      <c r="S66" s="91" t="s">
        <v>157</v>
      </c>
      <c r="T66" s="91" t="s">
        <v>157</v>
      </c>
      <c r="U66" s="91" t="s">
        <v>157</v>
      </c>
      <c r="V66" s="91" t="s">
        <v>157</v>
      </c>
      <c r="W66" s="91" t="s">
        <v>157</v>
      </c>
      <c r="X66" s="91" t="s">
        <v>157</v>
      </c>
      <c r="Y66" s="91" t="s">
        <v>157</v>
      </c>
      <c r="Z66" s="91" t="s">
        <v>157</v>
      </c>
      <c r="AA66" s="91" t="s">
        <v>157</v>
      </c>
      <c r="AB66" s="91" t="s">
        <v>157</v>
      </c>
      <c r="AC66" s="91" t="s">
        <v>157</v>
      </c>
      <c r="AD66" s="91" t="s">
        <v>157</v>
      </c>
      <c r="AE66" s="91" t="s">
        <v>157</v>
      </c>
      <c r="AF66" s="91" t="s">
        <v>157</v>
      </c>
      <c r="AG66" s="91" t="s">
        <v>157</v>
      </c>
      <c r="AH66" s="91" t="s">
        <v>157</v>
      </c>
      <c r="AI66" s="91" t="s">
        <v>157</v>
      </c>
      <c r="AJ66" s="91" t="s">
        <v>157</v>
      </c>
      <c r="AK66" s="91" t="s">
        <v>157</v>
      </c>
      <c r="AL66" s="91" t="s">
        <v>157</v>
      </c>
      <c r="AM66" s="91" t="s">
        <v>157</v>
      </c>
      <c r="AN66" s="91" t="s">
        <v>157</v>
      </c>
      <c r="AO66" s="91" t="s">
        <v>157</v>
      </c>
      <c r="AP66" s="91" t="s">
        <v>157</v>
      </c>
      <c r="AQ66" s="91" t="s">
        <v>157</v>
      </c>
      <c r="AR66" s="91" t="s">
        <v>157</v>
      </c>
      <c r="AS66" s="91" t="s">
        <v>157</v>
      </c>
      <c r="AT66" s="91" t="s">
        <v>157</v>
      </c>
      <c r="AU66" s="91" t="s">
        <v>157</v>
      </c>
      <c r="AV66" s="91" t="s">
        <v>157</v>
      </c>
      <c r="AW66" s="91" t="s">
        <v>157</v>
      </c>
      <c r="AX66" s="91" t="s">
        <v>157</v>
      </c>
      <c r="AY66" s="91" t="s">
        <v>157</v>
      </c>
      <c r="AZ66" s="91" t="s">
        <v>157</v>
      </c>
      <c r="BA66" s="91" t="s">
        <v>157</v>
      </c>
      <c r="BB66" s="91" t="s">
        <v>157</v>
      </c>
      <c r="BC66" s="91" t="s">
        <v>157</v>
      </c>
      <c r="BD66" s="91" t="s">
        <v>157</v>
      </c>
      <c r="BE66" s="91" t="s">
        <v>157</v>
      </c>
      <c r="BF66" s="91" t="s">
        <v>157</v>
      </c>
      <c r="BG66" s="91" t="s">
        <v>157</v>
      </c>
      <c r="BH66" s="91" t="s">
        <v>157</v>
      </c>
      <c r="BI66" s="91" t="s">
        <v>157</v>
      </c>
      <c r="BJ66" s="91" t="s">
        <v>157</v>
      </c>
      <c r="BK66" s="91" t="s">
        <v>157</v>
      </c>
      <c r="BL66" s="91" t="s">
        <v>157</v>
      </c>
      <c r="BM66" s="91" t="s">
        <v>157</v>
      </c>
      <c r="BN66" s="91" t="s">
        <v>157</v>
      </c>
      <c r="BO66" s="91" t="s">
        <v>157</v>
      </c>
      <c r="BP66" s="91" t="s">
        <v>157</v>
      </c>
      <c r="BQ66" s="91" t="s">
        <v>157</v>
      </c>
      <c r="BR66" s="91" t="s">
        <v>157</v>
      </c>
      <c r="BS66" s="91" t="s">
        <v>157</v>
      </c>
      <c r="BT66" s="91" t="s">
        <v>157</v>
      </c>
      <c r="BU66" s="91" t="s">
        <v>157</v>
      </c>
      <c r="BV66" s="91" t="s">
        <v>157</v>
      </c>
      <c r="BW66" s="99"/>
    </row>
    <row r="67" spans="2:75" x14ac:dyDescent="0.25">
      <c r="B67" s="92" t="s">
        <v>165</v>
      </c>
      <c r="C67" s="93">
        <v>41864</v>
      </c>
      <c r="D67" s="161"/>
      <c r="E67" s="91">
        <v>88.266666666666666</v>
      </c>
      <c r="F67" s="91">
        <v>95.716666666666654</v>
      </c>
      <c r="G67" s="91">
        <v>90.949999999999989</v>
      </c>
      <c r="H67" s="91">
        <v>96.75</v>
      </c>
      <c r="I67" s="91">
        <v>92.766666666666666</v>
      </c>
      <c r="J67" s="91">
        <v>93.683333333333337</v>
      </c>
      <c r="K67" s="91">
        <v>93.916666666666671</v>
      </c>
      <c r="L67" s="91">
        <v>93.25</v>
      </c>
      <c r="M67" s="91">
        <v>91.350000000000009</v>
      </c>
      <c r="N67" s="91">
        <v>92.916666666666671</v>
      </c>
      <c r="O67" s="91">
        <v>94.850000000000009</v>
      </c>
      <c r="P67" s="90" t="s">
        <v>166</v>
      </c>
      <c r="Q67" s="91">
        <v>85.283333333333346</v>
      </c>
      <c r="R67" s="90" t="s">
        <v>166</v>
      </c>
      <c r="S67" s="91">
        <v>94.05</v>
      </c>
      <c r="T67" s="90" t="s">
        <v>166</v>
      </c>
      <c r="U67" s="91">
        <v>102.58333333333333</v>
      </c>
      <c r="V67" s="91">
        <v>91.516666666666652</v>
      </c>
      <c r="W67" s="91">
        <v>101.56666666666666</v>
      </c>
      <c r="X67" s="90" t="s">
        <v>166</v>
      </c>
      <c r="Y67" s="91">
        <v>92.5</v>
      </c>
      <c r="Z67" s="91">
        <v>81.016666666666666</v>
      </c>
      <c r="AA67" s="90" t="s">
        <v>166</v>
      </c>
      <c r="AB67" s="90" t="s">
        <v>166</v>
      </c>
      <c r="AC67" s="91">
        <v>89.333333333333329</v>
      </c>
      <c r="AD67" s="91">
        <v>79</v>
      </c>
      <c r="AE67" s="90" t="s">
        <v>166</v>
      </c>
      <c r="AF67" s="91">
        <v>83.750000000000014</v>
      </c>
      <c r="AG67" s="90" t="s">
        <v>166</v>
      </c>
      <c r="AH67" s="91">
        <v>83.1</v>
      </c>
      <c r="AI67" s="90" t="s">
        <v>166</v>
      </c>
      <c r="AJ67" s="91">
        <v>87.333333333333329</v>
      </c>
      <c r="AK67" s="90" t="s">
        <v>166</v>
      </c>
      <c r="AL67" s="91">
        <v>95.933333333333323</v>
      </c>
      <c r="AM67" s="91">
        <v>99.133333333333326</v>
      </c>
      <c r="AN67" s="91">
        <v>95.8</v>
      </c>
      <c r="AO67" s="91">
        <v>96.266666666666652</v>
      </c>
      <c r="AP67" s="90" t="s">
        <v>166</v>
      </c>
      <c r="AQ67" s="90" t="s">
        <v>166</v>
      </c>
      <c r="AR67" s="90" t="s">
        <v>166</v>
      </c>
      <c r="AS67" s="90" t="s">
        <v>166</v>
      </c>
      <c r="AT67" s="91">
        <v>85.600000000000009</v>
      </c>
      <c r="AU67" s="91">
        <v>82.283333333333346</v>
      </c>
      <c r="AV67" s="90" t="s">
        <v>166</v>
      </c>
      <c r="AW67" s="90" t="s">
        <v>166</v>
      </c>
      <c r="AX67" s="90" t="s">
        <v>166</v>
      </c>
      <c r="AY67" s="91">
        <v>92.466666666666654</v>
      </c>
      <c r="AZ67" s="90" t="s">
        <v>166</v>
      </c>
      <c r="BA67" s="90" t="s">
        <v>166</v>
      </c>
      <c r="BB67" s="90" t="s">
        <v>166</v>
      </c>
      <c r="BC67" s="90" t="s">
        <v>166</v>
      </c>
      <c r="BD67" s="91">
        <v>91.533333333333317</v>
      </c>
      <c r="BE67" s="90" t="s">
        <v>166</v>
      </c>
      <c r="BF67" s="90" t="s">
        <v>166</v>
      </c>
      <c r="BG67" s="91">
        <v>90.933333333333337</v>
      </c>
      <c r="BH67" s="91">
        <v>84.983333333333334</v>
      </c>
      <c r="BI67" s="91">
        <v>84.233333333333334</v>
      </c>
      <c r="BJ67" s="90" t="s">
        <v>166</v>
      </c>
      <c r="BK67" s="90" t="s">
        <v>166</v>
      </c>
      <c r="BL67" s="91">
        <v>89.483333333333334</v>
      </c>
      <c r="BM67" s="90" t="s">
        <v>166</v>
      </c>
      <c r="BN67" s="91">
        <v>87.233333333333334</v>
      </c>
      <c r="BO67" s="90" t="s">
        <v>166</v>
      </c>
      <c r="BP67" s="90" t="s">
        <v>166</v>
      </c>
      <c r="BQ67" s="90" t="s">
        <v>166</v>
      </c>
      <c r="BR67" s="90" t="s">
        <v>166</v>
      </c>
      <c r="BS67" s="90" t="s">
        <v>166</v>
      </c>
      <c r="BT67" s="90" t="s">
        <v>166</v>
      </c>
      <c r="BU67" s="90" t="s">
        <v>166</v>
      </c>
      <c r="BV67" s="90" t="s">
        <v>166</v>
      </c>
      <c r="BW67" s="99"/>
    </row>
    <row r="68" spans="2:75" x14ac:dyDescent="0.25">
      <c r="B68" s="92" t="s">
        <v>172</v>
      </c>
      <c r="C68" s="93">
        <v>41864</v>
      </c>
      <c r="D68" s="161"/>
      <c r="E68" s="91">
        <v>0.999</v>
      </c>
      <c r="F68" s="91">
        <v>0.998</v>
      </c>
      <c r="G68" s="91">
        <v>0.999</v>
      </c>
      <c r="H68" s="91">
        <v>0.999</v>
      </c>
      <c r="I68" s="91">
        <v>1</v>
      </c>
      <c r="J68" s="91">
        <v>0.999</v>
      </c>
      <c r="K68" s="91">
        <v>0.999</v>
      </c>
      <c r="L68" s="91">
        <v>0.999</v>
      </c>
      <c r="M68" s="91">
        <v>0.999</v>
      </c>
      <c r="N68" s="91">
        <v>0.999</v>
      </c>
      <c r="O68" s="91">
        <v>0.999</v>
      </c>
      <c r="P68" s="90" t="s">
        <v>166</v>
      </c>
      <c r="Q68" s="91">
        <v>0.998</v>
      </c>
      <c r="R68" s="90" t="s">
        <v>166</v>
      </c>
      <c r="S68" s="91">
        <v>0.998</v>
      </c>
      <c r="T68" s="90" t="s">
        <v>166</v>
      </c>
      <c r="U68" s="91">
        <v>0.998</v>
      </c>
      <c r="V68" s="91">
        <v>0.98399999999999999</v>
      </c>
      <c r="W68" s="91">
        <v>0.99</v>
      </c>
      <c r="X68" s="90" t="s">
        <v>166</v>
      </c>
      <c r="Y68" s="91">
        <v>0.998</v>
      </c>
      <c r="Z68" s="91">
        <v>0.999</v>
      </c>
      <c r="AA68" s="90" t="s">
        <v>166</v>
      </c>
      <c r="AB68" s="91">
        <v>0.99199999999999999</v>
      </c>
      <c r="AC68" s="91">
        <v>1</v>
      </c>
      <c r="AD68" s="91">
        <v>0.998</v>
      </c>
      <c r="AE68" s="90" t="s">
        <v>166</v>
      </c>
      <c r="AF68" s="91">
        <v>0.995</v>
      </c>
      <c r="AG68" s="90" t="s">
        <v>166</v>
      </c>
      <c r="AH68" s="91">
        <v>0.999</v>
      </c>
      <c r="AI68" s="90" t="s">
        <v>166</v>
      </c>
      <c r="AJ68" s="91">
        <v>0.999</v>
      </c>
      <c r="AK68" s="90" t="s">
        <v>166</v>
      </c>
      <c r="AL68" s="91">
        <v>1</v>
      </c>
      <c r="AM68" s="91">
        <v>0.99199999999999999</v>
      </c>
      <c r="AN68" s="91">
        <v>0.99399999999999999</v>
      </c>
      <c r="AO68" s="91">
        <v>0.996</v>
      </c>
      <c r="AP68" s="90" t="s">
        <v>166</v>
      </c>
      <c r="AQ68" s="90" t="s">
        <v>166</v>
      </c>
      <c r="AR68" s="90" t="s">
        <v>166</v>
      </c>
      <c r="AS68" s="90" t="s">
        <v>166</v>
      </c>
      <c r="AT68" s="91">
        <v>0.99399999999999999</v>
      </c>
      <c r="AU68" s="91">
        <v>0.997</v>
      </c>
      <c r="AV68" s="90" t="s">
        <v>166</v>
      </c>
      <c r="AW68" s="90" t="s">
        <v>166</v>
      </c>
      <c r="AX68" s="90" t="s">
        <v>166</v>
      </c>
      <c r="AY68" s="91">
        <v>0.998</v>
      </c>
      <c r="AZ68" s="90" t="s">
        <v>166</v>
      </c>
      <c r="BA68" s="90" t="s">
        <v>166</v>
      </c>
      <c r="BB68" s="90" t="s">
        <v>166</v>
      </c>
      <c r="BC68" s="90" t="s">
        <v>166</v>
      </c>
      <c r="BD68" s="91">
        <v>0.998</v>
      </c>
      <c r="BE68" s="90" t="s">
        <v>166</v>
      </c>
      <c r="BF68" s="90" t="s">
        <v>166</v>
      </c>
      <c r="BG68" s="91">
        <v>0.999</v>
      </c>
      <c r="BH68" s="91">
        <v>0.999</v>
      </c>
      <c r="BI68" s="91">
        <v>0.999</v>
      </c>
      <c r="BJ68" s="90" t="s">
        <v>166</v>
      </c>
      <c r="BK68" s="90" t="s">
        <v>166</v>
      </c>
      <c r="BL68" s="91">
        <v>0.998</v>
      </c>
      <c r="BM68" s="90" t="s">
        <v>166</v>
      </c>
      <c r="BN68" s="91">
        <v>0.997</v>
      </c>
      <c r="BO68" s="90" t="s">
        <v>166</v>
      </c>
      <c r="BP68" s="90" t="s">
        <v>166</v>
      </c>
      <c r="BQ68" s="90" t="s">
        <v>166</v>
      </c>
      <c r="BR68" s="90" t="s">
        <v>166</v>
      </c>
      <c r="BS68" s="90" t="s">
        <v>166</v>
      </c>
      <c r="BT68" s="90" t="s">
        <v>166</v>
      </c>
      <c r="BU68" s="90" t="s">
        <v>166</v>
      </c>
      <c r="BV68" s="90" t="s">
        <v>166</v>
      </c>
      <c r="BW68" s="99"/>
    </row>
    <row r="69" spans="2:75" x14ac:dyDescent="0.25">
      <c r="B69" s="92" t="s">
        <v>173</v>
      </c>
      <c r="C69" s="93">
        <v>41864</v>
      </c>
      <c r="D69" s="161"/>
      <c r="E69" s="91">
        <v>92.5</v>
      </c>
      <c r="F69" s="91">
        <v>92.5</v>
      </c>
      <c r="G69" s="91">
        <v>91.5</v>
      </c>
      <c r="H69" s="91">
        <v>93.8</v>
      </c>
      <c r="I69" s="91">
        <v>92.2</v>
      </c>
      <c r="J69" s="91">
        <v>93.9</v>
      </c>
      <c r="K69" s="91">
        <v>98.1</v>
      </c>
      <c r="L69" s="91">
        <v>91.6</v>
      </c>
      <c r="M69" s="91">
        <v>94.5</v>
      </c>
      <c r="N69" s="91">
        <v>88.5</v>
      </c>
      <c r="O69" s="91">
        <v>92.3</v>
      </c>
      <c r="P69" s="90" t="s">
        <v>166</v>
      </c>
      <c r="Q69" s="91">
        <v>98.2</v>
      </c>
      <c r="R69" s="90" t="s">
        <v>166</v>
      </c>
      <c r="S69" s="91">
        <v>95.9</v>
      </c>
      <c r="T69" s="90" t="s">
        <v>166</v>
      </c>
      <c r="U69" s="91">
        <v>113.3</v>
      </c>
      <c r="V69" s="91">
        <v>80.900000000000006</v>
      </c>
      <c r="W69" s="91">
        <v>107.9</v>
      </c>
      <c r="X69" s="90" t="s">
        <v>166</v>
      </c>
      <c r="Y69" s="91">
        <v>93.1</v>
      </c>
      <c r="Z69" s="91">
        <v>86</v>
      </c>
      <c r="AA69" s="90" t="s">
        <v>166</v>
      </c>
      <c r="AB69" s="91">
        <v>118.8</v>
      </c>
      <c r="AC69" s="91">
        <v>88.3</v>
      </c>
      <c r="AD69" s="91">
        <v>85.2</v>
      </c>
      <c r="AE69" s="90" t="s">
        <v>166</v>
      </c>
      <c r="AF69" s="91">
        <v>91.7</v>
      </c>
      <c r="AG69" s="90" t="s">
        <v>166</v>
      </c>
      <c r="AH69" s="91">
        <v>90.3</v>
      </c>
      <c r="AI69" s="90" t="s">
        <v>166</v>
      </c>
      <c r="AJ69" s="91">
        <v>95.4</v>
      </c>
      <c r="AK69" s="90" t="s">
        <v>166</v>
      </c>
      <c r="AL69" s="91">
        <v>94.5</v>
      </c>
      <c r="AM69" s="91">
        <v>106.6</v>
      </c>
      <c r="AN69" s="91">
        <v>96.4</v>
      </c>
      <c r="AO69" s="91">
        <v>99</v>
      </c>
      <c r="AP69" s="90" t="s">
        <v>166</v>
      </c>
      <c r="AQ69" s="90" t="s">
        <v>166</v>
      </c>
      <c r="AR69" s="90" t="s">
        <v>166</v>
      </c>
      <c r="AS69" s="90" t="s">
        <v>166</v>
      </c>
      <c r="AT69" s="91">
        <v>87.1</v>
      </c>
      <c r="AU69" s="91">
        <v>96</v>
      </c>
      <c r="AV69" s="90" t="s">
        <v>166</v>
      </c>
      <c r="AW69" s="90" t="s">
        <v>166</v>
      </c>
      <c r="AX69" s="90" t="s">
        <v>166</v>
      </c>
      <c r="AY69" s="91">
        <v>92.9</v>
      </c>
      <c r="AZ69" s="90" t="s">
        <v>166</v>
      </c>
      <c r="BA69" s="90" t="s">
        <v>166</v>
      </c>
      <c r="BB69" s="90" t="s">
        <v>166</v>
      </c>
      <c r="BC69" s="90" t="s">
        <v>166</v>
      </c>
      <c r="BD69" s="91">
        <v>90.8</v>
      </c>
      <c r="BE69" s="90" t="s">
        <v>166</v>
      </c>
      <c r="BF69" s="90" t="s">
        <v>166</v>
      </c>
      <c r="BG69" s="91">
        <v>91.4</v>
      </c>
      <c r="BH69" s="91">
        <v>88.3</v>
      </c>
      <c r="BI69" s="91">
        <v>85</v>
      </c>
      <c r="BJ69" s="90" t="s">
        <v>166</v>
      </c>
      <c r="BK69" s="90" t="s">
        <v>166</v>
      </c>
      <c r="BL69" s="91">
        <v>96.3</v>
      </c>
      <c r="BM69" s="90" t="s">
        <v>166</v>
      </c>
      <c r="BN69" s="91">
        <v>105.6</v>
      </c>
      <c r="BO69" s="90" t="s">
        <v>166</v>
      </c>
      <c r="BP69" s="90" t="s">
        <v>166</v>
      </c>
      <c r="BQ69" s="90" t="s">
        <v>166</v>
      </c>
      <c r="BR69" s="90" t="s">
        <v>166</v>
      </c>
      <c r="BS69" s="90" t="s">
        <v>166</v>
      </c>
      <c r="BT69" s="90" t="s">
        <v>166</v>
      </c>
      <c r="BU69" s="90" t="s">
        <v>166</v>
      </c>
      <c r="BV69" s="90" t="s">
        <v>166</v>
      </c>
      <c r="BW69" s="99"/>
    </row>
    <row r="70" spans="2:75" x14ac:dyDescent="0.25">
      <c r="B70" s="92" t="s">
        <v>170</v>
      </c>
      <c r="C70" s="93">
        <v>41864</v>
      </c>
      <c r="D70" s="161"/>
      <c r="E70" s="91" t="s">
        <v>169</v>
      </c>
      <c r="F70" s="91" t="s">
        <v>169</v>
      </c>
      <c r="G70" s="91" t="s">
        <v>169</v>
      </c>
      <c r="H70" s="91" t="s">
        <v>169</v>
      </c>
      <c r="I70" s="91" t="s">
        <v>169</v>
      </c>
      <c r="J70" s="91" t="s">
        <v>169</v>
      </c>
      <c r="K70" s="91" t="s">
        <v>169</v>
      </c>
      <c r="L70" s="91" t="s">
        <v>169</v>
      </c>
      <c r="M70" s="91" t="s">
        <v>169</v>
      </c>
      <c r="N70" s="91" t="s">
        <v>169</v>
      </c>
      <c r="O70" s="91" t="s">
        <v>169</v>
      </c>
      <c r="P70" s="90" t="s">
        <v>166</v>
      </c>
      <c r="Q70" s="91" t="s">
        <v>169</v>
      </c>
      <c r="R70" s="90" t="s">
        <v>166</v>
      </c>
      <c r="S70" s="91" t="s">
        <v>169</v>
      </c>
      <c r="T70" s="90" t="s">
        <v>166</v>
      </c>
      <c r="U70" s="91" t="s">
        <v>169</v>
      </c>
      <c r="V70" s="91" t="s">
        <v>169</v>
      </c>
      <c r="W70" s="91" t="s">
        <v>169</v>
      </c>
      <c r="X70" s="90" t="s">
        <v>166</v>
      </c>
      <c r="Y70" s="91" t="s">
        <v>169</v>
      </c>
      <c r="Z70" s="91" t="s">
        <v>169</v>
      </c>
      <c r="AA70" s="91" t="s">
        <v>169</v>
      </c>
      <c r="AB70" s="91" t="s">
        <v>169</v>
      </c>
      <c r="AC70" s="91" t="s">
        <v>169</v>
      </c>
      <c r="AD70" s="91" t="s">
        <v>169</v>
      </c>
      <c r="AE70" s="90" t="s">
        <v>166</v>
      </c>
      <c r="AF70" s="91" t="s">
        <v>169</v>
      </c>
      <c r="AG70" s="90" t="s">
        <v>166</v>
      </c>
      <c r="AH70" s="91" t="s">
        <v>169</v>
      </c>
      <c r="AI70" s="90" t="s">
        <v>166</v>
      </c>
      <c r="AJ70" s="91" t="s">
        <v>169</v>
      </c>
      <c r="AK70" s="90" t="s">
        <v>166</v>
      </c>
      <c r="AL70" s="91" t="s">
        <v>169</v>
      </c>
      <c r="AM70" s="91" t="s">
        <v>169</v>
      </c>
      <c r="AN70" s="91" t="s">
        <v>169</v>
      </c>
      <c r="AO70" s="91" t="s">
        <v>169</v>
      </c>
      <c r="AP70" s="90" t="s">
        <v>166</v>
      </c>
      <c r="AQ70" s="90" t="s">
        <v>166</v>
      </c>
      <c r="AR70" s="90" t="s">
        <v>166</v>
      </c>
      <c r="AS70" s="90" t="s">
        <v>166</v>
      </c>
      <c r="AT70" s="91" t="s">
        <v>169</v>
      </c>
      <c r="AU70" s="91" t="s">
        <v>169</v>
      </c>
      <c r="AV70" s="90" t="s">
        <v>166</v>
      </c>
      <c r="AW70" s="90" t="s">
        <v>166</v>
      </c>
      <c r="AX70" s="90" t="s">
        <v>166</v>
      </c>
      <c r="AY70" s="91" t="s">
        <v>169</v>
      </c>
      <c r="AZ70" s="90" t="s">
        <v>166</v>
      </c>
      <c r="BA70" s="90" t="s">
        <v>166</v>
      </c>
      <c r="BB70" s="90" t="s">
        <v>166</v>
      </c>
      <c r="BC70" s="90" t="s">
        <v>166</v>
      </c>
      <c r="BD70" s="91" t="s">
        <v>169</v>
      </c>
      <c r="BE70" s="90" t="s">
        <v>166</v>
      </c>
      <c r="BF70" s="90" t="s">
        <v>166</v>
      </c>
      <c r="BG70" s="91" t="s">
        <v>169</v>
      </c>
      <c r="BH70" s="91" t="s">
        <v>169</v>
      </c>
      <c r="BI70" s="91" t="s">
        <v>169</v>
      </c>
      <c r="BJ70" s="90" t="s">
        <v>166</v>
      </c>
      <c r="BK70" s="90" t="s">
        <v>166</v>
      </c>
      <c r="BL70" s="91" t="s">
        <v>169</v>
      </c>
      <c r="BM70" s="90" t="s">
        <v>166</v>
      </c>
      <c r="BN70" s="91" t="s">
        <v>169</v>
      </c>
      <c r="BO70" s="90" t="s">
        <v>166</v>
      </c>
      <c r="BP70" s="102" t="s">
        <v>169</v>
      </c>
      <c r="BQ70" s="102" t="s">
        <v>169</v>
      </c>
      <c r="BR70" s="102" t="s">
        <v>169</v>
      </c>
      <c r="BS70" s="102" t="s">
        <v>169</v>
      </c>
      <c r="BT70" s="102" t="s">
        <v>169</v>
      </c>
      <c r="BU70" s="102" t="s">
        <v>169</v>
      </c>
      <c r="BV70" s="91" t="s">
        <v>169</v>
      </c>
      <c r="BW70" s="99"/>
    </row>
    <row r="72" spans="2:75" x14ac:dyDescent="0.25">
      <c r="B72" s="106" t="s">
        <v>163</v>
      </c>
      <c r="C72" s="23" t="s">
        <v>181</v>
      </c>
      <c r="D72" s="23"/>
      <c r="E72" s="106" t="s">
        <v>157</v>
      </c>
      <c r="F72" s="106" t="s">
        <v>157</v>
      </c>
      <c r="G72" s="106" t="s">
        <v>157</v>
      </c>
      <c r="H72" s="106" t="s">
        <v>157</v>
      </c>
      <c r="I72" s="106" t="s">
        <v>157</v>
      </c>
      <c r="J72" s="106" t="s">
        <v>157</v>
      </c>
      <c r="K72" s="106" t="s">
        <v>157</v>
      </c>
      <c r="L72" s="106" t="s">
        <v>157</v>
      </c>
      <c r="M72" s="106" t="s">
        <v>157</v>
      </c>
      <c r="N72" s="106" t="s">
        <v>157</v>
      </c>
      <c r="O72" s="106" t="s">
        <v>157</v>
      </c>
      <c r="P72" s="106" t="s">
        <v>157</v>
      </c>
      <c r="Q72" s="106" t="s">
        <v>157</v>
      </c>
      <c r="R72" s="106" t="s">
        <v>157</v>
      </c>
      <c r="S72" s="106" t="s">
        <v>157</v>
      </c>
      <c r="T72" s="106" t="s">
        <v>157</v>
      </c>
      <c r="U72" s="106" t="s">
        <v>157</v>
      </c>
      <c r="V72" s="106" t="s">
        <v>157</v>
      </c>
      <c r="W72" s="106" t="s">
        <v>157</v>
      </c>
      <c r="X72" s="106" t="s">
        <v>157</v>
      </c>
      <c r="Y72" s="106" t="s">
        <v>157</v>
      </c>
      <c r="Z72" s="106" t="s">
        <v>157</v>
      </c>
      <c r="AA72" s="106" t="s">
        <v>157</v>
      </c>
      <c r="AB72" s="106" t="s">
        <v>157</v>
      </c>
      <c r="AC72" s="106" t="s">
        <v>157</v>
      </c>
      <c r="AD72" s="106" t="s">
        <v>157</v>
      </c>
      <c r="AE72" s="106" t="s">
        <v>157</v>
      </c>
      <c r="AF72" s="106" t="s">
        <v>157</v>
      </c>
      <c r="AG72" s="106" t="s">
        <v>157</v>
      </c>
      <c r="AH72" s="106" t="s">
        <v>157</v>
      </c>
      <c r="AI72" s="106" t="s">
        <v>157</v>
      </c>
      <c r="AJ72" s="106" t="s">
        <v>157</v>
      </c>
      <c r="AK72" s="106" t="s">
        <v>157</v>
      </c>
      <c r="AL72" s="106" t="s">
        <v>157</v>
      </c>
      <c r="AM72" s="106" t="s">
        <v>157</v>
      </c>
      <c r="AN72" s="106" t="s">
        <v>157</v>
      </c>
      <c r="AO72" s="106" t="s">
        <v>157</v>
      </c>
      <c r="AP72" s="106" t="s">
        <v>157</v>
      </c>
      <c r="AQ72" s="106" t="s">
        <v>157</v>
      </c>
      <c r="AR72" s="106" t="s">
        <v>157</v>
      </c>
      <c r="AS72" s="106" t="s">
        <v>157</v>
      </c>
      <c r="AT72" s="106" t="s">
        <v>157</v>
      </c>
      <c r="AU72" s="106" t="s">
        <v>157</v>
      </c>
      <c r="AV72" s="106" t="s">
        <v>157</v>
      </c>
      <c r="AW72" s="106" t="s">
        <v>157</v>
      </c>
      <c r="AX72" s="106" t="s">
        <v>157</v>
      </c>
      <c r="AY72" s="106" t="s">
        <v>157</v>
      </c>
      <c r="AZ72" s="106" t="s">
        <v>157</v>
      </c>
      <c r="BA72" s="106" t="s">
        <v>157</v>
      </c>
      <c r="BB72" s="106" t="s">
        <v>157</v>
      </c>
      <c r="BC72" s="106" t="s">
        <v>157</v>
      </c>
      <c r="BD72" s="106" t="s">
        <v>157</v>
      </c>
      <c r="BE72" s="106" t="s">
        <v>157</v>
      </c>
      <c r="BF72" s="106" t="s">
        <v>157</v>
      </c>
      <c r="BG72" s="106" t="s">
        <v>157</v>
      </c>
      <c r="BH72" s="106" t="s">
        <v>157</v>
      </c>
      <c r="BI72" s="106" t="s">
        <v>157</v>
      </c>
      <c r="BJ72" s="106" t="s">
        <v>157</v>
      </c>
      <c r="BK72" s="106" t="s">
        <v>157</v>
      </c>
      <c r="BL72" s="106" t="s">
        <v>157</v>
      </c>
      <c r="BM72" s="106" t="s">
        <v>157</v>
      </c>
      <c r="BN72" s="106" t="s">
        <v>157</v>
      </c>
      <c r="BO72" s="106" t="s">
        <v>157</v>
      </c>
      <c r="BP72" s="106" t="s">
        <v>157</v>
      </c>
      <c r="BQ72" s="106" t="s">
        <v>157</v>
      </c>
      <c r="BR72" s="106" t="s">
        <v>157</v>
      </c>
      <c r="BS72" s="106" t="s">
        <v>157</v>
      </c>
      <c r="BT72" s="106" t="s">
        <v>157</v>
      </c>
      <c r="BU72" s="106" t="s">
        <v>157</v>
      </c>
      <c r="BV72" s="106">
        <v>20.266666666666666</v>
      </c>
      <c r="BW72" s="99"/>
    </row>
    <row r="73" spans="2:75" x14ac:dyDescent="0.25">
      <c r="B73" s="106" t="s">
        <v>164</v>
      </c>
      <c r="C73" s="23" t="s">
        <v>181</v>
      </c>
      <c r="D73" s="23"/>
      <c r="E73" s="106" t="s">
        <v>158</v>
      </c>
      <c r="F73" s="106" t="s">
        <v>157</v>
      </c>
      <c r="G73" s="106" t="s">
        <v>157</v>
      </c>
      <c r="H73" s="106" t="s">
        <v>157</v>
      </c>
      <c r="I73" s="106" t="s">
        <v>157</v>
      </c>
      <c r="J73" s="106" t="s">
        <v>157</v>
      </c>
      <c r="K73" s="106" t="s">
        <v>157</v>
      </c>
      <c r="L73" s="106" t="s">
        <v>157</v>
      </c>
      <c r="M73" s="106" t="s">
        <v>157</v>
      </c>
      <c r="N73" s="106" t="s">
        <v>157</v>
      </c>
      <c r="O73" s="106" t="s">
        <v>157</v>
      </c>
      <c r="P73" s="106" t="s">
        <v>157</v>
      </c>
      <c r="Q73" s="106" t="s">
        <v>157</v>
      </c>
      <c r="R73" s="106" t="s">
        <v>157</v>
      </c>
      <c r="S73" s="106" t="s">
        <v>157</v>
      </c>
      <c r="T73" s="106" t="s">
        <v>157</v>
      </c>
      <c r="U73" s="106" t="s">
        <v>157</v>
      </c>
      <c r="V73" s="106" t="s">
        <v>157</v>
      </c>
      <c r="W73" s="106" t="s">
        <v>157</v>
      </c>
      <c r="X73" s="106" t="s">
        <v>157</v>
      </c>
      <c r="Y73" s="106" t="s">
        <v>157</v>
      </c>
      <c r="Z73" s="106" t="s">
        <v>157</v>
      </c>
      <c r="AA73" s="106" t="s">
        <v>157</v>
      </c>
      <c r="AB73" s="106" t="s">
        <v>157</v>
      </c>
      <c r="AC73" s="106" t="s">
        <v>157</v>
      </c>
      <c r="AD73" s="106" t="s">
        <v>157</v>
      </c>
      <c r="AE73" s="106" t="s">
        <v>157</v>
      </c>
      <c r="AF73" s="106" t="s">
        <v>157</v>
      </c>
      <c r="AG73" s="106" t="s">
        <v>157</v>
      </c>
      <c r="AH73" s="106" t="s">
        <v>157</v>
      </c>
      <c r="AI73" s="106" t="s">
        <v>157</v>
      </c>
      <c r="AJ73" s="106" t="s">
        <v>157</v>
      </c>
      <c r="AK73" s="106" t="s">
        <v>157</v>
      </c>
      <c r="AL73" s="106" t="s">
        <v>157</v>
      </c>
      <c r="AM73" s="106" t="s">
        <v>157</v>
      </c>
      <c r="AN73" s="106" t="s">
        <v>157</v>
      </c>
      <c r="AO73" s="106" t="s">
        <v>157</v>
      </c>
      <c r="AP73" s="106" t="s">
        <v>157</v>
      </c>
      <c r="AQ73" s="106" t="s">
        <v>157</v>
      </c>
      <c r="AR73" s="106" t="s">
        <v>157</v>
      </c>
      <c r="AS73" s="106" t="s">
        <v>157</v>
      </c>
      <c r="AT73" s="106" t="s">
        <v>157</v>
      </c>
      <c r="AU73" s="106" t="s">
        <v>157</v>
      </c>
      <c r="AV73" s="106" t="s">
        <v>157</v>
      </c>
      <c r="AW73" s="106" t="s">
        <v>157</v>
      </c>
      <c r="AX73" s="106" t="s">
        <v>157</v>
      </c>
      <c r="AY73" s="106" t="s">
        <v>157</v>
      </c>
      <c r="AZ73" s="106" t="s">
        <v>157</v>
      </c>
      <c r="BA73" s="106" t="s">
        <v>157</v>
      </c>
      <c r="BB73" s="106" t="s">
        <v>157</v>
      </c>
      <c r="BC73" s="106" t="s">
        <v>157</v>
      </c>
      <c r="BD73" s="106" t="s">
        <v>157</v>
      </c>
      <c r="BE73" s="106" t="s">
        <v>157</v>
      </c>
      <c r="BF73" s="106" t="s">
        <v>157</v>
      </c>
      <c r="BG73" s="106" t="s">
        <v>157</v>
      </c>
      <c r="BH73" s="106" t="s">
        <v>157</v>
      </c>
      <c r="BI73" s="106" t="s">
        <v>157</v>
      </c>
      <c r="BJ73" s="106" t="s">
        <v>157</v>
      </c>
      <c r="BK73" s="106" t="s">
        <v>157</v>
      </c>
      <c r="BL73" s="106" t="s">
        <v>157</v>
      </c>
      <c r="BM73" s="106" t="s">
        <v>157</v>
      </c>
      <c r="BN73" s="106" t="s">
        <v>157</v>
      </c>
      <c r="BO73" s="106" t="s">
        <v>157</v>
      </c>
      <c r="BP73" s="106" t="s">
        <v>157</v>
      </c>
      <c r="BQ73" s="106" t="s">
        <v>157</v>
      </c>
      <c r="BR73" s="106" t="s">
        <v>157</v>
      </c>
      <c r="BS73" s="106" t="s">
        <v>157</v>
      </c>
      <c r="BT73" s="106" t="s">
        <v>157</v>
      </c>
      <c r="BU73" s="106" t="s">
        <v>157</v>
      </c>
      <c r="BV73" s="106">
        <v>137.19999999999999</v>
      </c>
      <c r="BW73" s="99"/>
    </row>
    <row r="74" spans="2:75" x14ac:dyDescent="0.25">
      <c r="B74" s="106" t="s">
        <v>165</v>
      </c>
      <c r="C74" s="23" t="s">
        <v>181</v>
      </c>
      <c r="D74" s="23"/>
      <c r="E74" s="106">
        <v>100.1</v>
      </c>
      <c r="F74" s="106">
        <v>102.35</v>
      </c>
      <c r="G74" s="106">
        <v>97.875</v>
      </c>
      <c r="H74" s="106">
        <v>94.15</v>
      </c>
      <c r="I74" s="106">
        <v>80.123999999999995</v>
      </c>
      <c r="J74" s="106">
        <v>76.98</v>
      </c>
      <c r="K74" s="106">
        <v>106.425</v>
      </c>
      <c r="L74" s="106">
        <v>97.625</v>
      </c>
      <c r="M74" s="106">
        <v>97.9</v>
      </c>
      <c r="N74" s="106">
        <v>97.675000000000011</v>
      </c>
      <c r="O74" s="106">
        <v>105.05000000000001</v>
      </c>
      <c r="P74" s="106" t="s">
        <v>166</v>
      </c>
      <c r="Q74" s="106">
        <v>103.27500000000001</v>
      </c>
      <c r="R74" s="106" t="s">
        <v>166</v>
      </c>
      <c r="S74" s="106">
        <v>115.22500000000001</v>
      </c>
      <c r="T74" s="106" t="s">
        <v>166</v>
      </c>
      <c r="U74" s="106">
        <v>86.1</v>
      </c>
      <c r="V74" s="106">
        <v>92</v>
      </c>
      <c r="W74" s="106">
        <v>125.85</v>
      </c>
      <c r="X74" s="106" t="s">
        <v>166</v>
      </c>
      <c r="Y74" s="106">
        <v>95.800000000000011</v>
      </c>
      <c r="Z74" s="106">
        <v>112.575</v>
      </c>
      <c r="AA74" s="106" t="s">
        <v>166</v>
      </c>
      <c r="AB74" s="106">
        <v>122.325</v>
      </c>
      <c r="AC74" s="106">
        <v>95.800000000000011</v>
      </c>
      <c r="AD74" s="106">
        <v>133.10000000000002</v>
      </c>
      <c r="AE74" s="106" t="s">
        <v>166</v>
      </c>
      <c r="AF74" s="106">
        <v>104.47499999999999</v>
      </c>
      <c r="AG74" s="106" t="s">
        <v>166</v>
      </c>
      <c r="AH74" s="106">
        <v>107.325</v>
      </c>
      <c r="AI74" s="106" t="s">
        <v>166</v>
      </c>
      <c r="AJ74" s="106">
        <v>104.55</v>
      </c>
      <c r="AK74" s="106" t="s">
        <v>166</v>
      </c>
      <c r="AL74" s="106">
        <v>88.300000000000011</v>
      </c>
      <c r="AM74" s="106" t="s">
        <v>166</v>
      </c>
      <c r="AN74" s="106">
        <v>104.175</v>
      </c>
      <c r="AO74" s="106">
        <v>111.6</v>
      </c>
      <c r="AP74" s="106" t="s">
        <v>166</v>
      </c>
      <c r="AQ74" s="106" t="s">
        <v>166</v>
      </c>
      <c r="AR74" s="106" t="s">
        <v>166</v>
      </c>
      <c r="AS74" s="106" t="s">
        <v>166</v>
      </c>
      <c r="AT74" s="106">
        <v>107.375</v>
      </c>
      <c r="AU74" s="106">
        <v>111.5</v>
      </c>
      <c r="AV74" s="106" t="s">
        <v>166</v>
      </c>
      <c r="AW74" s="106" t="s">
        <v>166</v>
      </c>
      <c r="AX74" s="106" t="s">
        <v>166</v>
      </c>
      <c r="AY74" s="106">
        <v>97.9</v>
      </c>
      <c r="AZ74" s="106" t="s">
        <v>166</v>
      </c>
      <c r="BA74" s="106" t="s">
        <v>166</v>
      </c>
      <c r="BB74" s="106" t="s">
        <v>166</v>
      </c>
      <c r="BC74" s="106" t="s">
        <v>166</v>
      </c>
      <c r="BD74" s="106">
        <v>92.7</v>
      </c>
      <c r="BE74" s="106" t="s">
        <v>166</v>
      </c>
      <c r="BF74" s="106" t="s">
        <v>166</v>
      </c>
      <c r="BG74" s="106">
        <v>106.575</v>
      </c>
      <c r="BH74" s="106">
        <v>107.52500000000001</v>
      </c>
      <c r="BI74" s="106">
        <v>108.875</v>
      </c>
      <c r="BJ74" s="106" t="s">
        <v>166</v>
      </c>
      <c r="BK74" s="106" t="s">
        <v>166</v>
      </c>
      <c r="BL74" s="106">
        <v>103.375</v>
      </c>
      <c r="BM74" s="106" t="s">
        <v>166</v>
      </c>
      <c r="BN74" s="106">
        <v>91.850000000000009</v>
      </c>
      <c r="BO74" s="106" t="s">
        <v>166</v>
      </c>
      <c r="BP74" s="106" t="s">
        <v>166</v>
      </c>
      <c r="BQ74" s="106" t="s">
        <v>166</v>
      </c>
      <c r="BR74" s="106" t="s">
        <v>166</v>
      </c>
      <c r="BS74" s="106" t="s">
        <v>166</v>
      </c>
      <c r="BT74" s="106" t="s">
        <v>166</v>
      </c>
      <c r="BU74" s="106" t="s">
        <v>166</v>
      </c>
      <c r="BV74" s="106" t="s">
        <v>166</v>
      </c>
      <c r="BW74" s="99"/>
    </row>
    <row r="75" spans="2:75" ht="17.25" x14ac:dyDescent="0.25">
      <c r="B75" s="106" t="s">
        <v>168</v>
      </c>
      <c r="C75" s="23" t="s">
        <v>181</v>
      </c>
      <c r="D75" s="23"/>
      <c r="E75" s="106">
        <v>0.98899999999999999</v>
      </c>
      <c r="F75" s="106">
        <v>0.98799999999999999</v>
      </c>
      <c r="G75" s="106">
        <v>0.98499999999999999</v>
      </c>
      <c r="H75" s="106">
        <v>0.99399999999999999</v>
      </c>
      <c r="I75" s="106">
        <v>0.98899999999999999</v>
      </c>
      <c r="J75" s="106">
        <v>0.98799999999999999</v>
      </c>
      <c r="K75" s="106">
        <v>0.98799999999999999</v>
      </c>
      <c r="L75" s="106">
        <v>0.98199999999999998</v>
      </c>
      <c r="M75" s="106">
        <v>0.98599999999999999</v>
      </c>
      <c r="N75" s="106">
        <v>0.98599999999999999</v>
      </c>
      <c r="O75" s="106">
        <v>0.98899999999999999</v>
      </c>
      <c r="P75" s="106" t="s">
        <v>166</v>
      </c>
      <c r="Q75" s="106">
        <v>0.99</v>
      </c>
      <c r="R75" s="106" t="s">
        <v>166</v>
      </c>
      <c r="S75" s="106">
        <v>0.98499999999999999</v>
      </c>
      <c r="T75" s="106" t="s">
        <v>166</v>
      </c>
      <c r="U75" s="106">
        <v>0.98599999999999999</v>
      </c>
      <c r="V75" s="106">
        <v>0.97099999999999997</v>
      </c>
      <c r="W75" s="106">
        <v>0.98599999999999999</v>
      </c>
      <c r="X75" s="106" t="s">
        <v>166</v>
      </c>
      <c r="Y75" s="106">
        <v>0.98699999999999999</v>
      </c>
      <c r="Z75" s="106">
        <v>0.995</v>
      </c>
      <c r="AA75" s="106" t="s">
        <v>166</v>
      </c>
      <c r="AB75" s="106">
        <v>0.997</v>
      </c>
      <c r="AC75" s="106">
        <v>0.999</v>
      </c>
      <c r="AD75" s="106">
        <v>0.999</v>
      </c>
      <c r="AE75" s="106" t="s">
        <v>166</v>
      </c>
      <c r="AF75" s="106">
        <v>0.99099999999999999</v>
      </c>
      <c r="AG75" s="106" t="s">
        <v>166</v>
      </c>
      <c r="AH75" s="106">
        <v>0.98899999999999999</v>
      </c>
      <c r="AI75" s="106" t="s">
        <v>166</v>
      </c>
      <c r="AJ75" s="106">
        <v>0.98899999999999999</v>
      </c>
      <c r="AK75" s="106" t="s">
        <v>166</v>
      </c>
      <c r="AL75" s="106">
        <v>0.998</v>
      </c>
      <c r="AM75" s="106">
        <v>0.97199999999999998</v>
      </c>
      <c r="AN75" s="106">
        <v>0.98499999999999999</v>
      </c>
      <c r="AO75" s="106">
        <v>0.98699999999999999</v>
      </c>
      <c r="AP75" s="106" t="s">
        <v>166</v>
      </c>
      <c r="AQ75" s="106" t="s">
        <v>166</v>
      </c>
      <c r="AR75" s="106" t="s">
        <v>166</v>
      </c>
      <c r="AS75" s="106" t="s">
        <v>166</v>
      </c>
      <c r="AT75" s="106">
        <v>0.999</v>
      </c>
      <c r="AU75" s="106">
        <v>0.98799999999999999</v>
      </c>
      <c r="AV75" s="106" t="s">
        <v>166</v>
      </c>
      <c r="AW75" s="106" t="s">
        <v>166</v>
      </c>
      <c r="AX75" s="106" t="s">
        <v>166</v>
      </c>
      <c r="AY75" s="106">
        <v>0.97799999999999998</v>
      </c>
      <c r="AZ75" s="106" t="s">
        <v>166</v>
      </c>
      <c r="BA75" s="106" t="s">
        <v>166</v>
      </c>
      <c r="BB75" s="106" t="s">
        <v>166</v>
      </c>
      <c r="BC75" s="106" t="s">
        <v>166</v>
      </c>
      <c r="BD75" s="106">
        <v>0.98</v>
      </c>
      <c r="BE75" s="106" t="s">
        <v>166</v>
      </c>
      <c r="BF75" s="106" t="s">
        <v>166</v>
      </c>
      <c r="BG75" s="106">
        <v>0.99</v>
      </c>
      <c r="BH75" s="106">
        <v>0.99099999999999999</v>
      </c>
      <c r="BI75" s="106">
        <v>0.99199999999999999</v>
      </c>
      <c r="BJ75" s="106" t="s">
        <v>166</v>
      </c>
      <c r="BK75" s="106" t="s">
        <v>166</v>
      </c>
      <c r="BL75" s="106">
        <v>0.98399999999999999</v>
      </c>
      <c r="BM75" s="106" t="s">
        <v>166</v>
      </c>
      <c r="BN75" s="106">
        <v>0.99299999999999999</v>
      </c>
      <c r="BO75" s="106" t="s">
        <v>166</v>
      </c>
      <c r="BP75" s="106" t="s">
        <v>166</v>
      </c>
      <c r="BQ75" s="106" t="s">
        <v>166</v>
      </c>
      <c r="BR75" s="106" t="s">
        <v>166</v>
      </c>
      <c r="BS75" s="106" t="s">
        <v>166</v>
      </c>
      <c r="BT75" s="106" t="s">
        <v>166</v>
      </c>
      <c r="BU75" s="106" t="s">
        <v>166</v>
      </c>
      <c r="BV75" s="106" t="s">
        <v>166</v>
      </c>
      <c r="BW75" s="99"/>
    </row>
    <row r="76" spans="2:75" x14ac:dyDescent="0.25">
      <c r="B76" s="106" t="s">
        <v>170</v>
      </c>
      <c r="C76" s="23" t="s">
        <v>181</v>
      </c>
      <c r="D76" s="23"/>
      <c r="E76" s="106" t="s">
        <v>169</v>
      </c>
      <c r="F76" s="106" t="s">
        <v>169</v>
      </c>
      <c r="G76" s="106" t="s">
        <v>169</v>
      </c>
      <c r="H76" s="106" t="s">
        <v>169</v>
      </c>
      <c r="I76" s="106" t="s">
        <v>169</v>
      </c>
      <c r="J76" s="106" t="s">
        <v>169</v>
      </c>
      <c r="K76" s="106" t="s">
        <v>169</v>
      </c>
      <c r="L76" s="106" t="s">
        <v>169</v>
      </c>
      <c r="M76" s="106" t="s">
        <v>169</v>
      </c>
      <c r="N76" s="106" t="s">
        <v>169</v>
      </c>
      <c r="O76" s="106" t="s">
        <v>169</v>
      </c>
      <c r="P76" s="106" t="s">
        <v>166</v>
      </c>
      <c r="Q76" s="106" t="s">
        <v>169</v>
      </c>
      <c r="R76" s="106" t="s">
        <v>166</v>
      </c>
      <c r="S76" s="106" t="s">
        <v>169</v>
      </c>
      <c r="T76" s="106" t="s">
        <v>166</v>
      </c>
      <c r="U76" s="106" t="s">
        <v>169</v>
      </c>
      <c r="V76" s="106" t="s">
        <v>169</v>
      </c>
      <c r="W76" s="106" t="s">
        <v>169</v>
      </c>
      <c r="X76" s="106" t="s">
        <v>166</v>
      </c>
      <c r="Y76" s="106" t="s">
        <v>169</v>
      </c>
      <c r="Z76" s="106" t="s">
        <v>169</v>
      </c>
      <c r="AA76" s="106" t="s">
        <v>169</v>
      </c>
      <c r="AB76" s="106" t="s">
        <v>169</v>
      </c>
      <c r="AC76" s="106" t="s">
        <v>169</v>
      </c>
      <c r="AD76" s="106" t="s">
        <v>169</v>
      </c>
      <c r="AE76" s="106" t="s">
        <v>166</v>
      </c>
      <c r="AF76" s="106" t="s">
        <v>169</v>
      </c>
      <c r="AG76" s="106" t="s">
        <v>166</v>
      </c>
      <c r="AH76" s="106" t="s">
        <v>169</v>
      </c>
      <c r="AI76" s="106" t="s">
        <v>166</v>
      </c>
      <c r="AJ76" s="106" t="s">
        <v>169</v>
      </c>
      <c r="AK76" s="106" t="s">
        <v>166</v>
      </c>
      <c r="AL76" s="106" t="s">
        <v>169</v>
      </c>
      <c r="AM76" s="106" t="s">
        <v>169</v>
      </c>
      <c r="AN76" s="106" t="s">
        <v>169</v>
      </c>
      <c r="AO76" s="106" t="s">
        <v>169</v>
      </c>
      <c r="AP76" s="106" t="s">
        <v>166</v>
      </c>
      <c r="AQ76" s="106" t="s">
        <v>166</v>
      </c>
      <c r="AR76" s="106" t="s">
        <v>166</v>
      </c>
      <c r="AS76" s="106" t="s">
        <v>166</v>
      </c>
      <c r="AT76" s="106" t="s">
        <v>169</v>
      </c>
      <c r="AU76" s="106" t="s">
        <v>169</v>
      </c>
      <c r="AV76" s="106" t="s">
        <v>166</v>
      </c>
      <c r="AW76" s="106" t="s">
        <v>166</v>
      </c>
      <c r="AX76" s="106" t="s">
        <v>166</v>
      </c>
      <c r="AY76" s="106" t="s">
        <v>169</v>
      </c>
      <c r="AZ76" s="106" t="s">
        <v>166</v>
      </c>
      <c r="BA76" s="106" t="s">
        <v>166</v>
      </c>
      <c r="BB76" s="106" t="s">
        <v>166</v>
      </c>
      <c r="BC76" s="106" t="s">
        <v>166</v>
      </c>
      <c r="BD76" s="106" t="s">
        <v>169</v>
      </c>
      <c r="BE76" s="105" t="s">
        <v>166</v>
      </c>
      <c r="BF76" s="106" t="s">
        <v>169</v>
      </c>
      <c r="BG76" s="106" t="s">
        <v>169</v>
      </c>
      <c r="BH76" s="106" t="s">
        <v>169</v>
      </c>
      <c r="BI76" s="106" t="s">
        <v>169</v>
      </c>
      <c r="BJ76" s="106" t="s">
        <v>166</v>
      </c>
      <c r="BK76" s="106" t="s">
        <v>166</v>
      </c>
      <c r="BL76" s="106" t="s">
        <v>169</v>
      </c>
      <c r="BM76" s="106" t="s">
        <v>169</v>
      </c>
      <c r="BN76" s="106" t="s">
        <v>169</v>
      </c>
      <c r="BO76" s="106" t="s">
        <v>166</v>
      </c>
      <c r="BP76" s="106" t="s">
        <v>169</v>
      </c>
      <c r="BQ76" s="106" t="s">
        <v>169</v>
      </c>
      <c r="BR76" s="106" t="s">
        <v>169</v>
      </c>
      <c r="BS76" s="106" t="s">
        <v>169</v>
      </c>
      <c r="BT76" s="106" t="s">
        <v>169</v>
      </c>
      <c r="BU76" s="106" t="s">
        <v>169</v>
      </c>
      <c r="BV76" s="106" t="s">
        <v>169</v>
      </c>
      <c r="BW76" s="99"/>
    </row>
    <row r="77" spans="2:75" x14ac:dyDescent="0.25">
      <c r="B77" s="150" t="s">
        <v>204</v>
      </c>
      <c r="C77" s="23" t="s">
        <v>181</v>
      </c>
      <c r="D77" s="23"/>
      <c r="E77" s="149">
        <v>20.622530519227347</v>
      </c>
      <c r="F77" s="149">
        <v>13.148138931591644</v>
      </c>
      <c r="G77" s="149">
        <v>9.3294932464359448</v>
      </c>
      <c r="H77" s="149">
        <v>8.9549502218017345</v>
      </c>
      <c r="I77" s="149">
        <v>3.6741748726451391</v>
      </c>
      <c r="J77" s="149">
        <v>17.651798099779075</v>
      </c>
      <c r="K77" s="149">
        <v>6.4164937873221577</v>
      </c>
      <c r="L77" s="149" t="s">
        <v>175</v>
      </c>
      <c r="M77" s="149">
        <v>19.917854475283388</v>
      </c>
      <c r="N77" s="149" t="s">
        <v>175</v>
      </c>
      <c r="O77" s="149" t="s">
        <v>175</v>
      </c>
      <c r="P77" s="149" t="s">
        <v>175</v>
      </c>
      <c r="Q77" s="149" t="s">
        <v>175</v>
      </c>
      <c r="R77" s="149" t="s">
        <v>175</v>
      </c>
      <c r="S77" s="149" t="s">
        <v>175</v>
      </c>
      <c r="T77" s="149" t="s">
        <v>175</v>
      </c>
      <c r="U77" s="149">
        <v>4.3720551066709747</v>
      </c>
      <c r="V77" s="149" t="s">
        <v>175</v>
      </c>
      <c r="W77" s="149" t="s">
        <v>175</v>
      </c>
      <c r="X77" s="149" t="s">
        <v>175</v>
      </c>
      <c r="Y77" s="149" t="s">
        <v>175</v>
      </c>
      <c r="Z77" s="149" t="s">
        <v>175</v>
      </c>
      <c r="AA77" s="149" t="s">
        <v>175</v>
      </c>
      <c r="AB77" s="149" t="s">
        <v>175</v>
      </c>
      <c r="AC77" s="149">
        <v>20.474760557542968</v>
      </c>
      <c r="AD77" s="149" t="s">
        <v>175</v>
      </c>
      <c r="AE77" s="149" t="s">
        <v>175</v>
      </c>
      <c r="AF77" s="149">
        <v>9.1381349104657676</v>
      </c>
      <c r="AG77" s="149" t="s">
        <v>175</v>
      </c>
      <c r="AH77" s="149" t="s">
        <v>175</v>
      </c>
      <c r="AI77" s="149" t="s">
        <v>175</v>
      </c>
      <c r="AJ77" s="149" t="s">
        <v>175</v>
      </c>
      <c r="AK77" s="149" t="s">
        <v>175</v>
      </c>
      <c r="AL77" s="149" t="s">
        <v>175</v>
      </c>
      <c r="AM77" s="149" t="s">
        <v>175</v>
      </c>
      <c r="AN77" s="149" t="s">
        <v>175</v>
      </c>
      <c r="AO77" s="149" t="s">
        <v>175</v>
      </c>
      <c r="AP77" s="149" t="s">
        <v>175</v>
      </c>
      <c r="AQ77" s="149" t="s">
        <v>175</v>
      </c>
      <c r="AR77" s="149" t="s">
        <v>175</v>
      </c>
      <c r="AS77" s="149" t="s">
        <v>175</v>
      </c>
      <c r="AT77" s="149" t="s">
        <v>175</v>
      </c>
      <c r="AU77" s="149" t="s">
        <v>175</v>
      </c>
      <c r="AV77" s="149" t="s">
        <v>175</v>
      </c>
      <c r="AW77" s="149" t="s">
        <v>175</v>
      </c>
      <c r="AX77" s="149" t="s">
        <v>175</v>
      </c>
      <c r="AY77" s="149" t="s">
        <v>175</v>
      </c>
      <c r="AZ77" s="149" t="s">
        <v>175</v>
      </c>
      <c r="BA77" s="149" t="s">
        <v>175</v>
      </c>
      <c r="BB77" s="149" t="s">
        <v>175</v>
      </c>
      <c r="BC77" s="149" t="s">
        <v>175</v>
      </c>
      <c r="BD77" s="149" t="s">
        <v>175</v>
      </c>
      <c r="BE77" s="149" t="s">
        <v>175</v>
      </c>
      <c r="BF77" s="149" t="s">
        <v>175</v>
      </c>
      <c r="BG77" s="149" t="s">
        <v>175</v>
      </c>
      <c r="BH77" s="149" t="s">
        <v>175</v>
      </c>
      <c r="BI77" s="149" t="s">
        <v>175</v>
      </c>
      <c r="BJ77" s="149" t="s">
        <v>175</v>
      </c>
      <c r="BK77" s="149" t="s">
        <v>175</v>
      </c>
      <c r="BL77" s="149">
        <v>44.205812168483185</v>
      </c>
      <c r="BM77" s="149">
        <v>45.133666176756968</v>
      </c>
      <c r="BN77" s="149">
        <v>18.869344560825763</v>
      </c>
      <c r="BO77" s="149">
        <v>33.587572106361016</v>
      </c>
      <c r="BP77" s="149" t="s">
        <v>175</v>
      </c>
      <c r="BQ77" s="149" t="s">
        <v>175</v>
      </c>
      <c r="BR77" s="149" t="s">
        <v>175</v>
      </c>
      <c r="BS77" s="149" t="s">
        <v>175</v>
      </c>
      <c r="BT77" s="149" t="s">
        <v>175</v>
      </c>
      <c r="BU77" s="149" t="s">
        <v>175</v>
      </c>
      <c r="BV77" s="149">
        <v>44.488485163179895</v>
      </c>
      <c r="BW77" s="99"/>
    </row>
    <row r="78" spans="2:75" s="149" customFormat="1" x14ac:dyDescent="0.25">
      <c r="B78" s="150"/>
      <c r="C78" s="151"/>
      <c r="D78" s="160"/>
    </row>
    <row r="79" spans="2:75" x14ac:dyDescent="0.25">
      <c r="B79" s="106" t="s">
        <v>163</v>
      </c>
      <c r="C79" s="23">
        <v>41465</v>
      </c>
      <c r="D79" s="23"/>
      <c r="E79" s="106" t="s">
        <v>157</v>
      </c>
      <c r="F79" s="106" t="s">
        <v>157</v>
      </c>
      <c r="G79" s="106" t="s">
        <v>157</v>
      </c>
      <c r="H79" s="106" t="s">
        <v>157</v>
      </c>
      <c r="I79" s="106" t="s">
        <v>157</v>
      </c>
      <c r="J79" s="106" t="s">
        <v>157</v>
      </c>
      <c r="K79" s="106" t="s">
        <v>157</v>
      </c>
      <c r="L79" s="106" t="s">
        <v>157</v>
      </c>
      <c r="M79" s="106" t="s">
        <v>157</v>
      </c>
      <c r="N79" s="106" t="s">
        <v>157</v>
      </c>
      <c r="O79" s="106" t="s">
        <v>157</v>
      </c>
      <c r="P79" s="106" t="s">
        <v>157</v>
      </c>
      <c r="Q79" s="106" t="s">
        <v>157</v>
      </c>
      <c r="R79" s="106" t="s">
        <v>157</v>
      </c>
      <c r="S79" s="106" t="s">
        <v>157</v>
      </c>
      <c r="T79" s="106" t="s">
        <v>157</v>
      </c>
      <c r="U79" s="106" t="s">
        <v>157</v>
      </c>
      <c r="V79" s="106" t="s">
        <v>157</v>
      </c>
      <c r="W79" s="106" t="s">
        <v>157</v>
      </c>
      <c r="X79" s="106" t="s">
        <v>157</v>
      </c>
      <c r="Y79" s="106" t="s">
        <v>157</v>
      </c>
      <c r="Z79" s="106" t="s">
        <v>157</v>
      </c>
      <c r="AA79" s="106" t="s">
        <v>157</v>
      </c>
      <c r="AB79" s="106" t="s">
        <v>157</v>
      </c>
      <c r="AC79" s="106" t="s">
        <v>157</v>
      </c>
      <c r="AD79" s="106" t="s">
        <v>157</v>
      </c>
      <c r="AE79" s="106" t="s">
        <v>157</v>
      </c>
      <c r="AF79" s="106" t="s">
        <v>157</v>
      </c>
      <c r="AG79" s="106" t="s">
        <v>157</v>
      </c>
      <c r="AH79" s="106" t="s">
        <v>157</v>
      </c>
      <c r="AI79" s="106" t="s">
        <v>157</v>
      </c>
      <c r="AJ79" s="106" t="s">
        <v>157</v>
      </c>
      <c r="AK79" s="106" t="s">
        <v>157</v>
      </c>
      <c r="AL79" s="106" t="s">
        <v>157</v>
      </c>
      <c r="AM79" s="106" t="s">
        <v>157</v>
      </c>
      <c r="AN79" s="106" t="s">
        <v>157</v>
      </c>
      <c r="AO79" s="106" t="s">
        <v>157</v>
      </c>
      <c r="AP79" s="106" t="s">
        <v>157</v>
      </c>
      <c r="AQ79" s="106" t="s">
        <v>157</v>
      </c>
      <c r="AR79" s="106" t="s">
        <v>157</v>
      </c>
      <c r="AS79" s="106" t="s">
        <v>157</v>
      </c>
      <c r="AT79" s="106" t="s">
        <v>157</v>
      </c>
      <c r="AU79" s="106" t="s">
        <v>157</v>
      </c>
      <c r="AV79" s="106" t="s">
        <v>157</v>
      </c>
      <c r="AW79" s="106" t="s">
        <v>157</v>
      </c>
      <c r="AX79" s="106" t="s">
        <v>157</v>
      </c>
      <c r="AY79" s="106" t="s">
        <v>157</v>
      </c>
      <c r="AZ79" s="106" t="s">
        <v>157</v>
      </c>
      <c r="BA79" s="106" t="s">
        <v>157</v>
      </c>
      <c r="BB79" s="106" t="s">
        <v>157</v>
      </c>
      <c r="BC79" s="106" t="s">
        <v>157</v>
      </c>
      <c r="BD79" s="106" t="s">
        <v>157</v>
      </c>
      <c r="BE79" s="106" t="s">
        <v>157</v>
      </c>
      <c r="BF79" s="106" t="s">
        <v>157</v>
      </c>
      <c r="BG79" s="106" t="s">
        <v>157</v>
      </c>
      <c r="BH79" s="106" t="s">
        <v>157</v>
      </c>
      <c r="BI79" s="106" t="s">
        <v>157</v>
      </c>
      <c r="BJ79" s="106" t="s">
        <v>157</v>
      </c>
      <c r="BK79" s="106" t="s">
        <v>157</v>
      </c>
      <c r="BL79" s="106" t="s">
        <v>157</v>
      </c>
      <c r="BM79" s="106" t="s">
        <v>157</v>
      </c>
      <c r="BN79" s="106" t="s">
        <v>157</v>
      </c>
      <c r="BO79" s="106" t="s">
        <v>157</v>
      </c>
      <c r="BP79" s="106" t="s">
        <v>157</v>
      </c>
      <c r="BQ79" s="106" t="s">
        <v>157</v>
      </c>
      <c r="BR79" s="106" t="s">
        <v>157</v>
      </c>
      <c r="BS79" s="106" t="s">
        <v>157</v>
      </c>
      <c r="BT79" s="106" t="s">
        <v>157</v>
      </c>
      <c r="BU79" s="106" t="s">
        <v>157</v>
      </c>
      <c r="BV79" s="106">
        <v>21.746666666666666</v>
      </c>
      <c r="BW79" s="99"/>
    </row>
    <row r="80" spans="2:75" x14ac:dyDescent="0.25">
      <c r="B80" s="106" t="s">
        <v>164</v>
      </c>
      <c r="C80" s="23">
        <v>41465</v>
      </c>
      <c r="D80" s="23"/>
      <c r="E80" s="106" t="s">
        <v>157</v>
      </c>
      <c r="F80" s="106" t="s">
        <v>157</v>
      </c>
      <c r="G80" s="106" t="s">
        <v>157</v>
      </c>
      <c r="H80" s="106" t="s">
        <v>157</v>
      </c>
      <c r="I80" s="106" t="s">
        <v>157</v>
      </c>
      <c r="J80" s="106" t="s">
        <v>157</v>
      </c>
      <c r="K80" s="106" t="s">
        <v>157</v>
      </c>
      <c r="L80" s="106" t="s">
        <v>157</v>
      </c>
      <c r="M80" s="106" t="s">
        <v>157</v>
      </c>
      <c r="N80" s="106" t="s">
        <v>157</v>
      </c>
      <c r="O80" s="106" t="s">
        <v>157</v>
      </c>
      <c r="P80" s="106" t="s">
        <v>157</v>
      </c>
      <c r="Q80" s="106" t="s">
        <v>157</v>
      </c>
      <c r="R80" s="106" t="s">
        <v>157</v>
      </c>
      <c r="S80" s="106" t="s">
        <v>157</v>
      </c>
      <c r="T80" s="106" t="s">
        <v>157</v>
      </c>
      <c r="U80" s="106" t="s">
        <v>157</v>
      </c>
      <c r="V80" s="106" t="s">
        <v>157</v>
      </c>
      <c r="W80" s="106" t="s">
        <v>157</v>
      </c>
      <c r="X80" s="106" t="s">
        <v>157</v>
      </c>
      <c r="Y80" s="106" t="s">
        <v>157</v>
      </c>
      <c r="Z80" s="106" t="s">
        <v>157</v>
      </c>
      <c r="AA80" s="106" t="s">
        <v>157</v>
      </c>
      <c r="AB80" s="106" t="s">
        <v>157</v>
      </c>
      <c r="AC80" s="106" t="s">
        <v>157</v>
      </c>
      <c r="AD80" s="106" t="s">
        <v>157</v>
      </c>
      <c r="AE80" s="106" t="s">
        <v>157</v>
      </c>
      <c r="AF80" s="106" t="s">
        <v>157</v>
      </c>
      <c r="AG80" s="106" t="s">
        <v>157</v>
      </c>
      <c r="AH80" s="106" t="s">
        <v>157</v>
      </c>
      <c r="AI80" s="106" t="s">
        <v>157</v>
      </c>
      <c r="AJ80" s="106" t="s">
        <v>157</v>
      </c>
      <c r="AK80" s="106" t="s">
        <v>157</v>
      </c>
      <c r="AL80" s="106" t="s">
        <v>157</v>
      </c>
      <c r="AM80" s="106" t="s">
        <v>157</v>
      </c>
      <c r="AN80" s="106" t="s">
        <v>157</v>
      </c>
      <c r="AO80" s="106" t="s">
        <v>157</v>
      </c>
      <c r="AP80" s="106" t="s">
        <v>157</v>
      </c>
      <c r="AQ80" s="106" t="s">
        <v>157</v>
      </c>
      <c r="AR80" s="106" t="s">
        <v>157</v>
      </c>
      <c r="AS80" s="106" t="s">
        <v>157</v>
      </c>
      <c r="AT80" s="106" t="s">
        <v>157</v>
      </c>
      <c r="AU80" s="106" t="s">
        <v>157</v>
      </c>
      <c r="AV80" s="106" t="s">
        <v>157</v>
      </c>
      <c r="AW80" s="106" t="s">
        <v>157</v>
      </c>
      <c r="AX80" s="106" t="s">
        <v>157</v>
      </c>
      <c r="AY80" s="106" t="s">
        <v>157</v>
      </c>
      <c r="AZ80" s="106" t="s">
        <v>157</v>
      </c>
      <c r="BA80" s="106" t="s">
        <v>157</v>
      </c>
      <c r="BB80" s="106" t="s">
        <v>157</v>
      </c>
      <c r="BC80" s="106" t="s">
        <v>157</v>
      </c>
      <c r="BD80" s="106" t="s">
        <v>157</v>
      </c>
      <c r="BE80" s="106" t="s">
        <v>157</v>
      </c>
      <c r="BF80" s="106" t="s">
        <v>157</v>
      </c>
      <c r="BG80" s="106" t="s">
        <v>157</v>
      </c>
      <c r="BH80" s="106" t="s">
        <v>157</v>
      </c>
      <c r="BI80" s="106" t="s">
        <v>157</v>
      </c>
      <c r="BJ80" s="106" t="s">
        <v>157</v>
      </c>
      <c r="BK80" s="106" t="s">
        <v>157</v>
      </c>
      <c r="BL80" s="106" t="s">
        <v>157</v>
      </c>
      <c r="BM80" s="106" t="s">
        <v>157</v>
      </c>
      <c r="BN80" s="106" t="s">
        <v>157</v>
      </c>
      <c r="BO80" s="106" t="s">
        <v>157</v>
      </c>
      <c r="BP80" s="106" t="s">
        <v>157</v>
      </c>
      <c r="BQ80" s="106" t="s">
        <v>157</v>
      </c>
      <c r="BR80" s="106" t="s">
        <v>157</v>
      </c>
      <c r="BS80" s="106" t="s">
        <v>157</v>
      </c>
      <c r="BT80" s="106" t="s">
        <v>157</v>
      </c>
      <c r="BU80" s="106" t="s">
        <v>157</v>
      </c>
      <c r="BV80" s="106">
        <v>0.3</v>
      </c>
      <c r="BW80" s="99"/>
    </row>
    <row r="81" spans="2:75" x14ac:dyDescent="0.25">
      <c r="B81" s="106" t="s">
        <v>165</v>
      </c>
      <c r="C81" s="23">
        <v>41465</v>
      </c>
      <c r="D81" s="23"/>
      <c r="E81" s="106">
        <v>96.875</v>
      </c>
      <c r="F81" s="106">
        <v>91.45</v>
      </c>
      <c r="G81" s="106">
        <v>84.824999999999989</v>
      </c>
      <c r="H81" s="106">
        <v>80.174999999999997</v>
      </c>
      <c r="I81" s="106">
        <v>80.123999999999995</v>
      </c>
      <c r="J81" s="106">
        <v>76.98</v>
      </c>
      <c r="K81" s="106">
        <v>91.049999999999983</v>
      </c>
      <c r="L81" s="106">
        <v>94.674999999999997</v>
      </c>
      <c r="M81" s="106">
        <v>92.9</v>
      </c>
      <c r="N81" s="106">
        <v>97.424999999999997</v>
      </c>
      <c r="O81" s="106">
        <v>104.97500000000001</v>
      </c>
      <c r="P81" s="106" t="s">
        <v>166</v>
      </c>
      <c r="Q81" s="106">
        <v>120.27500000000001</v>
      </c>
      <c r="R81" s="106" t="s">
        <v>166</v>
      </c>
      <c r="S81" s="106">
        <v>109.77500000000001</v>
      </c>
      <c r="T81" s="106" t="s">
        <v>166</v>
      </c>
      <c r="U81" s="106">
        <v>99.875</v>
      </c>
      <c r="V81" s="106">
        <v>89.575000000000003</v>
      </c>
      <c r="W81" s="106">
        <v>93.3</v>
      </c>
      <c r="X81" s="106" t="s">
        <v>166</v>
      </c>
      <c r="Y81" s="106">
        <v>84.05</v>
      </c>
      <c r="Z81" s="106">
        <v>108.375</v>
      </c>
      <c r="AA81" s="106" t="s">
        <v>166</v>
      </c>
      <c r="AB81" s="106">
        <v>71.2</v>
      </c>
      <c r="AC81" s="106">
        <v>103.64999999999999</v>
      </c>
      <c r="AD81" s="106">
        <v>83.85</v>
      </c>
      <c r="AE81" s="106" t="s">
        <v>166</v>
      </c>
      <c r="AF81" s="106">
        <v>111.3</v>
      </c>
      <c r="AG81" s="106" t="s">
        <v>166</v>
      </c>
      <c r="AH81" s="106">
        <v>94.674999999999997</v>
      </c>
      <c r="AI81" s="106" t="s">
        <v>166</v>
      </c>
      <c r="AJ81" s="106">
        <v>79.974999999999994</v>
      </c>
      <c r="AK81" s="106" t="s">
        <v>166</v>
      </c>
      <c r="AL81" s="106">
        <v>80.424999999999997</v>
      </c>
      <c r="AM81" s="106">
        <v>74</v>
      </c>
      <c r="AN81" s="106">
        <v>93.449999999999989</v>
      </c>
      <c r="AO81" s="106" t="s">
        <v>167</v>
      </c>
      <c r="AP81" s="106" t="s">
        <v>166</v>
      </c>
      <c r="AQ81" s="106" t="s">
        <v>166</v>
      </c>
      <c r="AR81" s="106" t="s">
        <v>166</v>
      </c>
      <c r="AS81" s="106" t="s">
        <v>166</v>
      </c>
      <c r="AT81" s="106">
        <v>73.150000000000006</v>
      </c>
      <c r="AU81" s="106">
        <v>83.675000000000011</v>
      </c>
      <c r="AV81" s="106" t="s">
        <v>166</v>
      </c>
      <c r="AW81" s="106" t="s">
        <v>166</v>
      </c>
      <c r="AX81" s="106" t="s">
        <v>166</v>
      </c>
      <c r="AY81" s="106">
        <v>93.15</v>
      </c>
      <c r="AZ81" s="106" t="s">
        <v>166</v>
      </c>
      <c r="BA81" s="106" t="s">
        <v>166</v>
      </c>
      <c r="BB81" s="106" t="s">
        <v>166</v>
      </c>
      <c r="BC81" s="106" t="s">
        <v>166</v>
      </c>
      <c r="BD81" s="106">
        <v>86.275000000000006</v>
      </c>
      <c r="BE81" s="106" t="s">
        <v>166</v>
      </c>
      <c r="BF81" s="106" t="s">
        <v>166</v>
      </c>
      <c r="BG81" s="106">
        <v>70.55</v>
      </c>
      <c r="BH81" s="106">
        <v>103.125</v>
      </c>
      <c r="BI81" s="106">
        <v>105.07499999999999</v>
      </c>
      <c r="BJ81" s="106" t="s">
        <v>166</v>
      </c>
      <c r="BK81" s="106" t="s">
        <v>166</v>
      </c>
      <c r="BL81" s="106">
        <v>86.724999999999994</v>
      </c>
      <c r="BM81" s="106" t="s">
        <v>166</v>
      </c>
      <c r="BN81" s="106">
        <v>77.05</v>
      </c>
      <c r="BO81" s="106" t="s">
        <v>166</v>
      </c>
      <c r="BP81" s="106" t="s">
        <v>166</v>
      </c>
      <c r="BQ81" s="106" t="s">
        <v>166</v>
      </c>
      <c r="BR81" s="106" t="s">
        <v>166</v>
      </c>
      <c r="BS81" s="106" t="s">
        <v>166</v>
      </c>
      <c r="BT81" s="106" t="s">
        <v>166</v>
      </c>
      <c r="BU81" s="106" t="s">
        <v>166</v>
      </c>
      <c r="BV81" s="106" t="s">
        <v>166</v>
      </c>
      <c r="BW81" s="99"/>
    </row>
    <row r="82" spans="2:75" ht="17.25" x14ac:dyDescent="0.25">
      <c r="B82" s="106" t="s">
        <v>168</v>
      </c>
      <c r="C82" s="23">
        <v>41465</v>
      </c>
      <c r="D82" s="23"/>
      <c r="E82" s="106">
        <v>0.999</v>
      </c>
      <c r="F82" s="106">
        <v>0.999</v>
      </c>
      <c r="G82" s="106">
        <v>0.997</v>
      </c>
      <c r="H82" s="106">
        <v>0.998</v>
      </c>
      <c r="I82" s="106">
        <v>0.99299999999999999</v>
      </c>
      <c r="J82" s="106">
        <v>0.998</v>
      </c>
      <c r="K82" s="106">
        <v>0.997</v>
      </c>
      <c r="L82" s="106">
        <v>0.998</v>
      </c>
      <c r="M82" s="106">
        <v>0.997</v>
      </c>
      <c r="N82" s="106">
        <v>0.999</v>
      </c>
      <c r="O82" s="106">
        <v>0.99199999999999999</v>
      </c>
      <c r="P82" s="106" t="s">
        <v>166</v>
      </c>
      <c r="Q82" s="106">
        <v>0.996</v>
      </c>
      <c r="R82" s="106" t="s">
        <v>166</v>
      </c>
      <c r="S82" s="106">
        <v>0.995</v>
      </c>
      <c r="T82" s="106" t="s">
        <v>166</v>
      </c>
      <c r="U82" s="106">
        <v>0.99199999999999999</v>
      </c>
      <c r="V82" s="106">
        <v>0.998</v>
      </c>
      <c r="W82" s="106">
        <v>0.995</v>
      </c>
      <c r="X82" s="106" t="s">
        <v>166</v>
      </c>
      <c r="Y82" s="106">
        <v>0.97099999999999997</v>
      </c>
      <c r="Z82" s="106">
        <v>0.998</v>
      </c>
      <c r="AA82" s="106" t="s">
        <v>166</v>
      </c>
      <c r="AB82" s="106">
        <v>0.98</v>
      </c>
      <c r="AC82" s="106">
        <v>0.995</v>
      </c>
      <c r="AD82" s="106">
        <v>0.99</v>
      </c>
      <c r="AE82" s="106" t="s">
        <v>166</v>
      </c>
      <c r="AF82" s="106">
        <v>0.999</v>
      </c>
      <c r="AG82" s="106" t="s">
        <v>166</v>
      </c>
      <c r="AH82" s="106">
        <v>0.998</v>
      </c>
      <c r="AI82" s="106" t="s">
        <v>166</v>
      </c>
      <c r="AJ82" s="106">
        <v>0.999</v>
      </c>
      <c r="AK82" s="106" t="s">
        <v>166</v>
      </c>
      <c r="AL82" s="106">
        <v>0.999</v>
      </c>
      <c r="AM82" s="106">
        <v>0.98499999999999999</v>
      </c>
      <c r="AN82" s="106">
        <v>0.98599999999999999</v>
      </c>
      <c r="AO82" s="106">
        <v>0.98799999999999999</v>
      </c>
      <c r="AP82" s="106" t="s">
        <v>166</v>
      </c>
      <c r="AQ82" s="106" t="s">
        <v>166</v>
      </c>
      <c r="AR82" s="106" t="s">
        <v>166</v>
      </c>
      <c r="AS82" s="106" t="s">
        <v>166</v>
      </c>
      <c r="AT82" s="106">
        <v>1</v>
      </c>
      <c r="AU82" s="106">
        <v>0.99299999999999999</v>
      </c>
      <c r="AV82" s="106" t="s">
        <v>166</v>
      </c>
      <c r="AW82" s="106" t="s">
        <v>166</v>
      </c>
      <c r="AX82" s="106" t="s">
        <v>166</v>
      </c>
      <c r="AY82" s="106">
        <v>0.995</v>
      </c>
      <c r="AZ82" s="106" t="s">
        <v>166</v>
      </c>
      <c r="BA82" s="106" t="s">
        <v>166</v>
      </c>
      <c r="BB82" s="106" t="s">
        <v>166</v>
      </c>
      <c r="BC82" s="106" t="s">
        <v>166</v>
      </c>
      <c r="BD82" s="106">
        <v>0.995</v>
      </c>
      <c r="BE82" s="106" t="s">
        <v>166</v>
      </c>
      <c r="BF82" s="106" t="s">
        <v>166</v>
      </c>
      <c r="BG82" s="106">
        <v>0.98899999999999999</v>
      </c>
      <c r="BH82" s="106">
        <v>0.97899999999999998</v>
      </c>
      <c r="BI82" s="106">
        <v>0.97299999999999998</v>
      </c>
      <c r="BJ82" s="106" t="s">
        <v>166</v>
      </c>
      <c r="BK82" s="106" t="s">
        <v>166</v>
      </c>
      <c r="BL82" s="106">
        <v>0.998</v>
      </c>
      <c r="BM82" s="106" t="s">
        <v>166</v>
      </c>
      <c r="BN82" s="106">
        <v>0.98899999999999999</v>
      </c>
      <c r="BO82" s="106" t="s">
        <v>166</v>
      </c>
      <c r="BP82" s="106" t="s">
        <v>166</v>
      </c>
      <c r="BQ82" s="106" t="s">
        <v>166</v>
      </c>
      <c r="BR82" s="106" t="s">
        <v>166</v>
      </c>
      <c r="BS82" s="106" t="s">
        <v>166</v>
      </c>
      <c r="BT82" s="106" t="s">
        <v>166</v>
      </c>
      <c r="BU82" s="106" t="s">
        <v>166</v>
      </c>
      <c r="BV82" s="106" t="s">
        <v>166</v>
      </c>
      <c r="BW82" s="99"/>
    </row>
    <row r="83" spans="2:75" x14ac:dyDescent="0.25">
      <c r="B83" s="106" t="s">
        <v>170</v>
      </c>
      <c r="C83" s="23">
        <v>41465</v>
      </c>
      <c r="D83" s="23"/>
      <c r="E83" s="106" t="s">
        <v>169</v>
      </c>
      <c r="F83" s="106" t="s">
        <v>169</v>
      </c>
      <c r="G83" s="106" t="s">
        <v>169</v>
      </c>
      <c r="H83" s="106" t="s">
        <v>169</v>
      </c>
      <c r="I83" s="106" t="s">
        <v>169</v>
      </c>
      <c r="J83" s="106" t="s">
        <v>169</v>
      </c>
      <c r="K83" s="106" t="s">
        <v>169</v>
      </c>
      <c r="L83" s="106" t="s">
        <v>169</v>
      </c>
      <c r="M83" s="106" t="s">
        <v>169</v>
      </c>
      <c r="N83" s="106" t="s">
        <v>169</v>
      </c>
      <c r="O83" s="106" t="s">
        <v>169</v>
      </c>
      <c r="P83" s="106" t="s">
        <v>166</v>
      </c>
      <c r="Q83" s="106" t="s">
        <v>169</v>
      </c>
      <c r="R83" s="106" t="s">
        <v>166</v>
      </c>
      <c r="S83" s="106" t="s">
        <v>169</v>
      </c>
      <c r="T83" s="106" t="s">
        <v>166</v>
      </c>
      <c r="U83" s="106" t="s">
        <v>169</v>
      </c>
      <c r="V83" s="106" t="s">
        <v>169</v>
      </c>
      <c r="W83" s="106" t="s">
        <v>169</v>
      </c>
      <c r="X83" s="106" t="s">
        <v>166</v>
      </c>
      <c r="Y83" s="106" t="s">
        <v>169</v>
      </c>
      <c r="Z83" s="106" t="s">
        <v>169</v>
      </c>
      <c r="AA83" s="106" t="s">
        <v>169</v>
      </c>
      <c r="AB83" s="106" t="s">
        <v>169</v>
      </c>
      <c r="AC83" s="106" t="s">
        <v>169</v>
      </c>
      <c r="AD83" s="106" t="s">
        <v>169</v>
      </c>
      <c r="AE83" s="106" t="s">
        <v>166</v>
      </c>
      <c r="AF83" s="106" t="s">
        <v>169</v>
      </c>
      <c r="AG83" s="106" t="s">
        <v>166</v>
      </c>
      <c r="AH83" s="106" t="s">
        <v>169</v>
      </c>
      <c r="AI83" s="106" t="s">
        <v>166</v>
      </c>
      <c r="AJ83" s="106" t="s">
        <v>169</v>
      </c>
      <c r="AK83" s="106" t="s">
        <v>166</v>
      </c>
      <c r="AL83" s="106" t="s">
        <v>169</v>
      </c>
      <c r="AM83" s="106" t="s">
        <v>169</v>
      </c>
      <c r="AN83" s="106" t="s">
        <v>169</v>
      </c>
      <c r="AO83" s="106" t="s">
        <v>169</v>
      </c>
      <c r="AP83" s="106" t="s">
        <v>166</v>
      </c>
      <c r="AQ83" s="106" t="s">
        <v>166</v>
      </c>
      <c r="AR83" s="106" t="s">
        <v>166</v>
      </c>
      <c r="AS83" s="106" t="s">
        <v>166</v>
      </c>
      <c r="AT83" s="106" t="s">
        <v>169</v>
      </c>
      <c r="AU83" s="106" t="s">
        <v>169</v>
      </c>
      <c r="AV83" s="106" t="s">
        <v>166</v>
      </c>
      <c r="AW83" s="106" t="s">
        <v>166</v>
      </c>
      <c r="AX83" s="106" t="s">
        <v>166</v>
      </c>
      <c r="AY83" s="106" t="s">
        <v>169</v>
      </c>
      <c r="AZ83" s="106" t="s">
        <v>166</v>
      </c>
      <c r="BA83" s="106" t="s">
        <v>166</v>
      </c>
      <c r="BB83" s="106" t="s">
        <v>166</v>
      </c>
      <c r="BC83" s="106" t="s">
        <v>166</v>
      </c>
      <c r="BD83" s="106" t="s">
        <v>169</v>
      </c>
      <c r="BE83" s="105" t="s">
        <v>166</v>
      </c>
      <c r="BF83" s="106" t="s">
        <v>169</v>
      </c>
      <c r="BG83" s="106" t="s">
        <v>169</v>
      </c>
      <c r="BH83" s="106" t="s">
        <v>169</v>
      </c>
      <c r="BI83" s="106" t="s">
        <v>169</v>
      </c>
      <c r="BJ83" s="106" t="s">
        <v>166</v>
      </c>
      <c r="BK83" s="106" t="s">
        <v>166</v>
      </c>
      <c r="BL83" s="106" t="s">
        <v>169</v>
      </c>
      <c r="BM83" s="106" t="s">
        <v>174</v>
      </c>
      <c r="BN83" s="106" t="s">
        <v>169</v>
      </c>
      <c r="BO83" s="106" t="s">
        <v>166</v>
      </c>
      <c r="BP83" s="106" t="s">
        <v>169</v>
      </c>
      <c r="BQ83" s="106" t="s">
        <v>169</v>
      </c>
      <c r="BR83" s="106" t="s">
        <v>169</v>
      </c>
      <c r="BS83" s="106" t="s">
        <v>169</v>
      </c>
      <c r="BT83" s="106" t="s">
        <v>169</v>
      </c>
      <c r="BU83" s="106" t="s">
        <v>169</v>
      </c>
      <c r="BV83" s="106" t="s">
        <v>169</v>
      </c>
      <c r="BW83" s="99"/>
    </row>
    <row r="84" spans="2:75" x14ac:dyDescent="0.25">
      <c r="BW84" s="99"/>
    </row>
    <row r="85" spans="2:75" x14ac:dyDescent="0.25">
      <c r="B85" s="96" t="s">
        <v>163</v>
      </c>
      <c r="C85" s="98">
        <v>41450</v>
      </c>
      <c r="D85" s="161"/>
      <c r="E85" s="94" t="s">
        <v>157</v>
      </c>
      <c r="F85" s="94" t="s">
        <v>157</v>
      </c>
      <c r="G85" s="94" t="s">
        <v>157</v>
      </c>
      <c r="H85" s="94" t="s">
        <v>157</v>
      </c>
      <c r="I85" s="94" t="s">
        <v>157</v>
      </c>
      <c r="J85" s="94" t="s">
        <v>157</v>
      </c>
      <c r="K85" s="94" t="s">
        <v>157</v>
      </c>
      <c r="L85" s="94" t="s">
        <v>157</v>
      </c>
      <c r="M85" s="94" t="s">
        <v>157</v>
      </c>
      <c r="N85" s="94" t="s">
        <v>157</v>
      </c>
      <c r="O85" s="94" t="s">
        <v>157</v>
      </c>
      <c r="P85" s="94" t="s">
        <v>157</v>
      </c>
      <c r="Q85" s="94" t="s">
        <v>157</v>
      </c>
      <c r="R85" s="94" t="s">
        <v>157</v>
      </c>
      <c r="S85" s="94" t="s">
        <v>157</v>
      </c>
      <c r="T85" s="94" t="s">
        <v>157</v>
      </c>
      <c r="U85" s="94" t="s">
        <v>157</v>
      </c>
      <c r="V85" s="94" t="s">
        <v>157</v>
      </c>
      <c r="W85" s="94" t="s">
        <v>157</v>
      </c>
      <c r="X85" s="94" t="s">
        <v>157</v>
      </c>
      <c r="Y85" s="94" t="s">
        <v>157</v>
      </c>
      <c r="Z85" s="94" t="s">
        <v>157</v>
      </c>
      <c r="AA85" s="94" t="s">
        <v>157</v>
      </c>
      <c r="AB85" s="94" t="s">
        <v>157</v>
      </c>
      <c r="AC85" s="94" t="s">
        <v>157</v>
      </c>
      <c r="AD85" s="94" t="s">
        <v>157</v>
      </c>
      <c r="AE85" s="94" t="s">
        <v>157</v>
      </c>
      <c r="AF85" s="94" t="s">
        <v>157</v>
      </c>
      <c r="AG85" s="94" t="s">
        <v>157</v>
      </c>
      <c r="AH85" s="94" t="s">
        <v>157</v>
      </c>
      <c r="AI85" s="94" t="s">
        <v>157</v>
      </c>
      <c r="AJ85" s="94" t="s">
        <v>157</v>
      </c>
      <c r="AK85" s="94" t="s">
        <v>157</v>
      </c>
      <c r="AL85" s="94" t="s">
        <v>157</v>
      </c>
      <c r="AM85" s="95" t="s">
        <v>157</v>
      </c>
      <c r="AN85" s="95" t="s">
        <v>157</v>
      </c>
      <c r="AO85" s="95" t="s">
        <v>157</v>
      </c>
      <c r="AP85" s="95" t="s">
        <v>157</v>
      </c>
      <c r="AQ85" s="95" t="s">
        <v>157</v>
      </c>
      <c r="AR85" s="95" t="s">
        <v>157</v>
      </c>
      <c r="AS85" s="95" t="s">
        <v>157</v>
      </c>
      <c r="AT85" s="95" t="s">
        <v>157</v>
      </c>
      <c r="AU85" s="95" t="s">
        <v>157</v>
      </c>
      <c r="AV85" s="95" t="s">
        <v>157</v>
      </c>
      <c r="AW85" s="95" t="s">
        <v>157</v>
      </c>
      <c r="AX85" s="95" t="s">
        <v>157</v>
      </c>
      <c r="AY85" s="95" t="s">
        <v>157</v>
      </c>
      <c r="AZ85" s="95" t="s">
        <v>157</v>
      </c>
      <c r="BA85" s="95" t="s">
        <v>157</v>
      </c>
      <c r="BB85" s="95" t="s">
        <v>157</v>
      </c>
      <c r="BC85" s="95" t="s">
        <v>157</v>
      </c>
      <c r="BD85" s="95" t="s">
        <v>157</v>
      </c>
      <c r="BE85" s="95" t="s">
        <v>157</v>
      </c>
      <c r="BF85" s="95" t="s">
        <v>157</v>
      </c>
      <c r="BG85" s="95" t="s">
        <v>157</v>
      </c>
      <c r="BH85" s="95" t="s">
        <v>157</v>
      </c>
      <c r="BI85" s="94" t="s">
        <v>157</v>
      </c>
      <c r="BJ85" s="94" t="s">
        <v>157</v>
      </c>
      <c r="BK85" s="94" t="s">
        <v>157</v>
      </c>
      <c r="BL85" s="94" t="s">
        <v>157</v>
      </c>
      <c r="BM85" s="94" t="s">
        <v>157</v>
      </c>
      <c r="BN85" s="94" t="s">
        <v>157</v>
      </c>
      <c r="BO85" s="94" t="s">
        <v>157</v>
      </c>
      <c r="BP85" s="94" t="s">
        <v>157</v>
      </c>
      <c r="BQ85" s="94" t="s">
        <v>157</v>
      </c>
      <c r="BR85" s="94" t="s">
        <v>157</v>
      </c>
      <c r="BS85" s="94" t="s">
        <v>157</v>
      </c>
      <c r="BT85" s="94" t="s">
        <v>157</v>
      </c>
      <c r="BU85" s="94" t="s">
        <v>157</v>
      </c>
      <c r="BV85" s="94" t="s">
        <v>157</v>
      </c>
      <c r="BW85" s="99"/>
    </row>
    <row r="86" spans="2:75" x14ac:dyDescent="0.25">
      <c r="B86" s="96" t="s">
        <v>164</v>
      </c>
      <c r="C86" s="98">
        <v>41450</v>
      </c>
      <c r="D86" s="161"/>
      <c r="E86" s="94" t="s">
        <v>157</v>
      </c>
      <c r="F86" s="94" t="s">
        <v>157</v>
      </c>
      <c r="G86" s="94" t="s">
        <v>157</v>
      </c>
      <c r="H86" s="94" t="s">
        <v>157</v>
      </c>
      <c r="I86" s="94" t="s">
        <v>157</v>
      </c>
      <c r="J86" s="94" t="s">
        <v>157</v>
      </c>
      <c r="K86" s="94" t="s">
        <v>157</v>
      </c>
      <c r="L86" s="94" t="s">
        <v>157</v>
      </c>
      <c r="M86" s="94" t="s">
        <v>157</v>
      </c>
      <c r="N86" s="94" t="s">
        <v>157</v>
      </c>
      <c r="O86" s="94" t="s">
        <v>157</v>
      </c>
      <c r="P86" s="94" t="s">
        <v>157</v>
      </c>
      <c r="Q86" s="94" t="s">
        <v>157</v>
      </c>
      <c r="R86" s="94" t="s">
        <v>157</v>
      </c>
      <c r="S86" s="94" t="s">
        <v>157</v>
      </c>
      <c r="T86" s="94" t="s">
        <v>157</v>
      </c>
      <c r="U86" s="94" t="s">
        <v>157</v>
      </c>
      <c r="V86" s="94" t="s">
        <v>157</v>
      </c>
      <c r="W86" s="94" t="s">
        <v>157</v>
      </c>
      <c r="X86" s="94" t="s">
        <v>157</v>
      </c>
      <c r="Y86" s="94" t="s">
        <v>157</v>
      </c>
      <c r="Z86" s="94" t="s">
        <v>157</v>
      </c>
      <c r="AA86" s="94" t="s">
        <v>157</v>
      </c>
      <c r="AB86" s="105" t="s">
        <v>157</v>
      </c>
      <c r="AC86" s="105" t="s">
        <v>157</v>
      </c>
      <c r="AD86" s="105" t="s">
        <v>157</v>
      </c>
      <c r="AE86" s="105" t="s">
        <v>157</v>
      </c>
      <c r="AF86" s="94" t="s">
        <v>157</v>
      </c>
      <c r="AG86" s="94" t="s">
        <v>157</v>
      </c>
      <c r="AH86" s="94" t="s">
        <v>157</v>
      </c>
      <c r="AI86" s="94" t="s">
        <v>157</v>
      </c>
      <c r="AJ86" s="94" t="s">
        <v>158</v>
      </c>
      <c r="AK86" s="94" t="s">
        <v>157</v>
      </c>
      <c r="AL86" s="94" t="s">
        <v>157</v>
      </c>
      <c r="AM86" s="95" t="s">
        <v>157</v>
      </c>
      <c r="AN86" s="95" t="s">
        <v>157</v>
      </c>
      <c r="AO86" s="95" t="s">
        <v>157</v>
      </c>
      <c r="AP86" s="95" t="s">
        <v>157</v>
      </c>
      <c r="AQ86" s="95" t="s">
        <v>157</v>
      </c>
      <c r="AR86" s="95" t="s">
        <v>157</v>
      </c>
      <c r="AS86" s="95" t="s">
        <v>157</v>
      </c>
      <c r="AT86" s="95" t="s">
        <v>157</v>
      </c>
      <c r="AU86" s="95" t="s">
        <v>157</v>
      </c>
      <c r="AV86" s="95" t="s">
        <v>157</v>
      </c>
      <c r="AW86" s="95" t="s">
        <v>157</v>
      </c>
      <c r="AX86" s="95" t="s">
        <v>157</v>
      </c>
      <c r="AY86" s="95" t="s">
        <v>157</v>
      </c>
      <c r="AZ86" s="95" t="s">
        <v>157</v>
      </c>
      <c r="BA86" s="95" t="s">
        <v>157</v>
      </c>
      <c r="BB86" s="95" t="s">
        <v>157</v>
      </c>
      <c r="BC86" s="95" t="s">
        <v>157</v>
      </c>
      <c r="BD86" s="95" t="s">
        <v>157</v>
      </c>
      <c r="BE86" s="95" t="s">
        <v>157</v>
      </c>
      <c r="BF86" s="95" t="s">
        <v>157</v>
      </c>
      <c r="BG86" s="95" t="s">
        <v>157</v>
      </c>
      <c r="BH86" s="95" t="s">
        <v>157</v>
      </c>
      <c r="BI86" s="94" t="s">
        <v>157</v>
      </c>
      <c r="BJ86" s="94" t="s">
        <v>157</v>
      </c>
      <c r="BK86" s="94" t="s">
        <v>157</v>
      </c>
      <c r="BL86" s="94" t="s">
        <v>157</v>
      </c>
      <c r="BM86" s="94" t="s">
        <v>157</v>
      </c>
      <c r="BN86" s="94" t="s">
        <v>157</v>
      </c>
      <c r="BO86" s="94" t="s">
        <v>157</v>
      </c>
      <c r="BP86" s="94" t="s">
        <v>157</v>
      </c>
      <c r="BQ86" s="94" t="s">
        <v>157</v>
      </c>
      <c r="BR86" s="94" t="s">
        <v>157</v>
      </c>
      <c r="BS86" s="94" t="s">
        <v>157</v>
      </c>
      <c r="BT86" s="94" t="s">
        <v>157</v>
      </c>
      <c r="BU86" s="94" t="s">
        <v>157</v>
      </c>
      <c r="BV86" s="94" t="s">
        <v>157</v>
      </c>
      <c r="BW86" s="99"/>
    </row>
    <row r="87" spans="2:75" x14ac:dyDescent="0.25">
      <c r="B87" s="94" t="s">
        <v>165</v>
      </c>
      <c r="C87" s="98">
        <v>41450</v>
      </c>
      <c r="D87" s="161"/>
      <c r="E87" s="94">
        <v>98.649999999999991</v>
      </c>
      <c r="F87" s="94">
        <v>97.65</v>
      </c>
      <c r="G87" s="94">
        <v>93.35</v>
      </c>
      <c r="H87" s="94">
        <v>103.27500000000001</v>
      </c>
      <c r="I87" s="94">
        <v>101.47499999999999</v>
      </c>
      <c r="J87" s="94">
        <v>96.55</v>
      </c>
      <c r="K87" s="94">
        <v>95.5</v>
      </c>
      <c r="L87" s="94">
        <v>97.875</v>
      </c>
      <c r="M87" s="94">
        <v>93.825000000000003</v>
      </c>
      <c r="N87" s="94">
        <v>97.9</v>
      </c>
      <c r="O87" s="94">
        <v>114.75</v>
      </c>
      <c r="P87" s="94" t="s">
        <v>166</v>
      </c>
      <c r="Q87" s="94">
        <v>117.27500000000001</v>
      </c>
      <c r="R87" s="94" t="s">
        <v>166</v>
      </c>
      <c r="S87" s="94">
        <v>103.825</v>
      </c>
      <c r="T87" s="94" t="s">
        <v>166</v>
      </c>
      <c r="U87" s="94">
        <v>77.25</v>
      </c>
      <c r="V87" s="94">
        <v>78.475000000000009</v>
      </c>
      <c r="W87" s="94">
        <v>93.875</v>
      </c>
      <c r="X87" s="94" t="s">
        <v>166</v>
      </c>
      <c r="Y87" s="94">
        <v>99.974999999999994</v>
      </c>
      <c r="Z87" s="94">
        <v>86.949999999999989</v>
      </c>
      <c r="AA87" s="94" t="s">
        <v>166</v>
      </c>
      <c r="AB87" s="105" t="s">
        <v>166</v>
      </c>
      <c r="AC87" s="105">
        <v>76.650000000000006</v>
      </c>
      <c r="AD87" s="105" t="s">
        <v>166</v>
      </c>
      <c r="AE87" s="105" t="s">
        <v>166</v>
      </c>
      <c r="AF87" s="94">
        <v>111.97500000000001</v>
      </c>
      <c r="AG87" s="94" t="s">
        <v>166</v>
      </c>
      <c r="AH87" s="94">
        <v>95.450000000000017</v>
      </c>
      <c r="AI87" s="94" t="s">
        <v>166</v>
      </c>
      <c r="AJ87" s="94">
        <v>90.25</v>
      </c>
      <c r="AK87" s="94" t="s">
        <v>166</v>
      </c>
      <c r="AL87" s="94">
        <v>87.824999999999989</v>
      </c>
      <c r="AM87" s="94">
        <v>103.75</v>
      </c>
      <c r="AN87" s="94">
        <v>101.3</v>
      </c>
      <c r="AO87" s="94">
        <v>107.875</v>
      </c>
      <c r="AP87" s="94" t="s">
        <v>166</v>
      </c>
      <c r="AQ87" s="94" t="s">
        <v>166</v>
      </c>
      <c r="AR87" s="94" t="s">
        <v>166</v>
      </c>
      <c r="AS87" s="94" t="s">
        <v>166</v>
      </c>
      <c r="AT87" s="94">
        <v>97.925000000000011</v>
      </c>
      <c r="AU87" s="94">
        <v>94.75</v>
      </c>
      <c r="AV87" s="94" t="s">
        <v>166</v>
      </c>
      <c r="AW87" s="94" t="s">
        <v>166</v>
      </c>
      <c r="AX87" s="94" t="s">
        <v>166</v>
      </c>
      <c r="AY87" s="94">
        <v>97.5</v>
      </c>
      <c r="AZ87" s="94" t="s">
        <v>166</v>
      </c>
      <c r="BA87" s="94" t="s">
        <v>166</v>
      </c>
      <c r="BB87" s="94" t="s">
        <v>166</v>
      </c>
      <c r="BC87" s="94" t="s">
        <v>166</v>
      </c>
      <c r="BD87" s="94">
        <v>84.55</v>
      </c>
      <c r="BE87" s="94" t="s">
        <v>166</v>
      </c>
      <c r="BF87" s="94" t="s">
        <v>166</v>
      </c>
      <c r="BG87" s="94">
        <v>96.55</v>
      </c>
      <c r="BH87" s="94">
        <v>112.8</v>
      </c>
      <c r="BI87" s="94">
        <v>112.02500000000001</v>
      </c>
      <c r="BJ87" s="94" t="s">
        <v>166</v>
      </c>
      <c r="BK87" s="94" t="s">
        <v>166</v>
      </c>
      <c r="BL87" s="94">
        <v>98.749999999999986</v>
      </c>
      <c r="BM87" s="94" t="s">
        <v>166</v>
      </c>
      <c r="BN87" s="94">
        <v>111.125</v>
      </c>
      <c r="BO87" s="94" t="s">
        <v>166</v>
      </c>
      <c r="BP87" s="94" t="s">
        <v>166</v>
      </c>
      <c r="BQ87" s="94" t="s">
        <v>166</v>
      </c>
      <c r="BR87" s="94" t="s">
        <v>166</v>
      </c>
      <c r="BS87" s="94" t="s">
        <v>166</v>
      </c>
      <c r="BT87" s="94" t="s">
        <v>166</v>
      </c>
      <c r="BU87" s="94" t="s">
        <v>166</v>
      </c>
      <c r="BV87" s="94" t="s">
        <v>166</v>
      </c>
      <c r="BW87" s="99"/>
    </row>
    <row r="88" spans="2:75" ht="17.25" x14ac:dyDescent="0.25">
      <c r="B88" s="94" t="s">
        <v>168</v>
      </c>
      <c r="C88" s="98">
        <v>41450</v>
      </c>
      <c r="D88" s="161"/>
      <c r="E88" s="94" t="s">
        <v>169</v>
      </c>
      <c r="F88" s="94" t="s">
        <v>169</v>
      </c>
      <c r="G88" s="94" t="s">
        <v>169</v>
      </c>
      <c r="H88" s="94" t="s">
        <v>169</v>
      </c>
      <c r="I88" s="94" t="s">
        <v>169</v>
      </c>
      <c r="J88" s="94" t="s">
        <v>169</v>
      </c>
      <c r="K88" s="94" t="s">
        <v>169</v>
      </c>
      <c r="L88" s="94" t="s">
        <v>169</v>
      </c>
      <c r="M88" s="94" t="s">
        <v>169</v>
      </c>
      <c r="N88" s="94" t="s">
        <v>169</v>
      </c>
      <c r="O88" s="94" t="s">
        <v>169</v>
      </c>
      <c r="P88" s="94" t="s">
        <v>166</v>
      </c>
      <c r="Q88" s="94" t="s">
        <v>169</v>
      </c>
      <c r="R88" s="94" t="s">
        <v>166</v>
      </c>
      <c r="S88" s="94" t="s">
        <v>169</v>
      </c>
      <c r="T88" s="94" t="s">
        <v>166</v>
      </c>
      <c r="U88" s="94" t="s">
        <v>169</v>
      </c>
      <c r="V88" s="94" t="s">
        <v>169</v>
      </c>
      <c r="W88" s="94" t="s">
        <v>169</v>
      </c>
      <c r="X88" s="94" t="s">
        <v>166</v>
      </c>
      <c r="Y88" s="94" t="s">
        <v>169</v>
      </c>
      <c r="Z88" s="94" t="s">
        <v>169</v>
      </c>
      <c r="AA88" s="94" t="s">
        <v>166</v>
      </c>
      <c r="AB88" s="94" t="s">
        <v>169</v>
      </c>
      <c r="AC88" s="94" t="s">
        <v>169</v>
      </c>
      <c r="AD88" s="94" t="s">
        <v>169</v>
      </c>
      <c r="AE88" s="94" t="s">
        <v>166</v>
      </c>
      <c r="AF88" s="94" t="s">
        <v>169</v>
      </c>
      <c r="AG88" s="94" t="s">
        <v>166</v>
      </c>
      <c r="AH88" s="94" t="s">
        <v>169</v>
      </c>
      <c r="AI88" s="94" t="s">
        <v>166</v>
      </c>
      <c r="AJ88" s="94" t="s">
        <v>169</v>
      </c>
      <c r="AK88" s="94" t="s">
        <v>166</v>
      </c>
      <c r="AL88" s="94" t="s">
        <v>169</v>
      </c>
      <c r="AM88" s="94" t="s">
        <v>169</v>
      </c>
      <c r="AN88" s="94" t="s">
        <v>169</v>
      </c>
      <c r="AO88" s="94" t="s">
        <v>169</v>
      </c>
      <c r="AP88" s="94" t="s">
        <v>166</v>
      </c>
      <c r="AQ88" s="94" t="s">
        <v>166</v>
      </c>
      <c r="AR88" s="94" t="s">
        <v>166</v>
      </c>
      <c r="AS88" s="94" t="s">
        <v>166</v>
      </c>
      <c r="AT88" s="94" t="s">
        <v>169</v>
      </c>
      <c r="AU88" s="94" t="s">
        <v>169</v>
      </c>
      <c r="AV88" s="94" t="s">
        <v>166</v>
      </c>
      <c r="AW88" s="94" t="s">
        <v>166</v>
      </c>
      <c r="AX88" s="94" t="s">
        <v>166</v>
      </c>
      <c r="AY88" s="94" t="s">
        <v>169</v>
      </c>
      <c r="AZ88" s="94" t="s">
        <v>166</v>
      </c>
      <c r="BA88" s="94" t="s">
        <v>166</v>
      </c>
      <c r="BB88" s="94" t="s">
        <v>166</v>
      </c>
      <c r="BC88" s="94" t="s">
        <v>166</v>
      </c>
      <c r="BD88" s="94" t="s">
        <v>169</v>
      </c>
      <c r="BE88" s="94" t="s">
        <v>166</v>
      </c>
      <c r="BF88" s="94" t="s">
        <v>166</v>
      </c>
      <c r="BG88" s="94" t="s">
        <v>169</v>
      </c>
      <c r="BH88" s="94" t="s">
        <v>169</v>
      </c>
      <c r="BI88" s="94" t="s">
        <v>169</v>
      </c>
      <c r="BJ88" s="94" t="s">
        <v>166</v>
      </c>
      <c r="BK88" s="94" t="s">
        <v>166</v>
      </c>
      <c r="BL88" s="94" t="s">
        <v>169</v>
      </c>
      <c r="BM88" s="94" t="s">
        <v>166</v>
      </c>
      <c r="BN88" s="94" t="s">
        <v>169</v>
      </c>
      <c r="BO88" s="94" t="s">
        <v>166</v>
      </c>
      <c r="BP88" s="94" t="s">
        <v>166</v>
      </c>
      <c r="BQ88" s="94" t="s">
        <v>166</v>
      </c>
      <c r="BR88" s="94" t="s">
        <v>166</v>
      </c>
      <c r="BS88" s="94" t="s">
        <v>166</v>
      </c>
      <c r="BT88" s="94" t="s">
        <v>166</v>
      </c>
      <c r="BU88" s="94" t="s">
        <v>166</v>
      </c>
      <c r="BV88" s="94" t="s">
        <v>166</v>
      </c>
      <c r="BW88" s="99"/>
    </row>
    <row r="89" spans="2:75" x14ac:dyDescent="0.25">
      <c r="B89" s="94" t="s">
        <v>170</v>
      </c>
      <c r="C89" s="98">
        <v>41450</v>
      </c>
      <c r="D89" s="161"/>
      <c r="E89" s="94" t="s">
        <v>169</v>
      </c>
      <c r="F89" s="94" t="s">
        <v>169</v>
      </c>
      <c r="G89" s="94" t="s">
        <v>169</v>
      </c>
      <c r="H89" s="94" t="s">
        <v>169</v>
      </c>
      <c r="I89" s="94" t="s">
        <v>169</v>
      </c>
      <c r="J89" s="94" t="s">
        <v>169</v>
      </c>
      <c r="K89" s="94" t="s">
        <v>169</v>
      </c>
      <c r="L89" s="94" t="s">
        <v>169</v>
      </c>
      <c r="M89" s="94" t="s">
        <v>169</v>
      </c>
      <c r="N89" s="94" t="s">
        <v>169</v>
      </c>
      <c r="O89" s="94" t="s">
        <v>169</v>
      </c>
      <c r="P89" s="94" t="s">
        <v>166</v>
      </c>
      <c r="Q89" s="94" t="s">
        <v>169</v>
      </c>
      <c r="R89" s="94" t="s">
        <v>166</v>
      </c>
      <c r="S89" s="94" t="s">
        <v>169</v>
      </c>
      <c r="T89" s="94" t="s">
        <v>166</v>
      </c>
      <c r="U89" s="94" t="s">
        <v>169</v>
      </c>
      <c r="V89" s="94" t="s">
        <v>169</v>
      </c>
      <c r="W89" s="94" t="s">
        <v>169</v>
      </c>
      <c r="X89" s="94" t="s">
        <v>166</v>
      </c>
      <c r="Y89" s="94" t="s">
        <v>169</v>
      </c>
      <c r="Z89" s="94" t="s">
        <v>169</v>
      </c>
      <c r="AA89" s="94" t="s">
        <v>166</v>
      </c>
      <c r="AB89" s="94" t="s">
        <v>169</v>
      </c>
      <c r="AC89" s="94" t="s">
        <v>169</v>
      </c>
      <c r="AD89" s="94" t="s">
        <v>169</v>
      </c>
      <c r="AE89" s="94" t="s">
        <v>166</v>
      </c>
      <c r="AF89" s="94" t="s">
        <v>169</v>
      </c>
      <c r="AG89" s="94" t="s">
        <v>166</v>
      </c>
      <c r="AH89" s="94" t="s">
        <v>169</v>
      </c>
      <c r="AI89" s="94" t="s">
        <v>166</v>
      </c>
      <c r="AJ89" s="94" t="s">
        <v>169</v>
      </c>
      <c r="AK89" s="94" t="s">
        <v>166</v>
      </c>
      <c r="AL89" s="94" t="s">
        <v>169</v>
      </c>
      <c r="AM89" s="94" t="s">
        <v>169</v>
      </c>
      <c r="AN89" s="94" t="s">
        <v>169</v>
      </c>
      <c r="AO89" s="94" t="s">
        <v>169</v>
      </c>
      <c r="AP89" s="94" t="s">
        <v>166</v>
      </c>
      <c r="AQ89" s="94" t="s">
        <v>166</v>
      </c>
      <c r="AR89" s="94" t="s">
        <v>166</v>
      </c>
      <c r="AS89" s="94" t="s">
        <v>166</v>
      </c>
      <c r="AT89" s="94" t="s">
        <v>169</v>
      </c>
      <c r="AU89" s="94" t="s">
        <v>169</v>
      </c>
      <c r="AV89" s="94" t="s">
        <v>166</v>
      </c>
      <c r="AW89" s="94" t="s">
        <v>166</v>
      </c>
      <c r="AX89" s="94" t="s">
        <v>166</v>
      </c>
      <c r="AY89" s="94" t="s">
        <v>169</v>
      </c>
      <c r="AZ89" s="94" t="s">
        <v>166</v>
      </c>
      <c r="BA89" s="94" t="s">
        <v>166</v>
      </c>
      <c r="BB89" s="94" t="s">
        <v>166</v>
      </c>
      <c r="BC89" s="94" t="s">
        <v>166</v>
      </c>
      <c r="BD89" s="94" t="s">
        <v>169</v>
      </c>
      <c r="BE89" s="94" t="s">
        <v>166</v>
      </c>
      <c r="BF89" s="94" t="s">
        <v>166</v>
      </c>
      <c r="BG89" s="94" t="s">
        <v>169</v>
      </c>
      <c r="BH89" s="94" t="s">
        <v>169</v>
      </c>
      <c r="BI89" s="94" t="s">
        <v>169</v>
      </c>
      <c r="BJ89" s="94" t="s">
        <v>166</v>
      </c>
      <c r="BK89" s="94" t="s">
        <v>166</v>
      </c>
      <c r="BL89" s="94" t="s">
        <v>169</v>
      </c>
      <c r="BM89" s="94" t="s">
        <v>166</v>
      </c>
      <c r="BN89" s="94" t="s">
        <v>169</v>
      </c>
      <c r="BO89" s="94" t="s">
        <v>166</v>
      </c>
      <c r="BP89" s="94" t="s">
        <v>166</v>
      </c>
      <c r="BQ89" s="94" t="s">
        <v>166</v>
      </c>
      <c r="BR89" s="94" t="s">
        <v>166</v>
      </c>
      <c r="BS89" s="94" t="s">
        <v>166</v>
      </c>
      <c r="BT89" s="94" t="s">
        <v>166</v>
      </c>
      <c r="BU89" s="94" t="s">
        <v>166</v>
      </c>
      <c r="BV89" s="94" t="s">
        <v>166</v>
      </c>
      <c r="BW89" s="99"/>
    </row>
    <row r="90" spans="2:75" x14ac:dyDescent="0.25">
      <c r="B90" s="147" t="s">
        <v>200</v>
      </c>
      <c r="C90" s="142">
        <v>41450</v>
      </c>
      <c r="D90" s="161"/>
      <c r="E90" s="147" t="s">
        <v>175</v>
      </c>
      <c r="F90" s="147" t="s">
        <v>175</v>
      </c>
      <c r="G90" s="147">
        <v>11.58197569373289</v>
      </c>
      <c r="H90" s="147">
        <v>4.4900598473324616</v>
      </c>
      <c r="I90" s="147">
        <v>11.406283193467686</v>
      </c>
      <c r="J90" s="147">
        <v>34.829286829358935</v>
      </c>
      <c r="K90" s="147">
        <v>24.143568456025463</v>
      </c>
      <c r="L90" s="147">
        <v>12.182364020442389</v>
      </c>
      <c r="M90" s="147">
        <v>38.870779513665582</v>
      </c>
      <c r="N90" s="147" t="s">
        <v>175</v>
      </c>
      <c r="O90" s="147" t="s">
        <v>175</v>
      </c>
      <c r="P90" s="147" t="s">
        <v>175</v>
      </c>
      <c r="Q90" s="147" t="s">
        <v>175</v>
      </c>
      <c r="R90" s="147" t="s">
        <v>175</v>
      </c>
      <c r="S90" s="147" t="s">
        <v>175</v>
      </c>
      <c r="T90" s="147" t="s">
        <v>175</v>
      </c>
      <c r="U90" s="147" t="s">
        <v>175</v>
      </c>
      <c r="V90" s="147" t="s">
        <v>175</v>
      </c>
      <c r="W90" s="147" t="s">
        <v>175</v>
      </c>
      <c r="X90" s="147" t="s">
        <v>175</v>
      </c>
      <c r="Y90" s="147" t="s">
        <v>175</v>
      </c>
      <c r="Z90" s="147" t="s">
        <v>175</v>
      </c>
      <c r="AA90" s="147" t="s">
        <v>175</v>
      </c>
      <c r="AB90" s="147" t="s">
        <v>175</v>
      </c>
      <c r="AC90" s="147">
        <v>28.239859406471798</v>
      </c>
      <c r="AD90" s="147" t="s">
        <v>175</v>
      </c>
      <c r="AE90" s="147" t="s">
        <v>175</v>
      </c>
      <c r="AF90" s="147">
        <v>32.916347617159573</v>
      </c>
      <c r="AG90" s="147" t="s">
        <v>175</v>
      </c>
      <c r="AH90" s="147">
        <v>7.3626788821976721</v>
      </c>
      <c r="AI90" s="147" t="s">
        <v>175</v>
      </c>
      <c r="AJ90" s="147">
        <v>14.013309363393628</v>
      </c>
      <c r="AK90" s="147" t="s">
        <v>175</v>
      </c>
      <c r="AL90" s="147" t="s">
        <v>175</v>
      </c>
      <c r="AM90" s="147" t="s">
        <v>175</v>
      </c>
      <c r="AN90" s="147">
        <v>109.98041750432495</v>
      </c>
      <c r="AO90" s="147">
        <v>47.362185155674716</v>
      </c>
      <c r="AP90" s="147" t="s">
        <v>175</v>
      </c>
      <c r="AQ90" s="147" t="s">
        <v>175</v>
      </c>
      <c r="AR90" s="147" t="s">
        <v>175</v>
      </c>
      <c r="AS90" s="147" t="s">
        <v>175</v>
      </c>
      <c r="AT90" s="147" t="s">
        <v>175</v>
      </c>
      <c r="AU90" s="147">
        <v>19.776601268014222</v>
      </c>
      <c r="AV90" s="147" t="s">
        <v>175</v>
      </c>
      <c r="AW90" s="147" t="s">
        <v>175</v>
      </c>
      <c r="AX90" s="147" t="s">
        <v>175</v>
      </c>
      <c r="AY90" s="147">
        <v>1.4731391274719592</v>
      </c>
      <c r="AZ90" s="147" t="s">
        <v>175</v>
      </c>
      <c r="BA90" s="147" t="s">
        <v>175</v>
      </c>
      <c r="BB90" s="147" t="s">
        <v>175</v>
      </c>
      <c r="BC90" s="147" t="s">
        <v>175</v>
      </c>
      <c r="BD90" s="147">
        <v>34.107503563115863</v>
      </c>
      <c r="BE90" s="147" t="s">
        <v>175</v>
      </c>
      <c r="BF90" s="147" t="s">
        <v>175</v>
      </c>
      <c r="BG90" s="147" t="s">
        <v>175</v>
      </c>
      <c r="BH90" s="147" t="s">
        <v>175</v>
      </c>
      <c r="BI90" s="147" t="s">
        <v>175</v>
      </c>
      <c r="BJ90" s="147" t="s">
        <v>175</v>
      </c>
      <c r="BK90" s="147" t="s">
        <v>175</v>
      </c>
      <c r="BL90" s="147">
        <v>62.58202398515926</v>
      </c>
      <c r="BM90" s="147">
        <v>67.779921563210181</v>
      </c>
      <c r="BN90" s="147">
        <v>33.076264365182709</v>
      </c>
      <c r="BO90" s="147">
        <v>60.063448568306725</v>
      </c>
      <c r="BP90" s="147">
        <v>61.093925416867513</v>
      </c>
      <c r="BQ90" s="147" t="s">
        <v>175</v>
      </c>
      <c r="BR90" s="147" t="s">
        <v>175</v>
      </c>
      <c r="BS90" s="147" t="s">
        <v>175</v>
      </c>
      <c r="BT90" s="147" t="s">
        <v>175</v>
      </c>
      <c r="BU90" s="147" t="s">
        <v>175</v>
      </c>
      <c r="BV90" s="147">
        <v>45.383945399226782</v>
      </c>
      <c r="BW90" s="99"/>
    </row>
    <row r="91" spans="2:75" s="147" customFormat="1" x14ac:dyDescent="0.25">
      <c r="C91" s="142"/>
      <c r="D91" s="161"/>
    </row>
    <row r="92" spans="2:75" x14ac:dyDescent="0.25">
      <c r="B92" s="96" t="s">
        <v>163</v>
      </c>
      <c r="C92" s="98">
        <v>41453</v>
      </c>
      <c r="D92" s="161"/>
      <c r="E92" s="94" t="s">
        <v>157</v>
      </c>
      <c r="F92" s="94" t="s">
        <v>157</v>
      </c>
      <c r="G92" s="94" t="s">
        <v>157</v>
      </c>
      <c r="H92" s="94" t="s">
        <v>157</v>
      </c>
      <c r="I92" s="94" t="s">
        <v>157</v>
      </c>
      <c r="J92" s="94" t="s">
        <v>157</v>
      </c>
      <c r="K92" s="94" t="s">
        <v>157</v>
      </c>
      <c r="L92" s="94" t="s">
        <v>157</v>
      </c>
      <c r="M92" s="94" t="s">
        <v>157</v>
      </c>
      <c r="N92" s="94" t="s">
        <v>157</v>
      </c>
      <c r="O92" s="94" t="s">
        <v>157</v>
      </c>
      <c r="P92" s="94" t="s">
        <v>157</v>
      </c>
      <c r="Q92" s="94" t="s">
        <v>157</v>
      </c>
      <c r="R92" s="94" t="s">
        <v>157</v>
      </c>
      <c r="S92" s="94" t="s">
        <v>157</v>
      </c>
      <c r="T92" s="94" t="s">
        <v>157</v>
      </c>
      <c r="U92" s="94" t="s">
        <v>157</v>
      </c>
      <c r="V92" s="94" t="s">
        <v>157</v>
      </c>
      <c r="W92" s="94" t="s">
        <v>157</v>
      </c>
      <c r="X92" s="94" t="s">
        <v>157</v>
      </c>
      <c r="Y92" s="95" t="s">
        <v>157</v>
      </c>
      <c r="Z92" s="95" t="s">
        <v>157</v>
      </c>
      <c r="AA92" s="95" t="s">
        <v>157</v>
      </c>
      <c r="AB92" s="95" t="s">
        <v>157</v>
      </c>
      <c r="AC92" s="95" t="s">
        <v>157</v>
      </c>
      <c r="AD92" s="95" t="s">
        <v>157</v>
      </c>
      <c r="AE92" s="94" t="s">
        <v>157</v>
      </c>
      <c r="AF92" s="94" t="s">
        <v>157</v>
      </c>
      <c r="AG92" s="94" t="s">
        <v>157</v>
      </c>
      <c r="AH92" s="95" t="s">
        <v>157</v>
      </c>
      <c r="AI92" s="94" t="s">
        <v>157</v>
      </c>
      <c r="AJ92" s="94" t="s">
        <v>157</v>
      </c>
      <c r="AK92" s="94" t="s">
        <v>157</v>
      </c>
      <c r="AL92" s="94" t="s">
        <v>157</v>
      </c>
      <c r="AM92" s="94" t="s">
        <v>157</v>
      </c>
      <c r="AN92" s="94" t="s">
        <v>157</v>
      </c>
      <c r="AO92" s="94" t="s">
        <v>157</v>
      </c>
      <c r="AP92" s="94" t="s">
        <v>157</v>
      </c>
      <c r="AQ92" s="94" t="s">
        <v>157</v>
      </c>
      <c r="AR92" s="94" t="s">
        <v>157</v>
      </c>
      <c r="AS92" s="94" t="s">
        <v>157</v>
      </c>
      <c r="AT92" s="94" t="s">
        <v>157</v>
      </c>
      <c r="AU92" s="94" t="s">
        <v>157</v>
      </c>
      <c r="AV92" s="94" t="s">
        <v>157</v>
      </c>
      <c r="AW92" s="94" t="s">
        <v>157</v>
      </c>
      <c r="AX92" s="94" t="s">
        <v>157</v>
      </c>
      <c r="AY92" s="94" t="s">
        <v>157</v>
      </c>
      <c r="AZ92" s="94" t="s">
        <v>157</v>
      </c>
      <c r="BA92" s="94" t="s">
        <v>157</v>
      </c>
      <c r="BB92" s="94" t="s">
        <v>157</v>
      </c>
      <c r="BC92" s="94" t="s">
        <v>157</v>
      </c>
      <c r="BD92" s="94" t="s">
        <v>157</v>
      </c>
      <c r="BE92" s="94" t="s">
        <v>157</v>
      </c>
      <c r="BF92" s="94" t="s">
        <v>157</v>
      </c>
      <c r="BG92" s="97" t="s">
        <v>157</v>
      </c>
      <c r="BH92" s="97" t="s">
        <v>157</v>
      </c>
      <c r="BI92" s="97" t="s">
        <v>157</v>
      </c>
      <c r="BJ92" s="97" t="s">
        <v>157</v>
      </c>
      <c r="BK92" s="94" t="s">
        <v>157</v>
      </c>
      <c r="BL92" s="94" t="s">
        <v>157</v>
      </c>
      <c r="BM92" s="94" t="s">
        <v>157</v>
      </c>
      <c r="BN92" s="94" t="s">
        <v>157</v>
      </c>
      <c r="BO92" s="94" t="s">
        <v>157</v>
      </c>
      <c r="BP92" s="94" t="s">
        <v>157</v>
      </c>
      <c r="BQ92" s="94" t="s">
        <v>157</v>
      </c>
      <c r="BR92" s="94" t="s">
        <v>157</v>
      </c>
      <c r="BS92" s="94" t="s">
        <v>157</v>
      </c>
      <c r="BT92" s="94" t="s">
        <v>157</v>
      </c>
      <c r="BU92" s="94" t="s">
        <v>157</v>
      </c>
      <c r="BV92" s="94" t="s">
        <v>157</v>
      </c>
      <c r="BW92" s="99"/>
    </row>
    <row r="93" spans="2:75" x14ac:dyDescent="0.25">
      <c r="B93" s="96" t="s">
        <v>164</v>
      </c>
      <c r="C93" s="98">
        <v>41453</v>
      </c>
      <c r="D93" s="161"/>
      <c r="E93" s="94" t="s">
        <v>157</v>
      </c>
      <c r="F93" s="94" t="s">
        <v>157</v>
      </c>
      <c r="G93" s="94" t="s">
        <v>157</v>
      </c>
      <c r="H93" s="94" t="s">
        <v>157</v>
      </c>
      <c r="I93" s="94" t="s">
        <v>157</v>
      </c>
      <c r="J93" s="94" t="s">
        <v>157</v>
      </c>
      <c r="K93" s="94" t="s">
        <v>157</v>
      </c>
      <c r="L93" s="94" t="s">
        <v>157</v>
      </c>
      <c r="M93" s="94" t="s">
        <v>157</v>
      </c>
      <c r="N93" s="94" t="s">
        <v>157</v>
      </c>
      <c r="O93" s="94" t="s">
        <v>157</v>
      </c>
      <c r="P93" s="94" t="s">
        <v>157</v>
      </c>
      <c r="Q93" s="94" t="s">
        <v>157</v>
      </c>
      <c r="R93" s="94" t="s">
        <v>157</v>
      </c>
      <c r="S93" s="94" t="s">
        <v>157</v>
      </c>
      <c r="T93" s="94" t="s">
        <v>157</v>
      </c>
      <c r="U93" s="94" t="s">
        <v>157</v>
      </c>
      <c r="V93" s="94" t="s">
        <v>157</v>
      </c>
      <c r="W93" s="94" t="s">
        <v>157</v>
      </c>
      <c r="X93" s="94" t="s">
        <v>157</v>
      </c>
      <c r="Y93" s="94" t="s">
        <v>157</v>
      </c>
      <c r="Z93" s="94" t="s">
        <v>157</v>
      </c>
      <c r="AA93" s="94" t="s">
        <v>157</v>
      </c>
      <c r="AB93" s="94" t="s">
        <v>157</v>
      </c>
      <c r="AC93" s="94" t="s">
        <v>157</v>
      </c>
      <c r="AD93" s="94" t="s">
        <v>157</v>
      </c>
      <c r="AE93" s="94" t="s">
        <v>157</v>
      </c>
      <c r="AF93" s="94" t="s">
        <v>157</v>
      </c>
      <c r="AG93" s="94" t="s">
        <v>157</v>
      </c>
      <c r="AH93" s="94" t="s">
        <v>157</v>
      </c>
      <c r="AI93" s="94" t="s">
        <v>157</v>
      </c>
      <c r="AJ93" s="94" t="s">
        <v>157</v>
      </c>
      <c r="AK93" s="94" t="s">
        <v>157</v>
      </c>
      <c r="AL93" s="94" t="s">
        <v>157</v>
      </c>
      <c r="AM93" s="94" t="s">
        <v>157</v>
      </c>
      <c r="AN93" s="94" t="s">
        <v>157</v>
      </c>
      <c r="AO93" s="94" t="s">
        <v>157</v>
      </c>
      <c r="AP93" s="94" t="s">
        <v>157</v>
      </c>
      <c r="AQ93" s="94" t="s">
        <v>157</v>
      </c>
      <c r="AR93" s="94" t="s">
        <v>157</v>
      </c>
      <c r="AS93" s="94" t="s">
        <v>157</v>
      </c>
      <c r="AT93" s="94" t="s">
        <v>157</v>
      </c>
      <c r="AU93" s="94" t="s">
        <v>157</v>
      </c>
      <c r="AV93" s="94" t="s">
        <v>157</v>
      </c>
      <c r="AW93" s="94" t="s">
        <v>157</v>
      </c>
      <c r="AX93" s="94" t="s">
        <v>157</v>
      </c>
      <c r="AY93" s="94" t="s">
        <v>157</v>
      </c>
      <c r="AZ93" s="94" t="s">
        <v>157</v>
      </c>
      <c r="BA93" s="94" t="s">
        <v>157</v>
      </c>
      <c r="BB93" s="94" t="s">
        <v>157</v>
      </c>
      <c r="BC93" s="94" t="s">
        <v>157</v>
      </c>
      <c r="BD93" s="94" t="s">
        <v>157</v>
      </c>
      <c r="BE93" s="94" t="s">
        <v>157</v>
      </c>
      <c r="BF93" s="94" t="s">
        <v>157</v>
      </c>
      <c r="BG93" s="94" t="s">
        <v>157</v>
      </c>
      <c r="BH93" s="94" t="s">
        <v>157</v>
      </c>
      <c r="BI93" s="94" t="s">
        <v>157</v>
      </c>
      <c r="BJ93" s="94" t="s">
        <v>157</v>
      </c>
      <c r="BK93" s="94" t="s">
        <v>157</v>
      </c>
      <c r="BL93" s="94" t="s">
        <v>157</v>
      </c>
      <c r="BM93" s="94" t="s">
        <v>157</v>
      </c>
      <c r="BN93" s="94" t="s">
        <v>157</v>
      </c>
      <c r="BO93" s="94" t="s">
        <v>157</v>
      </c>
      <c r="BP93" s="94" t="s">
        <v>157</v>
      </c>
      <c r="BQ93" s="94" t="s">
        <v>157</v>
      </c>
      <c r="BR93" s="94" t="s">
        <v>157</v>
      </c>
      <c r="BS93" s="94" t="s">
        <v>157</v>
      </c>
      <c r="BT93" s="94" t="s">
        <v>157</v>
      </c>
      <c r="BU93" s="94" t="s">
        <v>157</v>
      </c>
      <c r="BV93" s="94" t="s">
        <v>157</v>
      </c>
      <c r="BW93" s="99"/>
    </row>
    <row r="94" spans="2:75" x14ac:dyDescent="0.25">
      <c r="B94" s="94" t="s">
        <v>165</v>
      </c>
      <c r="C94" s="98">
        <v>41453</v>
      </c>
      <c r="D94" s="161"/>
      <c r="E94" s="94">
        <v>95.249999999999986</v>
      </c>
      <c r="F94" s="94">
        <v>95.625</v>
      </c>
      <c r="G94" s="94">
        <v>99.1</v>
      </c>
      <c r="H94" s="94">
        <v>114.70000000000002</v>
      </c>
      <c r="I94" s="94">
        <v>87.4</v>
      </c>
      <c r="J94" s="94">
        <v>96.55</v>
      </c>
      <c r="K94" s="94">
        <v>99.199999999999989</v>
      </c>
      <c r="L94" s="94">
        <v>103.92500000000001</v>
      </c>
      <c r="M94" s="94">
        <v>95.399999999999991</v>
      </c>
      <c r="N94" s="94">
        <v>98.674999999999997</v>
      </c>
      <c r="O94" s="94">
        <v>120.75</v>
      </c>
      <c r="P94" s="94" t="s">
        <v>166</v>
      </c>
      <c r="Q94" s="94">
        <v>108.35</v>
      </c>
      <c r="R94" s="94" t="s">
        <v>166</v>
      </c>
      <c r="S94" s="94">
        <v>122.55000000000001</v>
      </c>
      <c r="T94" s="94" t="s">
        <v>166</v>
      </c>
      <c r="U94" s="94">
        <v>84.25</v>
      </c>
      <c r="V94" s="94">
        <v>120.05000000000001</v>
      </c>
      <c r="W94" s="94">
        <v>113.85</v>
      </c>
      <c r="X94" s="94" t="s">
        <v>166</v>
      </c>
      <c r="Y94" s="94">
        <v>75.55</v>
      </c>
      <c r="Z94" s="94">
        <v>89.424999999999997</v>
      </c>
      <c r="AA94" s="94" t="s">
        <v>166</v>
      </c>
      <c r="AB94" s="94">
        <v>105.675</v>
      </c>
      <c r="AC94" s="95">
        <v>85.3</v>
      </c>
      <c r="AD94" s="95">
        <v>75.45</v>
      </c>
      <c r="AE94" s="95" t="s">
        <v>166</v>
      </c>
      <c r="AF94" s="95">
        <v>104.65</v>
      </c>
      <c r="AG94" s="95" t="s">
        <v>166</v>
      </c>
      <c r="AH94" s="95">
        <v>96.05</v>
      </c>
      <c r="AI94" s="95" t="s">
        <v>166</v>
      </c>
      <c r="AJ94" s="95">
        <v>102.05</v>
      </c>
      <c r="AK94" s="95" t="s">
        <v>166</v>
      </c>
      <c r="AL94" s="95">
        <v>85.474999999999994</v>
      </c>
      <c r="AM94" s="95">
        <v>113.17500000000001</v>
      </c>
      <c r="AN94" s="95">
        <v>100.57499999999999</v>
      </c>
      <c r="AO94" s="95">
        <v>102.97499999999999</v>
      </c>
      <c r="AP94" s="95" t="s">
        <v>166</v>
      </c>
      <c r="AQ94" s="95" t="s">
        <v>166</v>
      </c>
      <c r="AR94" s="95" t="s">
        <v>166</v>
      </c>
      <c r="AS94" s="95" t="s">
        <v>166</v>
      </c>
      <c r="AT94" s="95">
        <v>97.925000000000011</v>
      </c>
      <c r="AU94" s="95">
        <v>75.675000000000011</v>
      </c>
      <c r="AV94" s="94" t="s">
        <v>166</v>
      </c>
      <c r="AW94" s="94" t="s">
        <v>166</v>
      </c>
      <c r="AX94" s="94" t="s">
        <v>166</v>
      </c>
      <c r="AY94" s="94">
        <v>90.775000000000006</v>
      </c>
      <c r="AZ94" s="94" t="s">
        <v>166</v>
      </c>
      <c r="BA94" s="94" t="s">
        <v>166</v>
      </c>
      <c r="BB94" s="94" t="s">
        <v>166</v>
      </c>
      <c r="BC94" s="94" t="s">
        <v>166</v>
      </c>
      <c r="BD94" s="94">
        <v>88.649999999999991</v>
      </c>
      <c r="BE94" s="94" t="s">
        <v>166</v>
      </c>
      <c r="BF94" s="94" t="s">
        <v>166</v>
      </c>
      <c r="BG94" s="94">
        <v>108.54999999999998</v>
      </c>
      <c r="BH94" s="94">
        <v>116.5</v>
      </c>
      <c r="BI94" s="94">
        <v>119.75</v>
      </c>
      <c r="BJ94" s="94" t="s">
        <v>166</v>
      </c>
      <c r="BK94" s="94" t="s">
        <v>166</v>
      </c>
      <c r="BL94" s="94">
        <v>95.875</v>
      </c>
      <c r="BM94" s="94" t="s">
        <v>166</v>
      </c>
      <c r="BN94" s="94">
        <v>81</v>
      </c>
      <c r="BO94" s="94" t="s">
        <v>166</v>
      </c>
      <c r="BP94" s="94" t="s">
        <v>166</v>
      </c>
      <c r="BQ94" s="94" t="s">
        <v>166</v>
      </c>
      <c r="BR94" s="94" t="s">
        <v>166</v>
      </c>
      <c r="BS94" s="94" t="s">
        <v>166</v>
      </c>
      <c r="BT94" s="94" t="s">
        <v>166</v>
      </c>
      <c r="BU94" s="94" t="s">
        <v>166</v>
      </c>
      <c r="BV94" s="94" t="s">
        <v>166</v>
      </c>
      <c r="BW94" s="99"/>
    </row>
    <row r="95" spans="2:75" ht="17.25" x14ac:dyDescent="0.25">
      <c r="B95" s="94" t="s">
        <v>168</v>
      </c>
      <c r="C95" s="98">
        <v>41453</v>
      </c>
      <c r="D95" s="161"/>
      <c r="E95" s="94" t="s">
        <v>180</v>
      </c>
      <c r="F95" s="94" t="s">
        <v>180</v>
      </c>
      <c r="G95" s="94" t="s">
        <v>180</v>
      </c>
      <c r="H95" s="94" t="s">
        <v>180</v>
      </c>
      <c r="I95" s="94" t="s">
        <v>180</v>
      </c>
      <c r="J95" s="94" t="s">
        <v>180</v>
      </c>
      <c r="K95" s="94" t="s">
        <v>180</v>
      </c>
      <c r="L95" s="94" t="s">
        <v>180</v>
      </c>
      <c r="M95" s="94" t="s">
        <v>180</v>
      </c>
      <c r="N95" s="94" t="s">
        <v>180</v>
      </c>
      <c r="O95" s="94" t="s">
        <v>180</v>
      </c>
      <c r="P95" s="94" t="s">
        <v>166</v>
      </c>
      <c r="Q95" s="94" t="s">
        <v>180</v>
      </c>
      <c r="R95" s="94" t="s">
        <v>166</v>
      </c>
      <c r="S95" s="94" t="s">
        <v>180</v>
      </c>
      <c r="T95" s="94" t="s">
        <v>166</v>
      </c>
      <c r="U95" s="94" t="s">
        <v>180</v>
      </c>
      <c r="V95" s="94" t="s">
        <v>180</v>
      </c>
      <c r="W95" s="94" t="s">
        <v>180</v>
      </c>
      <c r="X95" s="94" t="s">
        <v>166</v>
      </c>
      <c r="Y95" s="94" t="s">
        <v>180</v>
      </c>
      <c r="Z95" s="94" t="s">
        <v>180</v>
      </c>
      <c r="AA95" s="94" t="s">
        <v>180</v>
      </c>
      <c r="AB95" s="94" t="s">
        <v>180</v>
      </c>
      <c r="AC95" s="94" t="s">
        <v>180</v>
      </c>
      <c r="AD95" s="94" t="s">
        <v>180</v>
      </c>
      <c r="AE95" s="94" t="s">
        <v>166</v>
      </c>
      <c r="AF95" s="94" t="s">
        <v>180</v>
      </c>
      <c r="AG95" s="94" t="s">
        <v>166</v>
      </c>
      <c r="AH95" s="94" t="s">
        <v>180</v>
      </c>
      <c r="AI95" s="94" t="s">
        <v>166</v>
      </c>
      <c r="AJ95" s="94" t="s">
        <v>180</v>
      </c>
      <c r="AK95" s="94" t="s">
        <v>166</v>
      </c>
      <c r="AL95" s="94" t="s">
        <v>180</v>
      </c>
      <c r="AM95" s="94" t="s">
        <v>180</v>
      </c>
      <c r="AN95" s="94" t="s">
        <v>180</v>
      </c>
      <c r="AO95" s="94" t="s">
        <v>180</v>
      </c>
      <c r="AP95" s="94" t="s">
        <v>166</v>
      </c>
      <c r="AQ95" s="94" t="s">
        <v>166</v>
      </c>
      <c r="AR95" s="94" t="s">
        <v>166</v>
      </c>
      <c r="AS95" s="94" t="s">
        <v>166</v>
      </c>
      <c r="AT95" s="94" t="s">
        <v>180</v>
      </c>
      <c r="AU95" s="94" t="s">
        <v>180</v>
      </c>
      <c r="AV95" s="94" t="s">
        <v>166</v>
      </c>
      <c r="AW95" s="94" t="s">
        <v>166</v>
      </c>
      <c r="AX95" s="94" t="s">
        <v>166</v>
      </c>
      <c r="AY95" s="94" t="s">
        <v>180</v>
      </c>
      <c r="AZ95" s="94" t="s">
        <v>166</v>
      </c>
      <c r="BA95" s="94" t="s">
        <v>166</v>
      </c>
      <c r="BB95" s="94" t="s">
        <v>166</v>
      </c>
      <c r="BC95" s="94" t="s">
        <v>166</v>
      </c>
      <c r="BD95" s="94" t="s">
        <v>180</v>
      </c>
      <c r="BE95" s="94" t="s">
        <v>166</v>
      </c>
      <c r="BF95" s="94" t="s">
        <v>166</v>
      </c>
      <c r="BG95" s="94" t="s">
        <v>180</v>
      </c>
      <c r="BH95" s="94" t="s">
        <v>180</v>
      </c>
      <c r="BI95" s="94" t="s">
        <v>180</v>
      </c>
      <c r="BJ95" s="94" t="s">
        <v>166</v>
      </c>
      <c r="BK95" s="94" t="s">
        <v>166</v>
      </c>
      <c r="BL95" s="94" t="s">
        <v>180</v>
      </c>
      <c r="BM95" s="94" t="s">
        <v>166</v>
      </c>
      <c r="BN95" s="94" t="s">
        <v>180</v>
      </c>
      <c r="BO95" s="94" t="s">
        <v>166</v>
      </c>
      <c r="BP95" s="94" t="s">
        <v>166</v>
      </c>
      <c r="BQ95" s="94" t="s">
        <v>166</v>
      </c>
      <c r="BR95" s="94" t="s">
        <v>166</v>
      </c>
      <c r="BS95" s="94" t="s">
        <v>166</v>
      </c>
      <c r="BT95" s="94" t="s">
        <v>166</v>
      </c>
      <c r="BU95" s="94" t="s">
        <v>166</v>
      </c>
      <c r="BV95" s="94" t="s">
        <v>166</v>
      </c>
      <c r="BW95" s="99"/>
    </row>
    <row r="96" spans="2:75" x14ac:dyDescent="0.25">
      <c r="B96" s="94" t="s">
        <v>170</v>
      </c>
      <c r="C96" s="98">
        <v>41453</v>
      </c>
      <c r="D96" s="161"/>
      <c r="E96" s="94" t="s">
        <v>169</v>
      </c>
      <c r="F96" s="94" t="s">
        <v>169</v>
      </c>
      <c r="G96" s="94" t="s">
        <v>169</v>
      </c>
      <c r="H96" s="94" t="s">
        <v>169</v>
      </c>
      <c r="I96" s="94" t="s">
        <v>169</v>
      </c>
      <c r="J96" s="94" t="s">
        <v>169</v>
      </c>
      <c r="K96" s="94" t="s">
        <v>169</v>
      </c>
      <c r="L96" s="94" t="s">
        <v>169</v>
      </c>
      <c r="M96" s="94" t="s">
        <v>169</v>
      </c>
      <c r="N96" s="94" t="s">
        <v>169</v>
      </c>
      <c r="O96" s="94" t="s">
        <v>169</v>
      </c>
      <c r="P96" s="94" t="s">
        <v>166</v>
      </c>
      <c r="Q96" s="94" t="s">
        <v>169</v>
      </c>
      <c r="R96" s="94" t="s">
        <v>166</v>
      </c>
      <c r="S96" s="94" t="s">
        <v>169</v>
      </c>
      <c r="T96" s="94" t="s">
        <v>166</v>
      </c>
      <c r="U96" s="94" t="s">
        <v>169</v>
      </c>
      <c r="V96" s="94" t="s">
        <v>169</v>
      </c>
      <c r="W96" s="94" t="s">
        <v>169</v>
      </c>
      <c r="X96" s="94" t="s">
        <v>166</v>
      </c>
      <c r="Y96" s="94" t="s">
        <v>169</v>
      </c>
      <c r="Z96" s="94" t="s">
        <v>169</v>
      </c>
      <c r="AA96" s="94" t="s">
        <v>169</v>
      </c>
      <c r="AB96" s="94" t="s">
        <v>169</v>
      </c>
      <c r="AC96" s="94" t="s">
        <v>169</v>
      </c>
      <c r="AD96" s="94" t="s">
        <v>169</v>
      </c>
      <c r="AE96" s="94" t="s">
        <v>166</v>
      </c>
      <c r="AF96" s="94" t="s">
        <v>169</v>
      </c>
      <c r="AG96" s="94" t="s">
        <v>166</v>
      </c>
      <c r="AH96" s="94" t="s">
        <v>169</v>
      </c>
      <c r="AI96" s="94" t="s">
        <v>166</v>
      </c>
      <c r="AJ96" s="94" t="s">
        <v>169</v>
      </c>
      <c r="AK96" s="94" t="s">
        <v>166</v>
      </c>
      <c r="AL96" s="94" t="s">
        <v>169</v>
      </c>
      <c r="AM96" s="94" t="s">
        <v>169</v>
      </c>
      <c r="AN96" s="94" t="s">
        <v>169</v>
      </c>
      <c r="AO96" s="94" t="s">
        <v>169</v>
      </c>
      <c r="AP96" s="94" t="s">
        <v>166</v>
      </c>
      <c r="AQ96" s="94" t="s">
        <v>166</v>
      </c>
      <c r="AR96" s="94" t="s">
        <v>166</v>
      </c>
      <c r="AS96" s="94" t="s">
        <v>166</v>
      </c>
      <c r="AT96" s="94" t="s">
        <v>169</v>
      </c>
      <c r="AU96" s="94" t="s">
        <v>169</v>
      </c>
      <c r="AV96" s="94" t="s">
        <v>166</v>
      </c>
      <c r="AW96" s="94" t="s">
        <v>166</v>
      </c>
      <c r="AX96" s="94" t="s">
        <v>166</v>
      </c>
      <c r="AY96" s="94" t="s">
        <v>169</v>
      </c>
      <c r="AZ96" s="94" t="s">
        <v>166</v>
      </c>
      <c r="BA96" s="94" t="s">
        <v>166</v>
      </c>
      <c r="BB96" s="94" t="s">
        <v>166</v>
      </c>
      <c r="BC96" s="94" t="s">
        <v>166</v>
      </c>
      <c r="BD96" s="94" t="s">
        <v>169</v>
      </c>
      <c r="BE96" s="94" t="s">
        <v>166</v>
      </c>
      <c r="BF96" s="94" t="s">
        <v>166</v>
      </c>
      <c r="BG96" s="94" t="s">
        <v>169</v>
      </c>
      <c r="BH96" s="94" t="s">
        <v>169</v>
      </c>
      <c r="BI96" s="94" t="s">
        <v>169</v>
      </c>
      <c r="BJ96" s="94" t="s">
        <v>166</v>
      </c>
      <c r="BK96" s="94" t="s">
        <v>166</v>
      </c>
      <c r="BL96" s="94" t="s">
        <v>169</v>
      </c>
      <c r="BM96" s="94" t="s">
        <v>166</v>
      </c>
      <c r="BN96" s="94" t="s">
        <v>169</v>
      </c>
      <c r="BO96" s="94" t="s">
        <v>169</v>
      </c>
      <c r="BP96" s="94" t="s">
        <v>169</v>
      </c>
      <c r="BQ96" s="94" t="s">
        <v>169</v>
      </c>
      <c r="BR96" s="94" t="s">
        <v>169</v>
      </c>
      <c r="BS96" s="94" t="s">
        <v>169</v>
      </c>
      <c r="BT96" s="94" t="s">
        <v>169</v>
      </c>
      <c r="BU96" s="94" t="s">
        <v>169</v>
      </c>
      <c r="BV96" s="94" t="s">
        <v>169</v>
      </c>
      <c r="BW96" s="99"/>
    </row>
    <row r="97" spans="2:75" x14ac:dyDescent="0.25">
      <c r="B97" t="s">
        <v>205</v>
      </c>
      <c r="C97" s="142">
        <v>41453</v>
      </c>
      <c r="D97" s="161"/>
      <c r="E97" s="152" t="s">
        <v>175</v>
      </c>
      <c r="F97" s="152">
        <v>39.087262559403626</v>
      </c>
      <c r="G97" s="152">
        <v>10.983515601841139</v>
      </c>
      <c r="H97" s="152">
        <v>12.264644799196821</v>
      </c>
      <c r="I97" s="152">
        <v>11.377061368049631</v>
      </c>
      <c r="J97" s="152">
        <v>19.355464812864465</v>
      </c>
      <c r="K97" s="152">
        <v>5.8804643912480525</v>
      </c>
      <c r="L97" s="152" t="s">
        <v>175</v>
      </c>
      <c r="M97" s="152" t="s">
        <v>175</v>
      </c>
      <c r="N97" s="152" t="s">
        <v>175</v>
      </c>
      <c r="O97" s="152" t="s">
        <v>175</v>
      </c>
      <c r="P97" s="152" t="s">
        <v>175</v>
      </c>
      <c r="Q97" s="152" t="s">
        <v>175</v>
      </c>
      <c r="R97" s="152" t="s">
        <v>175</v>
      </c>
      <c r="S97" s="152" t="s">
        <v>175</v>
      </c>
      <c r="T97" s="152" t="s">
        <v>175</v>
      </c>
      <c r="U97" s="152" t="s">
        <v>175</v>
      </c>
      <c r="V97" s="152" t="s">
        <v>175</v>
      </c>
      <c r="W97" s="152" t="s">
        <v>175</v>
      </c>
      <c r="X97" s="152" t="s">
        <v>175</v>
      </c>
      <c r="Y97" s="152" t="s">
        <v>175</v>
      </c>
      <c r="Z97" s="152">
        <v>8.2500133492149335</v>
      </c>
      <c r="AA97" s="152" t="s">
        <v>175</v>
      </c>
      <c r="AB97" s="152" t="s">
        <v>175</v>
      </c>
      <c r="AC97" s="152" t="s">
        <v>175</v>
      </c>
      <c r="AD97" s="152" t="s">
        <v>175</v>
      </c>
      <c r="AE97" s="152" t="s">
        <v>175</v>
      </c>
      <c r="AF97" s="152">
        <v>11.52222640228223</v>
      </c>
      <c r="AG97" s="152" t="s">
        <v>175</v>
      </c>
      <c r="AH97" s="152">
        <v>17.951800453000512</v>
      </c>
      <c r="AI97" s="152" t="s">
        <v>175</v>
      </c>
      <c r="AJ97" s="152">
        <v>14.084118948318242</v>
      </c>
      <c r="AK97" s="152" t="s">
        <v>175</v>
      </c>
      <c r="AL97" s="152" t="s">
        <v>175</v>
      </c>
      <c r="AM97" s="152" t="s">
        <v>175</v>
      </c>
      <c r="AN97" s="152">
        <v>5.4432459804037077</v>
      </c>
      <c r="AO97" s="152">
        <v>18.851964908086444</v>
      </c>
      <c r="AP97" s="152" t="s">
        <v>175</v>
      </c>
      <c r="AQ97" s="152" t="s">
        <v>175</v>
      </c>
      <c r="AR97" s="152" t="s">
        <v>175</v>
      </c>
      <c r="AS97" s="152" t="s">
        <v>175</v>
      </c>
      <c r="AT97" s="152" t="s">
        <v>175</v>
      </c>
      <c r="AU97" s="152" t="s">
        <v>175</v>
      </c>
      <c r="AV97" s="152" t="s">
        <v>175</v>
      </c>
      <c r="AW97" s="152" t="s">
        <v>175</v>
      </c>
      <c r="AX97" s="152" t="s">
        <v>175</v>
      </c>
      <c r="AY97" s="152" t="s">
        <v>175</v>
      </c>
      <c r="AZ97" s="152" t="s">
        <v>175</v>
      </c>
      <c r="BA97" s="152" t="s">
        <v>175</v>
      </c>
      <c r="BB97" s="152" t="s">
        <v>175</v>
      </c>
      <c r="BC97" s="152" t="s">
        <v>175</v>
      </c>
      <c r="BD97" s="152" t="s">
        <v>175</v>
      </c>
      <c r="BE97" s="152" t="s">
        <v>175</v>
      </c>
      <c r="BF97" s="152" t="s">
        <v>175</v>
      </c>
      <c r="BG97" s="152" t="s">
        <v>175</v>
      </c>
      <c r="BH97" s="152" t="s">
        <v>175</v>
      </c>
      <c r="BI97" s="152" t="s">
        <v>175</v>
      </c>
      <c r="BJ97" s="152">
        <v>15.95198973539399</v>
      </c>
      <c r="BK97" s="152" t="s">
        <v>175</v>
      </c>
      <c r="BL97" s="152" t="s">
        <v>175</v>
      </c>
      <c r="BM97" s="152" t="s">
        <v>175</v>
      </c>
      <c r="BN97" s="152">
        <v>66.792672207067042</v>
      </c>
      <c r="BO97" s="152" t="s">
        <v>175</v>
      </c>
      <c r="BP97" s="152" t="s">
        <v>175</v>
      </c>
      <c r="BQ97" s="152" t="s">
        <v>175</v>
      </c>
      <c r="BR97" s="152" t="s">
        <v>175</v>
      </c>
      <c r="BS97" s="152" t="s">
        <v>175</v>
      </c>
      <c r="BT97" s="152" t="s">
        <v>175</v>
      </c>
      <c r="BU97" s="152" t="s">
        <v>175</v>
      </c>
      <c r="BV97" s="152" t="s">
        <v>175</v>
      </c>
      <c r="BW97" s="99"/>
    </row>
    <row r="98" spans="2:75" s="152" customFormat="1" x14ac:dyDescent="0.25">
      <c r="C98" s="153"/>
      <c r="D98" s="160"/>
    </row>
    <row r="99" spans="2:75" x14ac:dyDescent="0.25">
      <c r="B99" s="101" t="s">
        <v>163</v>
      </c>
      <c r="C99" s="103">
        <v>41457</v>
      </c>
      <c r="D99" s="161"/>
      <c r="E99" s="105" t="s">
        <v>157</v>
      </c>
      <c r="F99" s="101" t="s">
        <v>157</v>
      </c>
      <c r="G99" s="101" t="s">
        <v>157</v>
      </c>
      <c r="H99" s="101" t="s">
        <v>157</v>
      </c>
      <c r="I99" s="101" t="s">
        <v>157</v>
      </c>
      <c r="J99" s="101" t="s">
        <v>157</v>
      </c>
      <c r="K99" s="101" t="s">
        <v>157</v>
      </c>
      <c r="L99" s="101" t="s">
        <v>157</v>
      </c>
      <c r="M99" s="101" t="s">
        <v>157</v>
      </c>
      <c r="N99" s="101" t="s">
        <v>157</v>
      </c>
      <c r="O99" s="101" t="s">
        <v>157</v>
      </c>
      <c r="P99" s="101" t="s">
        <v>157</v>
      </c>
      <c r="Q99" s="101" t="s">
        <v>157</v>
      </c>
      <c r="R99" s="101" t="s">
        <v>157</v>
      </c>
      <c r="S99" s="101" t="s">
        <v>157</v>
      </c>
      <c r="T99" s="101" t="s">
        <v>157</v>
      </c>
      <c r="U99" s="101" t="s">
        <v>157</v>
      </c>
      <c r="V99" s="101" t="s">
        <v>157</v>
      </c>
      <c r="W99" s="101" t="s">
        <v>157</v>
      </c>
      <c r="X99" s="101" t="s">
        <v>157</v>
      </c>
      <c r="Y99" s="101" t="s">
        <v>157</v>
      </c>
      <c r="Z99" s="101" t="s">
        <v>157</v>
      </c>
      <c r="AA99" s="101" t="s">
        <v>157</v>
      </c>
      <c r="AB99" s="101" t="s">
        <v>157</v>
      </c>
      <c r="AC99" s="101" t="s">
        <v>157</v>
      </c>
      <c r="AD99" s="101" t="s">
        <v>157</v>
      </c>
      <c r="AE99" s="101" t="s">
        <v>157</v>
      </c>
      <c r="AF99" s="101" t="s">
        <v>157</v>
      </c>
      <c r="AG99" s="106" t="s">
        <v>157</v>
      </c>
      <c r="AH99" s="105" t="s">
        <v>157</v>
      </c>
      <c r="AI99" s="101" t="s">
        <v>157</v>
      </c>
      <c r="AJ99" s="102" t="s">
        <v>157</v>
      </c>
      <c r="AK99" s="101" t="s">
        <v>157</v>
      </c>
      <c r="AL99" s="101" t="s">
        <v>157</v>
      </c>
      <c r="AM99" s="101" t="s">
        <v>157</v>
      </c>
      <c r="AN99" s="101" t="s">
        <v>157</v>
      </c>
      <c r="AO99" s="101" t="s">
        <v>157</v>
      </c>
      <c r="AP99" s="101" t="s">
        <v>157</v>
      </c>
      <c r="AQ99" s="101" t="s">
        <v>157</v>
      </c>
      <c r="AR99" s="101" t="s">
        <v>157</v>
      </c>
      <c r="AS99" s="101" t="s">
        <v>157</v>
      </c>
      <c r="AT99" s="102" t="s">
        <v>157</v>
      </c>
      <c r="AU99" s="101" t="s">
        <v>157</v>
      </c>
      <c r="AV99" s="101" t="s">
        <v>157</v>
      </c>
      <c r="AW99" s="101" t="s">
        <v>157</v>
      </c>
      <c r="AX99" s="101" t="s">
        <v>157</v>
      </c>
      <c r="AY99" s="102" t="s">
        <v>157</v>
      </c>
      <c r="AZ99" s="101" t="s">
        <v>157</v>
      </c>
      <c r="BA99" s="101" t="s">
        <v>157</v>
      </c>
      <c r="BB99" s="101" t="s">
        <v>157</v>
      </c>
      <c r="BC99" s="101" t="s">
        <v>157</v>
      </c>
      <c r="BD99" s="101" t="s">
        <v>157</v>
      </c>
      <c r="BE99" s="101" t="s">
        <v>157</v>
      </c>
      <c r="BF99" s="101" t="s">
        <v>157</v>
      </c>
      <c r="BG99" s="101" t="s">
        <v>157</v>
      </c>
      <c r="BH99" s="101" t="s">
        <v>157</v>
      </c>
      <c r="BI99" s="101" t="s">
        <v>157</v>
      </c>
      <c r="BJ99" s="101" t="s">
        <v>157</v>
      </c>
      <c r="BK99" s="101" t="s">
        <v>157</v>
      </c>
      <c r="BL99" s="101" t="s">
        <v>157</v>
      </c>
      <c r="BM99" s="101" t="s">
        <v>157</v>
      </c>
      <c r="BN99" s="102" t="s">
        <v>157</v>
      </c>
      <c r="BO99" s="101" t="s">
        <v>157</v>
      </c>
      <c r="BP99" s="101" t="s">
        <v>157</v>
      </c>
      <c r="BQ99" s="101" t="s">
        <v>157</v>
      </c>
      <c r="BR99" s="101" t="s">
        <v>157</v>
      </c>
      <c r="BS99" s="101" t="s">
        <v>157</v>
      </c>
      <c r="BT99" s="101" t="s">
        <v>157</v>
      </c>
      <c r="BU99" s="101" t="s">
        <v>157</v>
      </c>
      <c r="BV99" s="101" t="s">
        <v>157</v>
      </c>
      <c r="BW99" s="99"/>
    </row>
    <row r="100" spans="2:75" x14ac:dyDescent="0.25">
      <c r="B100" s="101" t="s">
        <v>164</v>
      </c>
      <c r="C100" s="103">
        <v>41457</v>
      </c>
      <c r="D100" s="161"/>
      <c r="E100" s="105" t="s">
        <v>157</v>
      </c>
      <c r="F100" s="101" t="s">
        <v>157</v>
      </c>
      <c r="G100" s="101" t="s">
        <v>157</v>
      </c>
      <c r="H100" s="101" t="s">
        <v>157</v>
      </c>
      <c r="I100" s="101" t="s">
        <v>157</v>
      </c>
      <c r="J100" s="101" t="s">
        <v>157</v>
      </c>
      <c r="K100" s="101" t="s">
        <v>157</v>
      </c>
      <c r="L100" s="101" t="s">
        <v>157</v>
      </c>
      <c r="M100" s="101" t="s">
        <v>157</v>
      </c>
      <c r="N100" s="101" t="s">
        <v>157</v>
      </c>
      <c r="O100" s="101" t="s">
        <v>157</v>
      </c>
      <c r="P100" s="101" t="s">
        <v>157</v>
      </c>
      <c r="Q100" s="101" t="s">
        <v>157</v>
      </c>
      <c r="R100" s="101" t="s">
        <v>157</v>
      </c>
      <c r="S100" s="101" t="s">
        <v>157</v>
      </c>
      <c r="T100" s="101" t="s">
        <v>157</v>
      </c>
      <c r="U100" s="101" t="s">
        <v>157</v>
      </c>
      <c r="V100" s="101" t="s">
        <v>157</v>
      </c>
      <c r="W100" s="101" t="s">
        <v>157</v>
      </c>
      <c r="X100" s="101" t="s">
        <v>157</v>
      </c>
      <c r="Y100" s="101" t="s">
        <v>157</v>
      </c>
      <c r="Z100" s="101" t="s">
        <v>157</v>
      </c>
      <c r="AA100" s="101" t="s">
        <v>157</v>
      </c>
      <c r="AB100" s="101" t="s">
        <v>157</v>
      </c>
      <c r="AC100" s="101" t="s">
        <v>157</v>
      </c>
      <c r="AD100" s="101" t="s">
        <v>157</v>
      </c>
      <c r="AE100" s="101" t="s">
        <v>157</v>
      </c>
      <c r="AF100" s="101" t="s">
        <v>157</v>
      </c>
      <c r="AG100" s="106" t="s">
        <v>157</v>
      </c>
      <c r="AH100" s="105" t="s">
        <v>157</v>
      </c>
      <c r="AI100" s="101" t="s">
        <v>157</v>
      </c>
      <c r="AJ100" s="102" t="s">
        <v>157</v>
      </c>
      <c r="AK100" s="101" t="s">
        <v>157</v>
      </c>
      <c r="AL100" s="101" t="s">
        <v>157</v>
      </c>
      <c r="AM100" s="101" t="s">
        <v>157</v>
      </c>
      <c r="AN100" s="101" t="s">
        <v>157</v>
      </c>
      <c r="AO100" s="101" t="s">
        <v>157</v>
      </c>
      <c r="AP100" s="101" t="s">
        <v>157</v>
      </c>
      <c r="AQ100" s="101" t="s">
        <v>157</v>
      </c>
      <c r="AR100" s="101" t="s">
        <v>157</v>
      </c>
      <c r="AS100" s="101" t="s">
        <v>157</v>
      </c>
      <c r="AT100" s="101" t="s">
        <v>157</v>
      </c>
      <c r="AU100" s="101" t="s">
        <v>157</v>
      </c>
      <c r="AV100" s="101" t="s">
        <v>157</v>
      </c>
      <c r="AW100" s="101" t="s">
        <v>157</v>
      </c>
      <c r="AX100" s="101" t="s">
        <v>157</v>
      </c>
      <c r="AY100" s="101" t="s">
        <v>157</v>
      </c>
      <c r="AZ100" s="101" t="s">
        <v>157</v>
      </c>
      <c r="BA100" s="101" t="s">
        <v>157</v>
      </c>
      <c r="BB100" s="101" t="s">
        <v>157</v>
      </c>
      <c r="BC100" s="101" t="s">
        <v>157</v>
      </c>
      <c r="BD100" s="101" t="s">
        <v>157</v>
      </c>
      <c r="BE100" s="101" t="s">
        <v>157</v>
      </c>
      <c r="BF100" s="101" t="s">
        <v>157</v>
      </c>
      <c r="BG100" s="101" t="s">
        <v>157</v>
      </c>
      <c r="BH100" s="101" t="s">
        <v>157</v>
      </c>
      <c r="BI100" s="101" t="s">
        <v>157</v>
      </c>
      <c r="BJ100" s="101" t="s">
        <v>157</v>
      </c>
      <c r="BK100" s="101" t="s">
        <v>157</v>
      </c>
      <c r="BL100" s="101" t="s">
        <v>157</v>
      </c>
      <c r="BM100" s="101" t="s">
        <v>157</v>
      </c>
      <c r="BN100" s="102" t="s">
        <v>157</v>
      </c>
      <c r="BO100" s="101" t="s">
        <v>157</v>
      </c>
      <c r="BP100" s="101" t="s">
        <v>157</v>
      </c>
      <c r="BQ100" s="101" t="s">
        <v>157</v>
      </c>
      <c r="BR100" s="101" t="s">
        <v>157</v>
      </c>
      <c r="BS100" s="101" t="s">
        <v>157</v>
      </c>
      <c r="BT100" s="101" t="s">
        <v>157</v>
      </c>
      <c r="BU100" s="101" t="s">
        <v>157</v>
      </c>
      <c r="BV100" s="101" t="s">
        <v>157</v>
      </c>
      <c r="BW100" s="99"/>
    </row>
    <row r="101" spans="2:75" x14ac:dyDescent="0.25">
      <c r="B101" s="101" t="s">
        <v>165</v>
      </c>
      <c r="C101" s="103">
        <v>41457</v>
      </c>
      <c r="D101" s="161"/>
      <c r="E101" s="106">
        <v>85.066666666666663</v>
      </c>
      <c r="F101" s="101">
        <v>83.55</v>
      </c>
      <c r="G101" s="101">
        <v>91.566666666666663</v>
      </c>
      <c r="H101" s="101">
        <v>101.08333333333333</v>
      </c>
      <c r="I101" s="101">
        <v>94.86666666666666</v>
      </c>
      <c r="J101" s="101">
        <v>101.81666666666666</v>
      </c>
      <c r="K101" s="101">
        <v>96.416666666666671</v>
      </c>
      <c r="L101" s="101">
        <v>91.75</v>
      </c>
      <c r="M101" s="101">
        <v>92.5</v>
      </c>
      <c r="N101" s="101">
        <v>99.600000000000009</v>
      </c>
      <c r="O101" s="101">
        <v>112.51666666666665</v>
      </c>
      <c r="P101" s="99" t="s">
        <v>166</v>
      </c>
      <c r="Q101" s="101">
        <v>119.96666666666668</v>
      </c>
      <c r="R101" s="99" t="s">
        <v>166</v>
      </c>
      <c r="S101" s="101">
        <v>102.26666666666667</v>
      </c>
      <c r="T101" s="99" t="s">
        <v>166</v>
      </c>
      <c r="U101" s="101">
        <v>95.183333333333337</v>
      </c>
      <c r="V101" s="101">
        <v>125.44999999999999</v>
      </c>
      <c r="W101" s="101">
        <v>71.95</v>
      </c>
      <c r="X101" s="99" t="s">
        <v>166</v>
      </c>
      <c r="Y101" s="101">
        <v>99.116666666666674</v>
      </c>
      <c r="Z101" s="102">
        <v>107.76666666666667</v>
      </c>
      <c r="AA101" s="100" t="s">
        <v>166</v>
      </c>
      <c r="AB101" s="102">
        <v>92.350000000000009</v>
      </c>
      <c r="AC101" s="102">
        <v>79.833333333333329</v>
      </c>
      <c r="AD101" s="101">
        <v>82.316666666666663</v>
      </c>
      <c r="AE101" s="99" t="s">
        <v>166</v>
      </c>
      <c r="AF101" s="101">
        <v>103.8</v>
      </c>
      <c r="AG101" s="105" t="s">
        <v>166</v>
      </c>
      <c r="AH101" s="106">
        <v>88.75</v>
      </c>
      <c r="AI101" s="99" t="s">
        <v>166</v>
      </c>
      <c r="AJ101" s="101">
        <v>93.05</v>
      </c>
      <c r="AK101" s="99" t="s">
        <v>166</v>
      </c>
      <c r="AL101" s="101">
        <v>101.95</v>
      </c>
      <c r="AM101" s="101">
        <v>71.2</v>
      </c>
      <c r="AN101" s="102">
        <v>110.91666666666667</v>
      </c>
      <c r="AO101" s="101">
        <v>88.216666666666654</v>
      </c>
      <c r="AP101" s="99" t="s">
        <v>166</v>
      </c>
      <c r="AQ101" s="99" t="s">
        <v>166</v>
      </c>
      <c r="AR101" s="99" t="s">
        <v>166</v>
      </c>
      <c r="AS101" s="99" t="s">
        <v>166</v>
      </c>
      <c r="AT101" s="101">
        <v>99.13333333333334</v>
      </c>
      <c r="AU101" s="101">
        <v>72.716666666666654</v>
      </c>
      <c r="AV101" s="99" t="s">
        <v>166</v>
      </c>
      <c r="AW101" s="99" t="s">
        <v>166</v>
      </c>
      <c r="AX101" s="99" t="s">
        <v>166</v>
      </c>
      <c r="AY101" s="101">
        <v>94.149999999999991</v>
      </c>
      <c r="AZ101" s="99" t="s">
        <v>166</v>
      </c>
      <c r="BA101" s="99" t="s">
        <v>166</v>
      </c>
      <c r="BB101" s="99" t="s">
        <v>166</v>
      </c>
      <c r="BC101" s="99" t="s">
        <v>166</v>
      </c>
      <c r="BD101" s="101">
        <v>95.883333333333326</v>
      </c>
      <c r="BE101" s="99" t="s">
        <v>166</v>
      </c>
      <c r="BF101" s="99" t="s">
        <v>166</v>
      </c>
      <c r="BG101" s="101">
        <v>102.06666666666666</v>
      </c>
      <c r="BH101" s="101">
        <v>111.21666666666668</v>
      </c>
      <c r="BI101" s="102">
        <v>113.8</v>
      </c>
      <c r="BJ101" s="99" t="s">
        <v>166</v>
      </c>
      <c r="BK101" s="99" t="s">
        <v>166</v>
      </c>
      <c r="BL101" s="101">
        <v>88.216666666666654</v>
      </c>
      <c r="BM101" s="99" t="s">
        <v>166</v>
      </c>
      <c r="BN101" s="101">
        <v>91.3</v>
      </c>
      <c r="BO101" s="99" t="s">
        <v>166</v>
      </c>
      <c r="BP101" s="99" t="s">
        <v>166</v>
      </c>
      <c r="BQ101" s="99" t="s">
        <v>166</v>
      </c>
      <c r="BR101" s="99" t="s">
        <v>166</v>
      </c>
      <c r="BS101" s="99" t="s">
        <v>166</v>
      </c>
      <c r="BT101" s="99" t="s">
        <v>166</v>
      </c>
      <c r="BU101" s="99" t="s">
        <v>166</v>
      </c>
      <c r="BV101" s="99" t="s">
        <v>166</v>
      </c>
      <c r="BW101" s="99"/>
    </row>
    <row r="102" spans="2:75" ht="17.25" x14ac:dyDescent="0.25">
      <c r="B102" s="102" t="s">
        <v>168</v>
      </c>
      <c r="C102" s="103">
        <v>41457</v>
      </c>
      <c r="D102" s="161"/>
      <c r="E102" s="106">
        <v>0.99</v>
      </c>
      <c r="F102" s="102">
        <v>0.99299999999999999</v>
      </c>
      <c r="G102" s="102">
        <v>0.997</v>
      </c>
      <c r="H102" s="102">
        <v>0.99099999999999999</v>
      </c>
      <c r="I102" s="102">
        <v>0.995</v>
      </c>
      <c r="J102" s="102">
        <v>0.995</v>
      </c>
      <c r="K102" s="102">
        <v>0.995</v>
      </c>
      <c r="L102" s="102">
        <v>0.99299999999999999</v>
      </c>
      <c r="M102" s="102">
        <v>0.996</v>
      </c>
      <c r="N102" s="102">
        <v>0.996</v>
      </c>
      <c r="O102" s="102">
        <v>0.98899999999999999</v>
      </c>
      <c r="P102" s="99" t="s">
        <v>166</v>
      </c>
      <c r="Q102" s="102">
        <v>0.98399999999999999</v>
      </c>
      <c r="R102" s="99" t="s">
        <v>166</v>
      </c>
      <c r="S102" s="102">
        <v>0.98899999999999999</v>
      </c>
      <c r="T102" s="99" t="s">
        <v>166</v>
      </c>
      <c r="U102" s="102">
        <v>0.99099999999999999</v>
      </c>
      <c r="V102" s="102">
        <v>0.98099999999999998</v>
      </c>
      <c r="W102" s="102">
        <v>0.98599999999999999</v>
      </c>
      <c r="X102" s="99" t="s">
        <v>166</v>
      </c>
      <c r="Y102" s="102">
        <v>0.98099999999999998</v>
      </c>
      <c r="Z102" s="102">
        <v>0.98699999999999999</v>
      </c>
      <c r="AA102" s="100" t="s">
        <v>166</v>
      </c>
      <c r="AB102" s="102">
        <v>0.98699999999999999</v>
      </c>
      <c r="AC102" s="102">
        <v>1</v>
      </c>
      <c r="AD102" s="102">
        <v>0.97399999999999998</v>
      </c>
      <c r="AE102" s="99" t="s">
        <v>166</v>
      </c>
      <c r="AF102" s="102">
        <v>0.997</v>
      </c>
      <c r="AG102" s="99" t="s">
        <v>166</v>
      </c>
      <c r="AH102" s="102">
        <v>0.99299999999999999</v>
      </c>
      <c r="AI102" s="99" t="s">
        <v>166</v>
      </c>
      <c r="AJ102" s="102">
        <v>0.995</v>
      </c>
      <c r="AK102" s="99" t="s">
        <v>166</v>
      </c>
      <c r="AL102" s="102">
        <v>0.995</v>
      </c>
      <c r="AM102" s="102">
        <v>0.999</v>
      </c>
      <c r="AN102" s="102">
        <v>0.996</v>
      </c>
      <c r="AO102" s="102">
        <v>0.98299999999999998</v>
      </c>
      <c r="AP102" s="99" t="s">
        <v>166</v>
      </c>
      <c r="AQ102" s="99" t="s">
        <v>166</v>
      </c>
      <c r="AR102" s="99" t="s">
        <v>166</v>
      </c>
      <c r="AS102" s="99" t="s">
        <v>166</v>
      </c>
      <c r="AT102" s="102">
        <v>0.998</v>
      </c>
      <c r="AU102" s="102">
        <v>0.997</v>
      </c>
      <c r="AV102" s="99" t="s">
        <v>166</v>
      </c>
      <c r="AW102" s="99" t="s">
        <v>166</v>
      </c>
      <c r="AX102" s="99" t="s">
        <v>166</v>
      </c>
      <c r="AY102" s="102">
        <v>0.995</v>
      </c>
      <c r="AZ102" s="99" t="s">
        <v>166</v>
      </c>
      <c r="BA102" s="99" t="s">
        <v>166</v>
      </c>
      <c r="BB102" s="99" t="s">
        <v>166</v>
      </c>
      <c r="BC102" s="99" t="s">
        <v>166</v>
      </c>
      <c r="BD102" s="102">
        <v>0.99099999999999999</v>
      </c>
      <c r="BE102" s="99" t="s">
        <v>166</v>
      </c>
      <c r="BF102" s="99" t="s">
        <v>166</v>
      </c>
      <c r="BG102" s="102">
        <v>0.999</v>
      </c>
      <c r="BH102" s="102">
        <v>0.998</v>
      </c>
      <c r="BI102" s="102">
        <v>0.999</v>
      </c>
      <c r="BJ102" s="99" t="s">
        <v>166</v>
      </c>
      <c r="BK102" s="99" t="s">
        <v>166</v>
      </c>
      <c r="BL102" s="102">
        <v>0.995</v>
      </c>
      <c r="BM102" s="99" t="s">
        <v>166</v>
      </c>
      <c r="BN102" s="102">
        <v>0.995</v>
      </c>
      <c r="BO102" s="99" t="s">
        <v>166</v>
      </c>
      <c r="BP102" s="99" t="s">
        <v>166</v>
      </c>
      <c r="BQ102" s="99" t="s">
        <v>166</v>
      </c>
      <c r="BR102" s="99" t="s">
        <v>166</v>
      </c>
      <c r="BS102" s="99" t="s">
        <v>166</v>
      </c>
      <c r="BT102" s="99" t="s">
        <v>166</v>
      </c>
      <c r="BU102" s="99" t="s">
        <v>166</v>
      </c>
      <c r="BV102" s="99" t="s">
        <v>166</v>
      </c>
      <c r="BW102" s="99"/>
    </row>
    <row r="103" spans="2:75" x14ac:dyDescent="0.25">
      <c r="B103" s="102" t="s">
        <v>170</v>
      </c>
      <c r="C103" s="103">
        <v>41457</v>
      </c>
      <c r="D103" s="161"/>
      <c r="E103" s="106" t="s">
        <v>169</v>
      </c>
      <c r="F103" s="102" t="s">
        <v>169</v>
      </c>
      <c r="G103" s="102" t="s">
        <v>169</v>
      </c>
      <c r="H103" s="102" t="s">
        <v>169</v>
      </c>
      <c r="I103" s="102" t="s">
        <v>169</v>
      </c>
      <c r="J103" s="102" t="s">
        <v>169</v>
      </c>
      <c r="K103" s="102" t="s">
        <v>169</v>
      </c>
      <c r="L103" s="102" t="s">
        <v>169</v>
      </c>
      <c r="M103" s="102" t="s">
        <v>169</v>
      </c>
      <c r="N103" s="102" t="s">
        <v>169</v>
      </c>
      <c r="O103" s="102" t="s">
        <v>169</v>
      </c>
      <c r="P103" s="99" t="s">
        <v>166</v>
      </c>
      <c r="Q103" s="102" t="s">
        <v>169</v>
      </c>
      <c r="R103" s="99" t="s">
        <v>166</v>
      </c>
      <c r="S103" s="102" t="s">
        <v>169</v>
      </c>
      <c r="T103" s="99" t="s">
        <v>166</v>
      </c>
      <c r="U103" s="102" t="s">
        <v>169</v>
      </c>
      <c r="V103" s="102" t="s">
        <v>169</v>
      </c>
      <c r="W103" s="102" t="s">
        <v>169</v>
      </c>
      <c r="X103" s="100" t="s">
        <v>166</v>
      </c>
      <c r="Y103" s="102" t="s">
        <v>169</v>
      </c>
      <c r="Z103" s="102" t="s">
        <v>169</v>
      </c>
      <c r="AA103" s="102" t="s">
        <v>169</v>
      </c>
      <c r="AB103" s="102" t="s">
        <v>169</v>
      </c>
      <c r="AC103" s="102" t="s">
        <v>169</v>
      </c>
      <c r="AD103" s="102" t="s">
        <v>169</v>
      </c>
      <c r="AE103" s="99" t="s">
        <v>166</v>
      </c>
      <c r="AF103" s="102" t="s">
        <v>169</v>
      </c>
      <c r="AG103" s="99" t="s">
        <v>166</v>
      </c>
      <c r="AH103" s="102" t="s">
        <v>169</v>
      </c>
      <c r="AI103" s="99" t="s">
        <v>166</v>
      </c>
      <c r="AJ103" s="102" t="s">
        <v>169</v>
      </c>
      <c r="AK103" s="99" t="s">
        <v>166</v>
      </c>
      <c r="AL103" s="102" t="s">
        <v>169</v>
      </c>
      <c r="AM103" s="102" t="s">
        <v>169</v>
      </c>
      <c r="AN103" s="102" t="s">
        <v>169</v>
      </c>
      <c r="AO103" s="102" t="s">
        <v>169</v>
      </c>
      <c r="AP103" s="99" t="s">
        <v>166</v>
      </c>
      <c r="AQ103" s="99" t="s">
        <v>166</v>
      </c>
      <c r="AR103" s="99" t="s">
        <v>166</v>
      </c>
      <c r="AS103" s="99" t="s">
        <v>166</v>
      </c>
      <c r="AT103" s="102" t="s">
        <v>169</v>
      </c>
      <c r="AU103" s="102" t="s">
        <v>169</v>
      </c>
      <c r="AV103" s="99" t="s">
        <v>166</v>
      </c>
      <c r="AW103" s="99" t="s">
        <v>166</v>
      </c>
      <c r="AX103" s="99" t="s">
        <v>166</v>
      </c>
      <c r="AY103" s="102" t="s">
        <v>169</v>
      </c>
      <c r="AZ103" s="99" t="s">
        <v>166</v>
      </c>
      <c r="BA103" s="99" t="s">
        <v>166</v>
      </c>
      <c r="BB103" s="99" t="s">
        <v>166</v>
      </c>
      <c r="BC103" s="99" t="s">
        <v>166</v>
      </c>
      <c r="BD103" s="102" t="s">
        <v>174</v>
      </c>
      <c r="BE103" s="99" t="s">
        <v>166</v>
      </c>
      <c r="BF103" s="102" t="s">
        <v>169</v>
      </c>
      <c r="BG103" s="102" t="s">
        <v>169</v>
      </c>
      <c r="BH103" s="102" t="s">
        <v>169</v>
      </c>
      <c r="BI103" s="102" t="s">
        <v>169</v>
      </c>
      <c r="BJ103" s="99" t="s">
        <v>166</v>
      </c>
      <c r="BK103" s="99" t="s">
        <v>166</v>
      </c>
      <c r="BL103" s="102" t="s">
        <v>169</v>
      </c>
      <c r="BM103" s="99" t="s">
        <v>166</v>
      </c>
      <c r="BN103" s="102" t="s">
        <v>169</v>
      </c>
      <c r="BO103" s="99" t="s">
        <v>166</v>
      </c>
      <c r="BP103" s="99" t="s">
        <v>169</v>
      </c>
      <c r="BQ103" s="99" t="s">
        <v>169</v>
      </c>
      <c r="BR103" s="99" t="s">
        <v>169</v>
      </c>
      <c r="BS103" s="99" t="s">
        <v>169</v>
      </c>
      <c r="BT103" s="99" t="s">
        <v>169</v>
      </c>
      <c r="BU103" s="99" t="s">
        <v>169</v>
      </c>
      <c r="BV103" s="99" t="s">
        <v>169</v>
      </c>
      <c r="BW103" s="99"/>
    </row>
    <row r="104" spans="2:75" x14ac:dyDescent="0.25">
      <c r="B104" s="148" t="s">
        <v>203</v>
      </c>
      <c r="C104" s="142">
        <v>41457</v>
      </c>
      <c r="D104" s="161"/>
      <c r="E104" s="147">
        <v>15.231040229150151</v>
      </c>
      <c r="F104" s="147">
        <v>5.7388929640933357</v>
      </c>
      <c r="G104" s="147">
        <v>7.381987687646725</v>
      </c>
      <c r="H104" s="147">
        <v>3.0932856666215578</v>
      </c>
      <c r="I104" s="147">
        <v>3.6921023626073968</v>
      </c>
      <c r="J104" s="147">
        <v>1.2089810017271132</v>
      </c>
      <c r="K104" s="147">
        <v>10.131668931363794</v>
      </c>
      <c r="L104" s="147">
        <v>32.581768000287049</v>
      </c>
      <c r="M104" s="147">
        <v>56.961229083085016</v>
      </c>
      <c r="N104" s="147">
        <v>63.395780382242194</v>
      </c>
      <c r="O104" s="147" t="s">
        <v>175</v>
      </c>
      <c r="P104" s="147" t="s">
        <v>175</v>
      </c>
      <c r="Q104" s="147" t="s">
        <v>175</v>
      </c>
      <c r="R104" s="147" t="s">
        <v>175</v>
      </c>
      <c r="S104" s="147" t="s">
        <v>175</v>
      </c>
      <c r="T104" s="147" t="s">
        <v>175</v>
      </c>
      <c r="U104" s="147" t="s">
        <v>175</v>
      </c>
      <c r="V104" s="147" t="s">
        <v>175</v>
      </c>
      <c r="W104" s="147" t="s">
        <v>175</v>
      </c>
      <c r="X104" s="147" t="s">
        <v>175</v>
      </c>
      <c r="Y104" s="147" t="s">
        <v>175</v>
      </c>
      <c r="Z104" s="147" t="s">
        <v>175</v>
      </c>
      <c r="AA104" s="147" t="s">
        <v>175</v>
      </c>
      <c r="AB104" s="147" t="s">
        <v>175</v>
      </c>
      <c r="AC104" s="147">
        <v>49.182184972174873</v>
      </c>
      <c r="AD104" s="147">
        <v>33.574854358498015</v>
      </c>
      <c r="AE104" s="147" t="s">
        <v>175</v>
      </c>
      <c r="AF104" s="147">
        <v>5.9640955920115584</v>
      </c>
      <c r="AG104" s="147" t="s">
        <v>175</v>
      </c>
      <c r="AH104" s="147">
        <v>10.678098948097729</v>
      </c>
      <c r="AI104" s="147" t="s">
        <v>175</v>
      </c>
      <c r="AJ104" s="147">
        <v>15.467487302534812</v>
      </c>
      <c r="AK104" s="147" t="s">
        <v>175</v>
      </c>
      <c r="AL104" s="147" t="s">
        <v>175</v>
      </c>
      <c r="AM104" s="147" t="s">
        <v>175</v>
      </c>
      <c r="AN104" s="147">
        <v>6.2045673679874103</v>
      </c>
      <c r="AO104" s="147">
        <v>0.93761537808169626</v>
      </c>
      <c r="AP104" s="147" t="s">
        <v>175</v>
      </c>
      <c r="AQ104" s="147" t="s">
        <v>175</v>
      </c>
      <c r="AR104" s="147" t="s">
        <v>175</v>
      </c>
      <c r="AS104" s="147" t="s">
        <v>175</v>
      </c>
      <c r="AT104" s="147" t="s">
        <v>175</v>
      </c>
      <c r="AU104" s="147" t="s">
        <v>175</v>
      </c>
      <c r="AV104" s="147" t="s">
        <v>175</v>
      </c>
      <c r="AW104" s="147" t="s">
        <v>175</v>
      </c>
      <c r="AX104" s="147" t="s">
        <v>175</v>
      </c>
      <c r="AY104" s="147" t="s">
        <v>175</v>
      </c>
      <c r="AZ104" s="147" t="s">
        <v>175</v>
      </c>
      <c r="BA104" s="147" t="s">
        <v>175</v>
      </c>
      <c r="BB104" s="147" t="s">
        <v>175</v>
      </c>
      <c r="BC104" s="147" t="s">
        <v>175</v>
      </c>
      <c r="BD104" s="147" t="s">
        <v>175</v>
      </c>
      <c r="BE104" s="147" t="s">
        <v>175</v>
      </c>
      <c r="BF104" s="147" t="s">
        <v>175</v>
      </c>
      <c r="BG104" s="147" t="s">
        <v>175</v>
      </c>
      <c r="BH104" s="147" t="s">
        <v>175</v>
      </c>
      <c r="BI104" s="147" t="s">
        <v>175</v>
      </c>
      <c r="BJ104" s="147" t="s">
        <v>175</v>
      </c>
      <c r="BK104" s="147" t="s">
        <v>175</v>
      </c>
      <c r="BL104" s="147" t="s">
        <v>175</v>
      </c>
      <c r="BM104" s="147" t="s">
        <v>175</v>
      </c>
      <c r="BN104" s="147" t="s">
        <v>175</v>
      </c>
      <c r="BO104" s="147" t="s">
        <v>175</v>
      </c>
      <c r="BP104" s="147" t="s">
        <v>175</v>
      </c>
      <c r="BQ104" s="147" t="s">
        <v>175</v>
      </c>
      <c r="BR104" s="147" t="s">
        <v>175</v>
      </c>
      <c r="BS104" s="147" t="s">
        <v>175</v>
      </c>
      <c r="BT104" s="147" t="s">
        <v>175</v>
      </c>
      <c r="BU104" s="147" t="s">
        <v>175</v>
      </c>
      <c r="BV104" s="147" t="s">
        <v>175</v>
      </c>
      <c r="BW104" s="99"/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6"/>
  <sheetViews>
    <sheetView workbookViewId="0">
      <pane xSplit="3" ySplit="8" topLeftCell="D18" activePane="bottomRight" state="frozen"/>
      <selection pane="topRight" activeCell="D1" sqref="D1"/>
      <selection pane="bottomLeft" activeCell="A9" sqref="A9"/>
      <selection pane="bottomRight" activeCell="AT9" sqref="AT9"/>
    </sheetView>
  </sheetViews>
  <sheetFormatPr defaultRowHeight="15" x14ac:dyDescent="0.25"/>
  <cols>
    <col min="1" max="1" width="12.140625" bestFit="1" customWidth="1"/>
    <col min="2" max="2" width="27.85546875" customWidth="1"/>
    <col min="3" max="3" width="25.42578125" customWidth="1"/>
    <col min="255" max="255" width="9.7109375" bestFit="1" customWidth="1"/>
    <col min="256" max="256" width="29" customWidth="1"/>
    <col min="257" max="257" width="12.140625" bestFit="1" customWidth="1"/>
    <col min="258" max="258" width="14.5703125" bestFit="1" customWidth="1"/>
    <col min="259" max="259" width="13.85546875" bestFit="1" customWidth="1"/>
    <col min="511" max="511" width="9.7109375" bestFit="1" customWidth="1"/>
    <col min="512" max="512" width="29" customWidth="1"/>
    <col min="513" max="513" width="12.140625" bestFit="1" customWidth="1"/>
    <col min="514" max="514" width="14.5703125" bestFit="1" customWidth="1"/>
    <col min="515" max="515" width="13.85546875" bestFit="1" customWidth="1"/>
    <col min="767" max="767" width="9.7109375" bestFit="1" customWidth="1"/>
    <col min="768" max="768" width="29" customWidth="1"/>
    <col min="769" max="769" width="12.140625" bestFit="1" customWidth="1"/>
    <col min="770" max="770" width="14.5703125" bestFit="1" customWidth="1"/>
    <col min="771" max="771" width="13.85546875" bestFit="1" customWidth="1"/>
    <col min="1023" max="1023" width="9.7109375" bestFit="1" customWidth="1"/>
    <col min="1024" max="1024" width="29" customWidth="1"/>
    <col min="1025" max="1025" width="12.140625" bestFit="1" customWidth="1"/>
    <col min="1026" max="1026" width="14.5703125" bestFit="1" customWidth="1"/>
    <col min="1027" max="1027" width="13.85546875" bestFit="1" customWidth="1"/>
    <col min="1279" max="1279" width="9.7109375" bestFit="1" customWidth="1"/>
    <col min="1280" max="1280" width="29" customWidth="1"/>
    <col min="1281" max="1281" width="12.140625" bestFit="1" customWidth="1"/>
    <col min="1282" max="1282" width="14.5703125" bestFit="1" customWidth="1"/>
    <col min="1283" max="1283" width="13.85546875" bestFit="1" customWidth="1"/>
    <col min="1535" max="1535" width="9.7109375" bestFit="1" customWidth="1"/>
    <col min="1536" max="1536" width="29" customWidth="1"/>
    <col min="1537" max="1537" width="12.140625" bestFit="1" customWidth="1"/>
    <col min="1538" max="1538" width="14.5703125" bestFit="1" customWidth="1"/>
    <col min="1539" max="1539" width="13.85546875" bestFit="1" customWidth="1"/>
    <col min="1791" max="1791" width="9.7109375" bestFit="1" customWidth="1"/>
    <col min="1792" max="1792" width="29" customWidth="1"/>
    <col min="1793" max="1793" width="12.140625" bestFit="1" customWidth="1"/>
    <col min="1794" max="1794" width="14.5703125" bestFit="1" customWidth="1"/>
    <col min="1795" max="1795" width="13.85546875" bestFit="1" customWidth="1"/>
    <col min="2047" max="2047" width="9.7109375" bestFit="1" customWidth="1"/>
    <col min="2048" max="2048" width="29" customWidth="1"/>
    <col min="2049" max="2049" width="12.140625" bestFit="1" customWidth="1"/>
    <col min="2050" max="2050" width="14.5703125" bestFit="1" customWidth="1"/>
    <col min="2051" max="2051" width="13.85546875" bestFit="1" customWidth="1"/>
    <col min="2303" max="2303" width="9.7109375" bestFit="1" customWidth="1"/>
    <col min="2304" max="2304" width="29" customWidth="1"/>
    <col min="2305" max="2305" width="12.140625" bestFit="1" customWidth="1"/>
    <col min="2306" max="2306" width="14.5703125" bestFit="1" customWidth="1"/>
    <col min="2307" max="2307" width="13.85546875" bestFit="1" customWidth="1"/>
    <col min="2559" max="2559" width="9.7109375" bestFit="1" customWidth="1"/>
    <col min="2560" max="2560" width="29" customWidth="1"/>
    <col min="2561" max="2561" width="12.140625" bestFit="1" customWidth="1"/>
    <col min="2562" max="2562" width="14.5703125" bestFit="1" customWidth="1"/>
    <col min="2563" max="2563" width="13.85546875" bestFit="1" customWidth="1"/>
    <col min="2815" max="2815" width="9.7109375" bestFit="1" customWidth="1"/>
    <col min="2816" max="2816" width="29" customWidth="1"/>
    <col min="2817" max="2817" width="12.140625" bestFit="1" customWidth="1"/>
    <col min="2818" max="2818" width="14.5703125" bestFit="1" customWidth="1"/>
    <col min="2819" max="2819" width="13.85546875" bestFit="1" customWidth="1"/>
    <col min="3071" max="3071" width="9.7109375" bestFit="1" customWidth="1"/>
    <col min="3072" max="3072" width="29" customWidth="1"/>
    <col min="3073" max="3073" width="12.140625" bestFit="1" customWidth="1"/>
    <col min="3074" max="3074" width="14.5703125" bestFit="1" customWidth="1"/>
    <col min="3075" max="3075" width="13.85546875" bestFit="1" customWidth="1"/>
    <col min="3327" max="3327" width="9.7109375" bestFit="1" customWidth="1"/>
    <col min="3328" max="3328" width="29" customWidth="1"/>
    <col min="3329" max="3329" width="12.140625" bestFit="1" customWidth="1"/>
    <col min="3330" max="3330" width="14.5703125" bestFit="1" customWidth="1"/>
    <col min="3331" max="3331" width="13.85546875" bestFit="1" customWidth="1"/>
    <col min="3583" max="3583" width="9.7109375" bestFit="1" customWidth="1"/>
    <col min="3584" max="3584" width="29" customWidth="1"/>
    <col min="3585" max="3585" width="12.140625" bestFit="1" customWidth="1"/>
    <col min="3586" max="3586" width="14.5703125" bestFit="1" customWidth="1"/>
    <col min="3587" max="3587" width="13.85546875" bestFit="1" customWidth="1"/>
    <col min="3839" max="3839" width="9.7109375" bestFit="1" customWidth="1"/>
    <col min="3840" max="3840" width="29" customWidth="1"/>
    <col min="3841" max="3841" width="12.140625" bestFit="1" customWidth="1"/>
    <col min="3842" max="3842" width="14.5703125" bestFit="1" customWidth="1"/>
    <col min="3843" max="3843" width="13.85546875" bestFit="1" customWidth="1"/>
    <col min="4095" max="4095" width="9.7109375" bestFit="1" customWidth="1"/>
    <col min="4096" max="4096" width="29" customWidth="1"/>
    <col min="4097" max="4097" width="12.140625" bestFit="1" customWidth="1"/>
    <col min="4098" max="4098" width="14.5703125" bestFit="1" customWidth="1"/>
    <col min="4099" max="4099" width="13.85546875" bestFit="1" customWidth="1"/>
    <col min="4351" max="4351" width="9.7109375" bestFit="1" customWidth="1"/>
    <col min="4352" max="4352" width="29" customWidth="1"/>
    <col min="4353" max="4353" width="12.140625" bestFit="1" customWidth="1"/>
    <col min="4354" max="4354" width="14.5703125" bestFit="1" customWidth="1"/>
    <col min="4355" max="4355" width="13.85546875" bestFit="1" customWidth="1"/>
    <col min="4607" max="4607" width="9.7109375" bestFit="1" customWidth="1"/>
    <col min="4608" max="4608" width="29" customWidth="1"/>
    <col min="4609" max="4609" width="12.140625" bestFit="1" customWidth="1"/>
    <col min="4610" max="4610" width="14.5703125" bestFit="1" customWidth="1"/>
    <col min="4611" max="4611" width="13.85546875" bestFit="1" customWidth="1"/>
    <col min="4863" max="4863" width="9.7109375" bestFit="1" customWidth="1"/>
    <col min="4864" max="4864" width="29" customWidth="1"/>
    <col min="4865" max="4865" width="12.140625" bestFit="1" customWidth="1"/>
    <col min="4866" max="4866" width="14.5703125" bestFit="1" customWidth="1"/>
    <col min="4867" max="4867" width="13.85546875" bestFit="1" customWidth="1"/>
    <col min="5119" max="5119" width="9.7109375" bestFit="1" customWidth="1"/>
    <col min="5120" max="5120" width="29" customWidth="1"/>
    <col min="5121" max="5121" width="12.140625" bestFit="1" customWidth="1"/>
    <col min="5122" max="5122" width="14.5703125" bestFit="1" customWidth="1"/>
    <col min="5123" max="5123" width="13.85546875" bestFit="1" customWidth="1"/>
    <col min="5375" max="5375" width="9.7109375" bestFit="1" customWidth="1"/>
    <col min="5376" max="5376" width="29" customWidth="1"/>
    <col min="5377" max="5377" width="12.140625" bestFit="1" customWidth="1"/>
    <col min="5378" max="5378" width="14.5703125" bestFit="1" customWidth="1"/>
    <col min="5379" max="5379" width="13.85546875" bestFit="1" customWidth="1"/>
    <col min="5631" max="5631" width="9.7109375" bestFit="1" customWidth="1"/>
    <col min="5632" max="5632" width="29" customWidth="1"/>
    <col min="5633" max="5633" width="12.140625" bestFit="1" customWidth="1"/>
    <col min="5634" max="5634" width="14.5703125" bestFit="1" customWidth="1"/>
    <col min="5635" max="5635" width="13.85546875" bestFit="1" customWidth="1"/>
    <col min="5887" max="5887" width="9.7109375" bestFit="1" customWidth="1"/>
    <col min="5888" max="5888" width="29" customWidth="1"/>
    <col min="5889" max="5889" width="12.140625" bestFit="1" customWidth="1"/>
    <col min="5890" max="5890" width="14.5703125" bestFit="1" customWidth="1"/>
    <col min="5891" max="5891" width="13.85546875" bestFit="1" customWidth="1"/>
    <col min="6143" max="6143" width="9.7109375" bestFit="1" customWidth="1"/>
    <col min="6144" max="6144" width="29" customWidth="1"/>
    <col min="6145" max="6145" width="12.140625" bestFit="1" customWidth="1"/>
    <col min="6146" max="6146" width="14.5703125" bestFit="1" customWidth="1"/>
    <col min="6147" max="6147" width="13.85546875" bestFit="1" customWidth="1"/>
    <col min="6399" max="6399" width="9.7109375" bestFit="1" customWidth="1"/>
    <col min="6400" max="6400" width="29" customWidth="1"/>
    <col min="6401" max="6401" width="12.140625" bestFit="1" customWidth="1"/>
    <col min="6402" max="6402" width="14.5703125" bestFit="1" customWidth="1"/>
    <col min="6403" max="6403" width="13.85546875" bestFit="1" customWidth="1"/>
    <col min="6655" max="6655" width="9.7109375" bestFit="1" customWidth="1"/>
    <col min="6656" max="6656" width="29" customWidth="1"/>
    <col min="6657" max="6657" width="12.140625" bestFit="1" customWidth="1"/>
    <col min="6658" max="6658" width="14.5703125" bestFit="1" customWidth="1"/>
    <col min="6659" max="6659" width="13.85546875" bestFit="1" customWidth="1"/>
    <col min="6911" max="6911" width="9.7109375" bestFit="1" customWidth="1"/>
    <col min="6912" max="6912" width="29" customWidth="1"/>
    <col min="6913" max="6913" width="12.140625" bestFit="1" customWidth="1"/>
    <col min="6914" max="6914" width="14.5703125" bestFit="1" customWidth="1"/>
    <col min="6915" max="6915" width="13.85546875" bestFit="1" customWidth="1"/>
    <col min="7167" max="7167" width="9.7109375" bestFit="1" customWidth="1"/>
    <col min="7168" max="7168" width="29" customWidth="1"/>
    <col min="7169" max="7169" width="12.140625" bestFit="1" customWidth="1"/>
    <col min="7170" max="7170" width="14.5703125" bestFit="1" customWidth="1"/>
    <col min="7171" max="7171" width="13.85546875" bestFit="1" customWidth="1"/>
    <col min="7423" max="7423" width="9.7109375" bestFit="1" customWidth="1"/>
    <col min="7424" max="7424" width="29" customWidth="1"/>
    <col min="7425" max="7425" width="12.140625" bestFit="1" customWidth="1"/>
    <col min="7426" max="7426" width="14.5703125" bestFit="1" customWidth="1"/>
    <col min="7427" max="7427" width="13.85546875" bestFit="1" customWidth="1"/>
    <col min="7679" max="7679" width="9.7109375" bestFit="1" customWidth="1"/>
    <col min="7680" max="7680" width="29" customWidth="1"/>
    <col min="7681" max="7681" width="12.140625" bestFit="1" customWidth="1"/>
    <col min="7682" max="7682" width="14.5703125" bestFit="1" customWidth="1"/>
    <col min="7683" max="7683" width="13.85546875" bestFit="1" customWidth="1"/>
    <col min="7935" max="7935" width="9.7109375" bestFit="1" customWidth="1"/>
    <col min="7936" max="7936" width="29" customWidth="1"/>
    <col min="7937" max="7937" width="12.140625" bestFit="1" customWidth="1"/>
    <col min="7938" max="7938" width="14.5703125" bestFit="1" customWidth="1"/>
    <col min="7939" max="7939" width="13.85546875" bestFit="1" customWidth="1"/>
    <col min="8191" max="8191" width="9.7109375" bestFit="1" customWidth="1"/>
    <col min="8192" max="8192" width="29" customWidth="1"/>
    <col min="8193" max="8193" width="12.140625" bestFit="1" customWidth="1"/>
    <col min="8194" max="8194" width="14.5703125" bestFit="1" customWidth="1"/>
    <col min="8195" max="8195" width="13.85546875" bestFit="1" customWidth="1"/>
    <col min="8447" max="8447" width="9.7109375" bestFit="1" customWidth="1"/>
    <col min="8448" max="8448" width="29" customWidth="1"/>
    <col min="8449" max="8449" width="12.140625" bestFit="1" customWidth="1"/>
    <col min="8450" max="8450" width="14.5703125" bestFit="1" customWidth="1"/>
    <col min="8451" max="8451" width="13.85546875" bestFit="1" customWidth="1"/>
    <col min="8703" max="8703" width="9.7109375" bestFit="1" customWidth="1"/>
    <col min="8704" max="8704" width="29" customWidth="1"/>
    <col min="8705" max="8705" width="12.140625" bestFit="1" customWidth="1"/>
    <col min="8706" max="8706" width="14.5703125" bestFit="1" customWidth="1"/>
    <col min="8707" max="8707" width="13.85546875" bestFit="1" customWidth="1"/>
    <col min="8959" max="8959" width="9.7109375" bestFit="1" customWidth="1"/>
    <col min="8960" max="8960" width="29" customWidth="1"/>
    <col min="8961" max="8961" width="12.140625" bestFit="1" customWidth="1"/>
    <col min="8962" max="8962" width="14.5703125" bestFit="1" customWidth="1"/>
    <col min="8963" max="8963" width="13.85546875" bestFit="1" customWidth="1"/>
    <col min="9215" max="9215" width="9.7109375" bestFit="1" customWidth="1"/>
    <col min="9216" max="9216" width="29" customWidth="1"/>
    <col min="9217" max="9217" width="12.140625" bestFit="1" customWidth="1"/>
    <col min="9218" max="9218" width="14.5703125" bestFit="1" customWidth="1"/>
    <col min="9219" max="9219" width="13.85546875" bestFit="1" customWidth="1"/>
    <col min="9471" max="9471" width="9.7109375" bestFit="1" customWidth="1"/>
    <col min="9472" max="9472" width="29" customWidth="1"/>
    <col min="9473" max="9473" width="12.140625" bestFit="1" customWidth="1"/>
    <col min="9474" max="9474" width="14.5703125" bestFit="1" customWidth="1"/>
    <col min="9475" max="9475" width="13.85546875" bestFit="1" customWidth="1"/>
    <col min="9727" max="9727" width="9.7109375" bestFit="1" customWidth="1"/>
    <col min="9728" max="9728" width="29" customWidth="1"/>
    <col min="9729" max="9729" width="12.140625" bestFit="1" customWidth="1"/>
    <col min="9730" max="9730" width="14.5703125" bestFit="1" customWidth="1"/>
    <col min="9731" max="9731" width="13.85546875" bestFit="1" customWidth="1"/>
    <col min="9983" max="9983" width="9.7109375" bestFit="1" customWidth="1"/>
    <col min="9984" max="9984" width="29" customWidth="1"/>
    <col min="9985" max="9985" width="12.140625" bestFit="1" customWidth="1"/>
    <col min="9986" max="9986" width="14.5703125" bestFit="1" customWidth="1"/>
    <col min="9987" max="9987" width="13.85546875" bestFit="1" customWidth="1"/>
    <col min="10239" max="10239" width="9.7109375" bestFit="1" customWidth="1"/>
    <col min="10240" max="10240" width="29" customWidth="1"/>
    <col min="10241" max="10241" width="12.140625" bestFit="1" customWidth="1"/>
    <col min="10242" max="10242" width="14.5703125" bestFit="1" customWidth="1"/>
    <col min="10243" max="10243" width="13.85546875" bestFit="1" customWidth="1"/>
    <col min="10495" max="10495" width="9.7109375" bestFit="1" customWidth="1"/>
    <col min="10496" max="10496" width="29" customWidth="1"/>
    <col min="10497" max="10497" width="12.140625" bestFit="1" customWidth="1"/>
    <col min="10498" max="10498" width="14.5703125" bestFit="1" customWidth="1"/>
    <col min="10499" max="10499" width="13.85546875" bestFit="1" customWidth="1"/>
    <col min="10751" max="10751" width="9.7109375" bestFit="1" customWidth="1"/>
    <col min="10752" max="10752" width="29" customWidth="1"/>
    <col min="10753" max="10753" width="12.140625" bestFit="1" customWidth="1"/>
    <col min="10754" max="10754" width="14.5703125" bestFit="1" customWidth="1"/>
    <col min="10755" max="10755" width="13.85546875" bestFit="1" customWidth="1"/>
    <col min="11007" max="11007" width="9.7109375" bestFit="1" customWidth="1"/>
    <col min="11008" max="11008" width="29" customWidth="1"/>
    <col min="11009" max="11009" width="12.140625" bestFit="1" customWidth="1"/>
    <col min="11010" max="11010" width="14.5703125" bestFit="1" customWidth="1"/>
    <col min="11011" max="11011" width="13.85546875" bestFit="1" customWidth="1"/>
    <col min="11263" max="11263" width="9.7109375" bestFit="1" customWidth="1"/>
    <col min="11264" max="11264" width="29" customWidth="1"/>
    <col min="11265" max="11265" width="12.140625" bestFit="1" customWidth="1"/>
    <col min="11266" max="11266" width="14.5703125" bestFit="1" customWidth="1"/>
    <col min="11267" max="11267" width="13.85546875" bestFit="1" customWidth="1"/>
    <col min="11519" max="11519" width="9.7109375" bestFit="1" customWidth="1"/>
    <col min="11520" max="11520" width="29" customWidth="1"/>
    <col min="11521" max="11521" width="12.140625" bestFit="1" customWidth="1"/>
    <col min="11522" max="11522" width="14.5703125" bestFit="1" customWidth="1"/>
    <col min="11523" max="11523" width="13.85546875" bestFit="1" customWidth="1"/>
    <col min="11775" max="11775" width="9.7109375" bestFit="1" customWidth="1"/>
    <col min="11776" max="11776" width="29" customWidth="1"/>
    <col min="11777" max="11777" width="12.140625" bestFit="1" customWidth="1"/>
    <col min="11778" max="11778" width="14.5703125" bestFit="1" customWidth="1"/>
    <col min="11779" max="11779" width="13.85546875" bestFit="1" customWidth="1"/>
    <col min="12031" max="12031" width="9.7109375" bestFit="1" customWidth="1"/>
    <col min="12032" max="12032" width="29" customWidth="1"/>
    <col min="12033" max="12033" width="12.140625" bestFit="1" customWidth="1"/>
    <col min="12034" max="12034" width="14.5703125" bestFit="1" customWidth="1"/>
    <col min="12035" max="12035" width="13.85546875" bestFit="1" customWidth="1"/>
    <col min="12287" max="12287" width="9.7109375" bestFit="1" customWidth="1"/>
    <col min="12288" max="12288" width="29" customWidth="1"/>
    <col min="12289" max="12289" width="12.140625" bestFit="1" customWidth="1"/>
    <col min="12290" max="12290" width="14.5703125" bestFit="1" customWidth="1"/>
    <col min="12291" max="12291" width="13.85546875" bestFit="1" customWidth="1"/>
    <col min="12543" max="12543" width="9.7109375" bestFit="1" customWidth="1"/>
    <col min="12544" max="12544" width="29" customWidth="1"/>
    <col min="12545" max="12545" width="12.140625" bestFit="1" customWidth="1"/>
    <col min="12546" max="12546" width="14.5703125" bestFit="1" customWidth="1"/>
    <col min="12547" max="12547" width="13.85546875" bestFit="1" customWidth="1"/>
    <col min="12799" max="12799" width="9.7109375" bestFit="1" customWidth="1"/>
    <col min="12800" max="12800" width="29" customWidth="1"/>
    <col min="12801" max="12801" width="12.140625" bestFit="1" customWidth="1"/>
    <col min="12802" max="12802" width="14.5703125" bestFit="1" customWidth="1"/>
    <col min="12803" max="12803" width="13.85546875" bestFit="1" customWidth="1"/>
    <col min="13055" max="13055" width="9.7109375" bestFit="1" customWidth="1"/>
    <col min="13056" max="13056" width="29" customWidth="1"/>
    <col min="13057" max="13057" width="12.140625" bestFit="1" customWidth="1"/>
    <col min="13058" max="13058" width="14.5703125" bestFit="1" customWidth="1"/>
    <col min="13059" max="13059" width="13.85546875" bestFit="1" customWidth="1"/>
    <col min="13311" max="13311" width="9.7109375" bestFit="1" customWidth="1"/>
    <col min="13312" max="13312" width="29" customWidth="1"/>
    <col min="13313" max="13313" width="12.140625" bestFit="1" customWidth="1"/>
    <col min="13314" max="13314" width="14.5703125" bestFit="1" customWidth="1"/>
    <col min="13315" max="13315" width="13.85546875" bestFit="1" customWidth="1"/>
    <col min="13567" max="13567" width="9.7109375" bestFit="1" customWidth="1"/>
    <col min="13568" max="13568" width="29" customWidth="1"/>
    <col min="13569" max="13569" width="12.140625" bestFit="1" customWidth="1"/>
    <col min="13570" max="13570" width="14.5703125" bestFit="1" customWidth="1"/>
    <col min="13571" max="13571" width="13.85546875" bestFit="1" customWidth="1"/>
    <col min="13823" max="13823" width="9.7109375" bestFit="1" customWidth="1"/>
    <col min="13824" max="13824" width="29" customWidth="1"/>
    <col min="13825" max="13825" width="12.140625" bestFit="1" customWidth="1"/>
    <col min="13826" max="13826" width="14.5703125" bestFit="1" customWidth="1"/>
    <col min="13827" max="13827" width="13.85546875" bestFit="1" customWidth="1"/>
    <col min="14079" max="14079" width="9.7109375" bestFit="1" customWidth="1"/>
    <col min="14080" max="14080" width="29" customWidth="1"/>
    <col min="14081" max="14081" width="12.140625" bestFit="1" customWidth="1"/>
    <col min="14082" max="14082" width="14.5703125" bestFit="1" customWidth="1"/>
    <col min="14083" max="14083" width="13.85546875" bestFit="1" customWidth="1"/>
    <col min="14335" max="14335" width="9.7109375" bestFit="1" customWidth="1"/>
    <col min="14336" max="14336" width="29" customWidth="1"/>
    <col min="14337" max="14337" width="12.140625" bestFit="1" customWidth="1"/>
    <col min="14338" max="14338" width="14.5703125" bestFit="1" customWidth="1"/>
    <col min="14339" max="14339" width="13.85546875" bestFit="1" customWidth="1"/>
    <col min="14591" max="14591" width="9.7109375" bestFit="1" customWidth="1"/>
    <col min="14592" max="14592" width="29" customWidth="1"/>
    <col min="14593" max="14593" width="12.140625" bestFit="1" customWidth="1"/>
    <col min="14594" max="14594" width="14.5703125" bestFit="1" customWidth="1"/>
    <col min="14595" max="14595" width="13.85546875" bestFit="1" customWidth="1"/>
    <col min="14847" max="14847" width="9.7109375" bestFit="1" customWidth="1"/>
    <col min="14848" max="14848" width="29" customWidth="1"/>
    <col min="14849" max="14849" width="12.140625" bestFit="1" customWidth="1"/>
    <col min="14850" max="14850" width="14.5703125" bestFit="1" customWidth="1"/>
    <col min="14851" max="14851" width="13.85546875" bestFit="1" customWidth="1"/>
    <col min="15103" max="15103" width="9.7109375" bestFit="1" customWidth="1"/>
    <col min="15104" max="15104" width="29" customWidth="1"/>
    <col min="15105" max="15105" width="12.140625" bestFit="1" customWidth="1"/>
    <col min="15106" max="15106" width="14.5703125" bestFit="1" customWidth="1"/>
    <col min="15107" max="15107" width="13.85546875" bestFit="1" customWidth="1"/>
    <col min="15359" max="15359" width="9.7109375" bestFit="1" customWidth="1"/>
    <col min="15360" max="15360" width="29" customWidth="1"/>
    <col min="15361" max="15361" width="12.140625" bestFit="1" customWidth="1"/>
    <col min="15362" max="15362" width="14.5703125" bestFit="1" customWidth="1"/>
    <col min="15363" max="15363" width="13.85546875" bestFit="1" customWidth="1"/>
    <col min="15615" max="15615" width="9.7109375" bestFit="1" customWidth="1"/>
    <col min="15616" max="15616" width="29" customWidth="1"/>
    <col min="15617" max="15617" width="12.140625" bestFit="1" customWidth="1"/>
    <col min="15618" max="15618" width="14.5703125" bestFit="1" customWidth="1"/>
    <col min="15619" max="15619" width="13.85546875" bestFit="1" customWidth="1"/>
    <col min="15871" max="15871" width="9.7109375" bestFit="1" customWidth="1"/>
    <col min="15872" max="15872" width="29" customWidth="1"/>
    <col min="15873" max="15873" width="12.140625" bestFit="1" customWidth="1"/>
    <col min="15874" max="15874" width="14.5703125" bestFit="1" customWidth="1"/>
    <col min="15875" max="15875" width="13.85546875" bestFit="1" customWidth="1"/>
    <col min="16127" max="16127" width="9.7109375" bestFit="1" customWidth="1"/>
    <col min="16128" max="16128" width="29" customWidth="1"/>
    <col min="16129" max="16129" width="12.140625" bestFit="1" customWidth="1"/>
    <col min="16130" max="16130" width="14.5703125" bestFit="1" customWidth="1"/>
    <col min="16131" max="16131" width="13.85546875" bestFit="1" customWidth="1"/>
  </cols>
  <sheetData>
    <row r="1" spans="1:73" x14ac:dyDescent="0.25">
      <c r="A1" s="3" t="s">
        <v>3</v>
      </c>
      <c r="B1" s="4" t="s">
        <v>154</v>
      </c>
      <c r="C1" s="5" t="s">
        <v>155</v>
      </c>
      <c r="D1" s="6" t="s">
        <v>149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spans="1:73" x14ac:dyDescent="0.25">
      <c r="A2" s="3" t="s">
        <v>5</v>
      </c>
      <c r="B2" s="7">
        <v>41291</v>
      </c>
      <c r="C2" s="8"/>
      <c r="D2" s="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1:73" ht="28.5" customHeight="1" x14ac:dyDescent="0.25">
      <c r="A3" s="3" t="s">
        <v>6</v>
      </c>
      <c r="B3" s="10" t="s">
        <v>7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spans="1:73" x14ac:dyDescent="0.25">
      <c r="A4" s="3" t="s">
        <v>9</v>
      </c>
      <c r="B4" s="11" t="s">
        <v>10</v>
      </c>
      <c r="C4" s="1" t="s">
        <v>11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spans="1:73" ht="15" customHeight="1" x14ac:dyDescent="0.25">
      <c r="A5" s="3" t="s">
        <v>12</v>
      </c>
      <c r="B5" s="11" t="s">
        <v>13</v>
      </c>
      <c r="C5" s="17" t="s">
        <v>14</v>
      </c>
      <c r="D5" s="1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spans="1:73" x14ac:dyDescent="0.25">
      <c r="A6" s="1" t="s">
        <v>150</v>
      </c>
      <c r="B6" s="19"/>
      <c r="C6" s="1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</row>
    <row r="7" spans="1:73" x14ac:dyDescent="0.25">
      <c r="A7" s="1"/>
      <c r="B7" s="1"/>
      <c r="C7" s="1"/>
      <c r="D7" s="1" t="s">
        <v>15</v>
      </c>
      <c r="E7" s="14" t="s">
        <v>16</v>
      </c>
      <c r="F7" s="14" t="s">
        <v>17</v>
      </c>
      <c r="G7" s="1" t="s">
        <v>18</v>
      </c>
      <c r="H7" s="1" t="s">
        <v>19</v>
      </c>
      <c r="I7" s="1" t="s">
        <v>20</v>
      </c>
      <c r="J7" s="1" t="s">
        <v>21</v>
      </c>
      <c r="K7" s="1" t="s">
        <v>22</v>
      </c>
      <c r="L7" s="1" t="s">
        <v>23</v>
      </c>
      <c r="M7" s="1" t="s">
        <v>24</v>
      </c>
      <c r="N7" s="1" t="s">
        <v>25</v>
      </c>
      <c r="O7" s="1" t="s">
        <v>26</v>
      </c>
      <c r="P7" s="1" t="s">
        <v>27</v>
      </c>
      <c r="Q7" s="1" t="s">
        <v>28</v>
      </c>
      <c r="R7" s="1" t="s">
        <v>29</v>
      </c>
      <c r="S7" s="1" t="s">
        <v>30</v>
      </c>
      <c r="T7" s="1" t="s">
        <v>31</v>
      </c>
      <c r="U7" s="1" t="s">
        <v>32</v>
      </c>
      <c r="V7" s="1" t="s">
        <v>33</v>
      </c>
      <c r="W7" s="1" t="s">
        <v>34</v>
      </c>
      <c r="X7" s="1" t="s">
        <v>35</v>
      </c>
      <c r="Y7" s="1" t="s">
        <v>36</v>
      </c>
      <c r="Z7" s="1" t="s">
        <v>37</v>
      </c>
      <c r="AA7" s="1" t="s">
        <v>38</v>
      </c>
      <c r="AB7" s="1" t="s">
        <v>39</v>
      </c>
      <c r="AC7" s="1" t="s">
        <v>40</v>
      </c>
      <c r="AD7" s="1" t="s">
        <v>41</v>
      </c>
      <c r="AE7" s="1" t="s">
        <v>42</v>
      </c>
      <c r="AF7" s="1" t="s">
        <v>43</v>
      </c>
      <c r="AG7" s="1" t="s">
        <v>44</v>
      </c>
      <c r="AH7" s="1" t="s">
        <v>45</v>
      </c>
      <c r="AI7" s="1" t="s">
        <v>46</v>
      </c>
      <c r="AJ7" s="1" t="s">
        <v>47</v>
      </c>
      <c r="AK7" s="1" t="s">
        <v>48</v>
      </c>
      <c r="AL7" s="124" t="s">
        <v>190</v>
      </c>
      <c r="AM7" s="124" t="s">
        <v>191</v>
      </c>
      <c r="AN7" s="124" t="s">
        <v>192</v>
      </c>
      <c r="AO7" s="124" t="s">
        <v>49</v>
      </c>
      <c r="AP7" s="124" t="s">
        <v>50</v>
      </c>
      <c r="AQ7" s="124" t="s">
        <v>51</v>
      </c>
      <c r="AR7" s="124" t="s">
        <v>52</v>
      </c>
      <c r="AS7" s="124" t="s">
        <v>53</v>
      </c>
      <c r="AT7" s="124" t="s">
        <v>54</v>
      </c>
      <c r="AU7" s="124" t="s">
        <v>55</v>
      </c>
      <c r="AV7" s="124" t="s">
        <v>56</v>
      </c>
      <c r="AW7" s="124" t="s">
        <v>57</v>
      </c>
      <c r="AX7" s="124" t="s">
        <v>58</v>
      </c>
      <c r="AY7" s="124" t="s">
        <v>59</v>
      </c>
      <c r="AZ7" s="124" t="s">
        <v>60</v>
      </c>
      <c r="BA7" s="124" t="s">
        <v>61</v>
      </c>
      <c r="BB7" s="124" t="s">
        <v>62</v>
      </c>
      <c r="BC7" s="124" t="s">
        <v>63</v>
      </c>
      <c r="BD7" s="124" t="s">
        <v>193</v>
      </c>
      <c r="BE7" s="124" t="s">
        <v>194</v>
      </c>
      <c r="BF7" s="124" t="s">
        <v>195</v>
      </c>
      <c r="BG7" s="124" t="s">
        <v>196</v>
      </c>
      <c r="BH7" s="124" t="s">
        <v>197</v>
      </c>
      <c r="BI7" s="1" t="s">
        <v>64</v>
      </c>
      <c r="BJ7" s="1" t="s">
        <v>65</v>
      </c>
      <c r="BK7" s="1" t="s">
        <v>66</v>
      </c>
      <c r="BL7" s="1" t="s">
        <v>67</v>
      </c>
      <c r="BM7" s="1" t="s">
        <v>68</v>
      </c>
      <c r="BN7" s="1" t="s">
        <v>69</v>
      </c>
      <c r="BO7" s="1" t="s">
        <v>70</v>
      </c>
      <c r="BP7" s="1" t="s">
        <v>71</v>
      </c>
      <c r="BQ7" s="1" t="s">
        <v>72</v>
      </c>
      <c r="BR7" s="1" t="s">
        <v>73</v>
      </c>
      <c r="BS7" s="1" t="s">
        <v>74</v>
      </c>
      <c r="BT7" s="1" t="s">
        <v>75</v>
      </c>
      <c r="BU7" s="1" t="s">
        <v>76</v>
      </c>
    </row>
    <row r="8" spans="1:73" s="13" customFormat="1" x14ac:dyDescent="0.25">
      <c r="A8" s="8" t="s">
        <v>77</v>
      </c>
      <c r="B8" s="16" t="s">
        <v>1</v>
      </c>
      <c r="C8" s="8" t="s">
        <v>148</v>
      </c>
      <c r="D8" s="8" t="s">
        <v>78</v>
      </c>
      <c r="E8" s="15" t="s">
        <v>79</v>
      </c>
      <c r="F8" s="8" t="s">
        <v>80</v>
      </c>
      <c r="G8" s="8" t="s">
        <v>81</v>
      </c>
      <c r="H8" s="8" t="s">
        <v>82</v>
      </c>
      <c r="I8" s="8" t="s">
        <v>83</v>
      </c>
      <c r="J8" s="8" t="s">
        <v>84</v>
      </c>
      <c r="K8" s="8" t="s">
        <v>85</v>
      </c>
      <c r="L8" s="8" t="s">
        <v>86</v>
      </c>
      <c r="M8" s="8" t="s">
        <v>87</v>
      </c>
      <c r="N8" s="8" t="s">
        <v>88</v>
      </c>
      <c r="O8" s="8" t="s">
        <v>89</v>
      </c>
      <c r="P8" s="8" t="s">
        <v>90</v>
      </c>
      <c r="Q8" s="8" t="s">
        <v>91</v>
      </c>
      <c r="R8" s="8" t="s">
        <v>92</v>
      </c>
      <c r="S8" s="8" t="s">
        <v>93</v>
      </c>
      <c r="T8" s="8" t="s">
        <v>94</v>
      </c>
      <c r="U8" s="8" t="s">
        <v>95</v>
      </c>
      <c r="V8" s="8" t="s">
        <v>96</v>
      </c>
      <c r="W8" s="8" t="s">
        <v>97</v>
      </c>
      <c r="X8" s="8" t="s">
        <v>98</v>
      </c>
      <c r="Y8" s="8" t="s">
        <v>99</v>
      </c>
      <c r="Z8" s="8" t="s">
        <v>100</v>
      </c>
      <c r="AA8" s="8" t="s">
        <v>101</v>
      </c>
      <c r="AB8" s="8" t="s">
        <v>102</v>
      </c>
      <c r="AC8" s="8" t="s">
        <v>103</v>
      </c>
      <c r="AD8" s="8" t="s">
        <v>104</v>
      </c>
      <c r="AE8" s="8" t="s">
        <v>105</v>
      </c>
      <c r="AF8" s="8" t="s">
        <v>106</v>
      </c>
      <c r="AG8" s="8" t="s">
        <v>107</v>
      </c>
      <c r="AH8" s="8" t="s">
        <v>108</v>
      </c>
      <c r="AI8" s="8" t="s">
        <v>109</v>
      </c>
      <c r="AJ8" s="8" t="s">
        <v>110</v>
      </c>
      <c r="AK8" s="8" t="s">
        <v>111</v>
      </c>
      <c r="AL8" s="8" t="s">
        <v>112</v>
      </c>
      <c r="AM8" s="8" t="s">
        <v>113</v>
      </c>
      <c r="AN8" s="8" t="s">
        <v>114</v>
      </c>
      <c r="AO8" s="8" t="s">
        <v>115</v>
      </c>
      <c r="AP8" s="8" t="s">
        <v>116</v>
      </c>
      <c r="AQ8" s="8" t="s">
        <v>117</v>
      </c>
      <c r="AR8" s="8" t="s">
        <v>118</v>
      </c>
      <c r="AS8" s="8" t="s">
        <v>119</v>
      </c>
      <c r="AT8" s="8" t="s">
        <v>120</v>
      </c>
      <c r="AU8" s="8" t="s">
        <v>121</v>
      </c>
      <c r="AV8" s="8" t="s">
        <v>122</v>
      </c>
      <c r="AW8" s="8" t="s">
        <v>123</v>
      </c>
      <c r="AX8" s="8" t="s">
        <v>124</v>
      </c>
      <c r="AY8" s="8" t="s">
        <v>125</v>
      </c>
      <c r="AZ8" s="8" t="s">
        <v>126</v>
      </c>
      <c r="BA8" s="8" t="s">
        <v>127</v>
      </c>
      <c r="BB8" s="8" t="s">
        <v>128</v>
      </c>
      <c r="BC8" s="8" t="s">
        <v>129</v>
      </c>
      <c r="BD8" s="8" t="s">
        <v>130</v>
      </c>
      <c r="BE8" s="8" t="s">
        <v>131</v>
      </c>
      <c r="BF8" s="8" t="s">
        <v>132</v>
      </c>
      <c r="BG8" s="8" t="s">
        <v>133</v>
      </c>
      <c r="BH8" s="8" t="s">
        <v>134</v>
      </c>
      <c r="BI8" s="8" t="s">
        <v>135</v>
      </c>
      <c r="BJ8" s="8" t="s">
        <v>136</v>
      </c>
      <c r="BK8" s="8" t="s">
        <v>137</v>
      </c>
      <c r="BL8" s="8" t="s">
        <v>138</v>
      </c>
      <c r="BM8" s="8" t="s">
        <v>139</v>
      </c>
      <c r="BN8" s="8" t="s">
        <v>140</v>
      </c>
      <c r="BO8" s="8" t="s">
        <v>141</v>
      </c>
      <c r="BP8" s="8" t="s">
        <v>142</v>
      </c>
      <c r="BQ8" s="8" t="s">
        <v>143</v>
      </c>
      <c r="BR8" s="8" t="s">
        <v>144</v>
      </c>
      <c r="BS8" s="8" t="s">
        <v>145</v>
      </c>
      <c r="BT8" s="8" t="s">
        <v>146</v>
      </c>
      <c r="BU8" s="8" t="s">
        <v>147</v>
      </c>
    </row>
    <row r="9" spans="1:73" s="18" customFormat="1" x14ac:dyDescent="0.25">
      <c r="A9" s="20">
        <v>41291</v>
      </c>
      <c r="B9" s="14">
        <f>A9-$B$2</f>
        <v>0</v>
      </c>
      <c r="C9" s="112" t="s">
        <v>188</v>
      </c>
      <c r="D9" s="111" t="s">
        <v>158</v>
      </c>
      <c r="E9" s="111" t="s">
        <v>158</v>
      </c>
      <c r="F9" s="111">
        <v>44.019999999999996</v>
      </c>
      <c r="G9" s="111">
        <v>47.139999999999993</v>
      </c>
      <c r="H9" s="111">
        <v>60.16</v>
      </c>
      <c r="I9" s="111">
        <v>7.4399999999999995</v>
      </c>
      <c r="J9" s="111">
        <v>2.56</v>
      </c>
      <c r="K9" s="111" t="s">
        <v>158</v>
      </c>
      <c r="L9" s="111" t="s">
        <v>158</v>
      </c>
      <c r="M9" s="111" t="s">
        <v>158</v>
      </c>
      <c r="N9" s="111" t="s">
        <v>157</v>
      </c>
      <c r="O9" s="111" t="s">
        <v>157</v>
      </c>
      <c r="P9" s="111" t="s">
        <v>157</v>
      </c>
      <c r="Q9" s="111" t="s">
        <v>157</v>
      </c>
      <c r="R9" s="111" t="s">
        <v>157</v>
      </c>
      <c r="S9" s="111" t="s">
        <v>157</v>
      </c>
      <c r="T9" s="111">
        <v>12.894</v>
      </c>
      <c r="U9" s="111" t="s">
        <v>157</v>
      </c>
      <c r="V9" s="111" t="s">
        <v>157</v>
      </c>
      <c r="W9" s="111" t="s">
        <v>157</v>
      </c>
      <c r="X9" s="111">
        <v>14.58</v>
      </c>
      <c r="Y9" s="111" t="s">
        <v>158</v>
      </c>
      <c r="Z9" s="111" t="s">
        <v>157</v>
      </c>
      <c r="AA9" s="111" t="s">
        <v>157</v>
      </c>
      <c r="AB9" s="111">
        <v>11.04</v>
      </c>
      <c r="AC9" s="111" t="s">
        <v>157</v>
      </c>
      <c r="AD9" s="111" t="s">
        <v>157</v>
      </c>
      <c r="AE9" s="111" t="s">
        <v>158</v>
      </c>
      <c r="AF9" s="111" t="s">
        <v>157</v>
      </c>
      <c r="AG9" s="111">
        <v>10.239999999999998</v>
      </c>
      <c r="AH9" s="111" t="s">
        <v>157</v>
      </c>
      <c r="AI9" s="111">
        <v>14.48</v>
      </c>
      <c r="AJ9" s="111" t="s">
        <v>157</v>
      </c>
      <c r="AK9" s="111" t="s">
        <v>157</v>
      </c>
      <c r="AL9" s="111" t="s">
        <v>157</v>
      </c>
      <c r="AM9" s="111">
        <v>6.94</v>
      </c>
      <c r="AN9" s="111" t="s">
        <v>158</v>
      </c>
      <c r="AO9" s="111" t="s">
        <v>157</v>
      </c>
      <c r="AP9" s="111" t="s">
        <v>157</v>
      </c>
      <c r="AQ9" s="111" t="s">
        <v>157</v>
      </c>
      <c r="AR9" s="111" t="s">
        <v>157</v>
      </c>
      <c r="AS9" s="111" t="s">
        <v>157</v>
      </c>
      <c r="AT9" s="111">
        <v>2.5599999999999996</v>
      </c>
      <c r="AU9" s="111" t="s">
        <v>158</v>
      </c>
      <c r="AV9" s="111" t="s">
        <v>157</v>
      </c>
      <c r="AW9" s="111" t="s">
        <v>157</v>
      </c>
      <c r="AX9" s="111" t="s">
        <v>157</v>
      </c>
      <c r="AY9" s="111" t="s">
        <v>158</v>
      </c>
      <c r="AZ9" s="111" t="s">
        <v>157</v>
      </c>
      <c r="BA9" s="111" t="s">
        <v>157</v>
      </c>
      <c r="BB9" s="111" t="s">
        <v>157</v>
      </c>
      <c r="BC9" s="111" t="s">
        <v>158</v>
      </c>
      <c r="BD9" s="111" t="s">
        <v>157</v>
      </c>
      <c r="BE9" s="111" t="s">
        <v>157</v>
      </c>
      <c r="BF9" s="111" t="s">
        <v>157</v>
      </c>
      <c r="BG9" s="111" t="s">
        <v>157</v>
      </c>
      <c r="BH9" s="111" t="s">
        <v>157</v>
      </c>
      <c r="BI9" s="111" t="s">
        <v>157</v>
      </c>
      <c r="BJ9" s="111" t="s">
        <v>157</v>
      </c>
      <c r="BK9" s="111">
        <v>71.3</v>
      </c>
      <c r="BL9" s="111">
        <v>43.699999999999996</v>
      </c>
      <c r="BM9" s="111">
        <v>20.279999999999998</v>
      </c>
      <c r="BN9" s="111" t="s">
        <v>158</v>
      </c>
      <c r="BO9" s="111" t="s">
        <v>157</v>
      </c>
      <c r="BP9" s="111" t="s">
        <v>157</v>
      </c>
      <c r="BQ9" s="111" t="s">
        <v>157</v>
      </c>
      <c r="BR9" s="111" t="s">
        <v>157</v>
      </c>
      <c r="BS9" s="111" t="s">
        <v>157</v>
      </c>
      <c r="BT9" s="111" t="s">
        <v>157</v>
      </c>
      <c r="BU9" s="111" t="s">
        <v>158</v>
      </c>
    </row>
    <row r="10" spans="1:73" s="18" customFormat="1" x14ac:dyDescent="0.25">
      <c r="A10" s="20">
        <v>41298</v>
      </c>
      <c r="B10" s="14">
        <f t="shared" ref="B10:B27" si="0">A10-$B$2</f>
        <v>7</v>
      </c>
      <c r="C10" s="109"/>
      <c r="D10" s="109"/>
      <c r="E10" s="110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09"/>
      <c r="BA10" s="109"/>
      <c r="BB10" s="109"/>
      <c r="BC10" s="109"/>
      <c r="BD10" s="109"/>
      <c r="BE10" s="109"/>
      <c r="BF10" s="109"/>
      <c r="BG10" s="109"/>
      <c r="BH10" s="109"/>
      <c r="BI10" s="109"/>
      <c r="BJ10" s="109"/>
      <c r="BK10" s="109"/>
      <c r="BL10" s="109"/>
      <c r="BM10" s="109"/>
      <c r="BN10" s="109"/>
      <c r="BO10" s="109"/>
      <c r="BP10" s="109"/>
      <c r="BQ10" s="109"/>
      <c r="BR10" s="109"/>
      <c r="BS10" s="109"/>
      <c r="BT10" s="109"/>
      <c r="BU10" s="109"/>
    </row>
    <row r="11" spans="1:73" x14ac:dyDescent="0.25">
      <c r="A11" s="21">
        <v>41305</v>
      </c>
      <c r="B11" s="14">
        <f t="shared" si="0"/>
        <v>14</v>
      </c>
      <c r="C11" s="112" t="s">
        <v>189</v>
      </c>
      <c r="D11" s="111">
        <v>38.918999999999997</v>
      </c>
      <c r="E11" s="111">
        <v>25.155000000000005</v>
      </c>
      <c r="F11" s="111">
        <v>76.64</v>
      </c>
      <c r="G11" s="111">
        <v>75.409866666666673</v>
      </c>
      <c r="H11" s="111">
        <v>60.287399999999991</v>
      </c>
      <c r="I11" s="111">
        <v>7.0024000000000006</v>
      </c>
      <c r="J11" s="111">
        <v>2.08</v>
      </c>
      <c r="K11" s="111" t="s">
        <v>158</v>
      </c>
      <c r="L11" s="111" t="s">
        <v>158</v>
      </c>
      <c r="M11" s="111" t="s">
        <v>158</v>
      </c>
      <c r="N11" s="111" t="s">
        <v>157</v>
      </c>
      <c r="O11" s="111" t="s">
        <v>157</v>
      </c>
      <c r="P11" s="111" t="s">
        <v>157</v>
      </c>
      <c r="Q11" s="111" t="s">
        <v>157</v>
      </c>
      <c r="R11" s="111" t="s">
        <v>157</v>
      </c>
      <c r="S11" s="111" t="s">
        <v>157</v>
      </c>
      <c r="T11" s="111" t="s">
        <v>157</v>
      </c>
      <c r="U11" s="111" t="s">
        <v>157</v>
      </c>
      <c r="V11" s="111" t="s">
        <v>157</v>
      </c>
      <c r="W11" s="111" t="s">
        <v>157</v>
      </c>
      <c r="X11" s="111" t="s">
        <v>158</v>
      </c>
      <c r="Y11" s="111" t="s">
        <v>157</v>
      </c>
      <c r="Z11" s="111" t="s">
        <v>157</v>
      </c>
      <c r="AA11" s="111" t="s">
        <v>157</v>
      </c>
      <c r="AB11" s="111">
        <v>12.327599999999999</v>
      </c>
      <c r="AC11" s="111" t="s">
        <v>157</v>
      </c>
      <c r="AD11" s="111" t="s">
        <v>157</v>
      </c>
      <c r="AE11" s="111">
        <v>3.6995999999999998</v>
      </c>
      <c r="AF11" s="111" t="s">
        <v>157</v>
      </c>
      <c r="AG11" s="111">
        <v>11.947733333333332</v>
      </c>
      <c r="AH11" s="111" t="s">
        <v>157</v>
      </c>
      <c r="AI11" s="111">
        <v>11.663333333333334</v>
      </c>
      <c r="AJ11" s="111" t="s">
        <v>157</v>
      </c>
      <c r="AK11" s="111" t="s">
        <v>157</v>
      </c>
      <c r="AL11" s="111" t="s">
        <v>157</v>
      </c>
      <c r="AM11" s="111">
        <v>5.3487999999999998</v>
      </c>
      <c r="AN11" s="111" t="s">
        <v>158</v>
      </c>
      <c r="AO11" s="111" t="s">
        <v>157</v>
      </c>
      <c r="AP11" s="111" t="s">
        <v>157</v>
      </c>
      <c r="AQ11" s="111" t="s">
        <v>157</v>
      </c>
      <c r="AR11" s="111" t="s">
        <v>157</v>
      </c>
      <c r="AS11" s="111" t="s">
        <v>157</v>
      </c>
      <c r="AT11" s="111">
        <v>5.3785333333333334</v>
      </c>
      <c r="AU11" s="111" t="s">
        <v>158</v>
      </c>
      <c r="AV11" s="111" t="s">
        <v>157</v>
      </c>
      <c r="AW11" s="111" t="s">
        <v>157</v>
      </c>
      <c r="AX11" s="111" t="s">
        <v>157</v>
      </c>
      <c r="AY11" s="111" t="s">
        <v>158</v>
      </c>
      <c r="AZ11" s="111" t="s">
        <v>157</v>
      </c>
      <c r="BA11" s="111" t="s">
        <v>157</v>
      </c>
      <c r="BB11" s="111" t="s">
        <v>157</v>
      </c>
      <c r="BC11" s="111" t="s">
        <v>158</v>
      </c>
      <c r="BD11" s="111" t="s">
        <v>157</v>
      </c>
      <c r="BE11" s="111" t="s">
        <v>157</v>
      </c>
      <c r="BF11" s="111" t="s">
        <v>157</v>
      </c>
      <c r="BG11" s="111" t="s">
        <v>157</v>
      </c>
      <c r="BH11" s="111" t="s">
        <v>157</v>
      </c>
      <c r="BI11" s="111" t="s">
        <v>157</v>
      </c>
      <c r="BJ11" s="111" t="s">
        <v>157</v>
      </c>
      <c r="BK11" s="111">
        <v>84.968266666666651</v>
      </c>
      <c r="BL11" s="111">
        <v>117.81346666666666</v>
      </c>
      <c r="BM11" s="111">
        <v>91.394400000000005</v>
      </c>
      <c r="BN11" s="111">
        <v>4.3790666666666667</v>
      </c>
      <c r="BO11" s="111" t="s">
        <v>158</v>
      </c>
      <c r="BP11" s="111" t="s">
        <v>157</v>
      </c>
      <c r="BQ11" s="111" t="s">
        <v>157</v>
      </c>
      <c r="BR11" s="111" t="s">
        <v>157</v>
      </c>
      <c r="BS11" s="111" t="s">
        <v>157</v>
      </c>
      <c r="BT11" s="111" t="s">
        <v>157</v>
      </c>
      <c r="BU11" s="111" t="s">
        <v>158</v>
      </c>
    </row>
    <row r="12" spans="1:73" x14ac:dyDescent="0.25">
      <c r="A12" s="21">
        <v>41311</v>
      </c>
      <c r="B12" s="14">
        <f t="shared" si="0"/>
        <v>20</v>
      </c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</row>
    <row r="13" spans="1:73" x14ac:dyDescent="0.25">
      <c r="A13" s="21">
        <v>41318</v>
      </c>
      <c r="B13" s="14">
        <f t="shared" si="0"/>
        <v>27</v>
      </c>
      <c r="C13" s="112" t="s">
        <v>188</v>
      </c>
      <c r="D13" s="111" t="s">
        <v>158</v>
      </c>
      <c r="E13" s="111">
        <v>16.36</v>
      </c>
      <c r="F13" s="111">
        <v>86.600000000000009</v>
      </c>
      <c r="G13" s="111">
        <v>57.32</v>
      </c>
      <c r="H13" s="111">
        <v>56.1</v>
      </c>
      <c r="I13" s="111">
        <v>4.74</v>
      </c>
      <c r="J13" s="111" t="s">
        <v>158</v>
      </c>
      <c r="K13" s="111" t="s">
        <v>157</v>
      </c>
      <c r="L13" s="111" t="s">
        <v>157</v>
      </c>
      <c r="M13" s="111" t="s">
        <v>157</v>
      </c>
      <c r="N13" s="111" t="s">
        <v>157</v>
      </c>
      <c r="O13" s="111" t="s">
        <v>157</v>
      </c>
      <c r="P13" s="111" t="s">
        <v>157</v>
      </c>
      <c r="Q13" s="111" t="s">
        <v>157</v>
      </c>
      <c r="R13" s="111" t="s">
        <v>157</v>
      </c>
      <c r="S13" s="111" t="s">
        <v>157</v>
      </c>
      <c r="T13" s="111" t="s">
        <v>157</v>
      </c>
      <c r="U13" s="111" t="s">
        <v>157</v>
      </c>
      <c r="V13" s="111" t="s">
        <v>157</v>
      </c>
      <c r="W13" s="111" t="s">
        <v>157</v>
      </c>
      <c r="X13" s="111" t="s">
        <v>157</v>
      </c>
      <c r="Y13" s="111" t="s">
        <v>157</v>
      </c>
      <c r="Z13" s="111" t="s">
        <v>157</v>
      </c>
      <c r="AA13" s="111" t="s">
        <v>157</v>
      </c>
      <c r="AB13" s="111">
        <v>17.28</v>
      </c>
      <c r="AC13" s="111" t="s">
        <v>157</v>
      </c>
      <c r="AD13" s="111" t="s">
        <v>157</v>
      </c>
      <c r="AE13" s="111">
        <v>2.76</v>
      </c>
      <c r="AF13" s="111" t="s">
        <v>157</v>
      </c>
      <c r="AG13" s="111">
        <v>13.56</v>
      </c>
      <c r="AH13" s="111" t="s">
        <v>157</v>
      </c>
      <c r="AI13" s="111">
        <v>5.879999999999999</v>
      </c>
      <c r="AJ13" s="111" t="s">
        <v>157</v>
      </c>
      <c r="AK13" s="111" t="s">
        <v>157</v>
      </c>
      <c r="AL13" s="111" t="s">
        <v>157</v>
      </c>
      <c r="AM13" s="111">
        <v>5.879999999999999</v>
      </c>
      <c r="AN13" s="111" t="s">
        <v>158</v>
      </c>
      <c r="AO13" s="111" t="s">
        <v>157</v>
      </c>
      <c r="AP13" s="111" t="s">
        <v>157</v>
      </c>
      <c r="AQ13" s="111" t="s">
        <v>157</v>
      </c>
      <c r="AR13" s="111" t="s">
        <v>157</v>
      </c>
      <c r="AS13" s="111" t="s">
        <v>157</v>
      </c>
      <c r="AT13" s="111">
        <v>5.84</v>
      </c>
      <c r="AU13" s="111" t="s">
        <v>158</v>
      </c>
      <c r="AV13" s="111" t="s">
        <v>157</v>
      </c>
      <c r="AW13" s="111" t="s">
        <v>157</v>
      </c>
      <c r="AX13" s="111" t="s">
        <v>157</v>
      </c>
      <c r="AY13" s="111" t="s">
        <v>158</v>
      </c>
      <c r="AZ13" s="111" t="s">
        <v>157</v>
      </c>
      <c r="BA13" s="111" t="s">
        <v>157</v>
      </c>
      <c r="BB13" s="111" t="s">
        <v>157</v>
      </c>
      <c r="BC13" s="111" t="s">
        <v>157</v>
      </c>
      <c r="BD13" s="111" t="s">
        <v>157</v>
      </c>
      <c r="BE13" s="111" t="s">
        <v>157</v>
      </c>
      <c r="BF13" s="111" t="s">
        <v>157</v>
      </c>
      <c r="BG13" s="111" t="s">
        <v>157</v>
      </c>
      <c r="BH13" s="111" t="s">
        <v>157</v>
      </c>
      <c r="BI13" s="111" t="s">
        <v>157</v>
      </c>
      <c r="BJ13" s="111" t="s">
        <v>157</v>
      </c>
      <c r="BK13" s="111">
        <v>19.200000000000003</v>
      </c>
      <c r="BL13" s="111">
        <v>13.36</v>
      </c>
      <c r="BM13" s="111">
        <v>18.82</v>
      </c>
      <c r="BN13" s="111" t="s">
        <v>157</v>
      </c>
      <c r="BO13" s="111" t="s">
        <v>157</v>
      </c>
      <c r="BP13" s="111" t="s">
        <v>157</v>
      </c>
      <c r="BQ13" s="111" t="s">
        <v>157</v>
      </c>
      <c r="BR13" s="111" t="s">
        <v>157</v>
      </c>
      <c r="BS13" s="111" t="s">
        <v>157</v>
      </c>
      <c r="BT13" s="111" t="s">
        <v>157</v>
      </c>
      <c r="BU13" s="111" t="s">
        <v>157</v>
      </c>
    </row>
    <row r="14" spans="1:73" x14ac:dyDescent="0.25">
      <c r="A14" s="21">
        <v>41326</v>
      </c>
      <c r="B14" s="14">
        <f t="shared" si="0"/>
        <v>35</v>
      </c>
      <c r="C14" s="108"/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  <c r="BE14" s="108"/>
      <c r="BF14" s="108"/>
      <c r="BG14" s="108"/>
      <c r="BH14" s="108"/>
      <c r="BI14" s="108"/>
      <c r="BJ14" s="108"/>
      <c r="BK14" s="108"/>
      <c r="BL14" s="108"/>
      <c r="BM14" s="108"/>
      <c r="BN14" s="108"/>
      <c r="BO14" s="108"/>
      <c r="BP14" s="108"/>
      <c r="BQ14" s="108"/>
      <c r="BR14" s="108"/>
      <c r="BS14" s="108"/>
      <c r="BT14" s="108"/>
      <c r="BU14" s="108"/>
    </row>
    <row r="15" spans="1:73" x14ac:dyDescent="0.25">
      <c r="A15" s="21">
        <v>41332</v>
      </c>
      <c r="B15" s="14">
        <f t="shared" si="0"/>
        <v>41</v>
      </c>
      <c r="C15" s="108"/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108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  <c r="BE15" s="108"/>
      <c r="BF15" s="108"/>
      <c r="BG15" s="108"/>
      <c r="BH15" s="108"/>
      <c r="BI15" s="108"/>
      <c r="BJ15" s="108"/>
      <c r="BK15" s="108"/>
      <c r="BL15" s="108"/>
      <c r="BM15" s="108"/>
      <c r="BN15" s="108"/>
      <c r="BO15" s="108"/>
      <c r="BP15" s="108"/>
      <c r="BQ15" s="108"/>
      <c r="BR15" s="108"/>
      <c r="BS15" s="108"/>
      <c r="BT15" s="108"/>
      <c r="BU15" s="108"/>
    </row>
    <row r="16" spans="1:73" x14ac:dyDescent="0.25">
      <c r="A16" s="21">
        <v>41339</v>
      </c>
      <c r="B16" s="14">
        <f t="shared" si="0"/>
        <v>48</v>
      </c>
      <c r="C16" s="108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  <c r="BE16" s="108"/>
      <c r="BF16" s="108"/>
      <c r="BG16" s="108"/>
      <c r="BH16" s="108"/>
      <c r="BI16" s="108"/>
      <c r="BJ16" s="108"/>
      <c r="BK16" s="108"/>
      <c r="BL16" s="108"/>
      <c r="BM16" s="108"/>
      <c r="BN16" s="108"/>
      <c r="BO16" s="108"/>
      <c r="BP16" s="108"/>
      <c r="BQ16" s="108"/>
      <c r="BR16" s="108"/>
      <c r="BS16" s="108"/>
      <c r="BT16" s="108"/>
      <c r="BU16" s="108"/>
    </row>
    <row r="17" spans="1:73" x14ac:dyDescent="0.25">
      <c r="A17" s="21">
        <v>41353</v>
      </c>
      <c r="B17" s="14">
        <f t="shared" si="0"/>
        <v>62</v>
      </c>
      <c r="C17" s="112" t="s">
        <v>189</v>
      </c>
      <c r="D17" s="111">
        <v>24.799999999999997</v>
      </c>
      <c r="E17" s="111">
        <v>19.68</v>
      </c>
      <c r="F17" s="111">
        <v>82.34</v>
      </c>
      <c r="G17" s="111">
        <v>72.147799999999989</v>
      </c>
      <c r="H17" s="111">
        <v>63.789066666666677</v>
      </c>
      <c r="I17" s="111">
        <v>5.9599999999999991</v>
      </c>
      <c r="J17" s="111" t="s">
        <v>158</v>
      </c>
      <c r="K17" s="111" t="s">
        <v>157</v>
      </c>
      <c r="L17" s="111" t="s">
        <v>157</v>
      </c>
      <c r="M17" s="111" t="s">
        <v>157</v>
      </c>
      <c r="N17" s="111" t="s">
        <v>157</v>
      </c>
      <c r="O17" s="111" t="s">
        <v>157</v>
      </c>
      <c r="P17" s="111" t="s">
        <v>157</v>
      </c>
      <c r="Q17" s="111" t="s">
        <v>157</v>
      </c>
      <c r="R17" s="111" t="s">
        <v>157</v>
      </c>
      <c r="S17" s="111" t="s">
        <v>157</v>
      </c>
      <c r="T17" s="111" t="s">
        <v>157</v>
      </c>
      <c r="U17" s="111" t="s">
        <v>157</v>
      </c>
      <c r="V17" s="111" t="s">
        <v>157</v>
      </c>
      <c r="W17" s="111" t="s">
        <v>157</v>
      </c>
      <c r="X17" s="111" t="s">
        <v>157</v>
      </c>
      <c r="Y17" s="111" t="s">
        <v>157</v>
      </c>
      <c r="Z17" s="111" t="s">
        <v>157</v>
      </c>
      <c r="AA17" s="111" t="s">
        <v>157</v>
      </c>
      <c r="AB17" s="111">
        <v>12.92</v>
      </c>
      <c r="AC17" s="111" t="s">
        <v>157</v>
      </c>
      <c r="AD17" s="111" t="s">
        <v>157</v>
      </c>
      <c r="AE17" s="111">
        <v>4.5200000000000005</v>
      </c>
      <c r="AF17" s="111" t="s">
        <v>157</v>
      </c>
      <c r="AG17" s="111">
        <v>9.6594666666666669</v>
      </c>
      <c r="AH17" s="111" t="s">
        <v>157</v>
      </c>
      <c r="AI17" s="111">
        <v>5.42</v>
      </c>
      <c r="AJ17" s="111" t="s">
        <v>157</v>
      </c>
      <c r="AK17" s="111" t="s">
        <v>157</v>
      </c>
      <c r="AL17" s="111" t="s">
        <v>157</v>
      </c>
      <c r="AM17" s="111">
        <v>5.5575999999999999</v>
      </c>
      <c r="AN17" s="111" t="s">
        <v>158</v>
      </c>
      <c r="AO17" s="111" t="s">
        <v>157</v>
      </c>
      <c r="AP17" s="111" t="s">
        <v>157</v>
      </c>
      <c r="AQ17" s="111" t="s">
        <v>157</v>
      </c>
      <c r="AR17" s="111" t="s">
        <v>157</v>
      </c>
      <c r="AS17" s="111" t="s">
        <v>157</v>
      </c>
      <c r="AT17" s="111">
        <v>4.5999999999999996</v>
      </c>
      <c r="AU17" s="111" t="s">
        <v>158</v>
      </c>
      <c r="AV17" s="111" t="s">
        <v>157</v>
      </c>
      <c r="AW17" s="111" t="s">
        <v>157</v>
      </c>
      <c r="AX17" s="111" t="s">
        <v>157</v>
      </c>
      <c r="AY17" s="111" t="s">
        <v>158</v>
      </c>
      <c r="AZ17" s="111" t="s">
        <v>157</v>
      </c>
      <c r="BA17" s="111" t="s">
        <v>157</v>
      </c>
      <c r="BB17" s="111" t="s">
        <v>157</v>
      </c>
      <c r="BC17" s="111" t="s">
        <v>157</v>
      </c>
      <c r="BD17" s="111" t="s">
        <v>157</v>
      </c>
      <c r="BE17" s="111" t="s">
        <v>157</v>
      </c>
      <c r="BF17" s="111" t="s">
        <v>157</v>
      </c>
      <c r="BG17" s="111" t="s">
        <v>157</v>
      </c>
      <c r="BH17" s="111" t="s">
        <v>157</v>
      </c>
      <c r="BI17" s="111" t="s">
        <v>157</v>
      </c>
      <c r="BJ17" s="111" t="s">
        <v>157</v>
      </c>
      <c r="BK17" s="111">
        <v>2.4809999999999999</v>
      </c>
      <c r="BL17" s="111" t="s">
        <v>158</v>
      </c>
      <c r="BM17" s="111">
        <v>4.0067999999999993</v>
      </c>
      <c r="BN17" s="111" t="s">
        <v>157</v>
      </c>
      <c r="BO17" s="111" t="s">
        <v>157</v>
      </c>
      <c r="BP17" s="111" t="s">
        <v>157</v>
      </c>
      <c r="BQ17" s="111" t="s">
        <v>157</v>
      </c>
      <c r="BR17" s="111" t="s">
        <v>157</v>
      </c>
      <c r="BS17" s="111" t="s">
        <v>157</v>
      </c>
      <c r="BT17" s="111" t="s">
        <v>157</v>
      </c>
      <c r="BU17" s="111" t="s">
        <v>157</v>
      </c>
    </row>
    <row r="18" spans="1:73" x14ac:dyDescent="0.25">
      <c r="A18" s="21">
        <v>41367</v>
      </c>
      <c r="B18" s="14">
        <f t="shared" si="0"/>
        <v>76</v>
      </c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</row>
    <row r="19" spans="1:73" x14ac:dyDescent="0.25">
      <c r="A19" s="21">
        <v>41381</v>
      </c>
      <c r="B19" s="14">
        <f t="shared" si="0"/>
        <v>90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</row>
    <row r="20" spans="1:73" x14ac:dyDescent="0.25">
      <c r="A20" s="21">
        <v>41395</v>
      </c>
      <c r="B20" s="14">
        <f t="shared" si="0"/>
        <v>104</v>
      </c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</row>
    <row r="21" spans="1:73" x14ac:dyDescent="0.25">
      <c r="A21" s="21">
        <v>41410</v>
      </c>
      <c r="B21" s="14">
        <f t="shared" si="0"/>
        <v>119</v>
      </c>
      <c r="C21" s="112" t="s">
        <v>189</v>
      </c>
      <c r="D21" s="111">
        <v>21.439999999999998</v>
      </c>
      <c r="E21" s="111">
        <v>28.720000000000006</v>
      </c>
      <c r="F21" s="111">
        <v>101.28</v>
      </c>
      <c r="G21" s="111">
        <v>71.84</v>
      </c>
      <c r="H21" s="111">
        <v>65.260000000000005</v>
      </c>
      <c r="I21" s="111">
        <v>3.5902666666666665</v>
      </c>
      <c r="J21" s="111" t="s">
        <v>158</v>
      </c>
      <c r="K21" s="111" t="s">
        <v>157</v>
      </c>
      <c r="L21" s="111" t="s">
        <v>157</v>
      </c>
      <c r="M21" s="111" t="s">
        <v>157</v>
      </c>
      <c r="N21" s="111" t="s">
        <v>157</v>
      </c>
      <c r="O21" s="111" t="s">
        <v>157</v>
      </c>
      <c r="P21" s="111" t="s">
        <v>157</v>
      </c>
      <c r="Q21" s="111" t="s">
        <v>157</v>
      </c>
      <c r="R21" s="111" t="s">
        <v>157</v>
      </c>
      <c r="S21" s="111" t="s">
        <v>157</v>
      </c>
      <c r="T21" s="111" t="s">
        <v>157</v>
      </c>
      <c r="U21" s="111" t="s">
        <v>157</v>
      </c>
      <c r="V21" s="111" t="s">
        <v>157</v>
      </c>
      <c r="W21" s="111" t="s">
        <v>157</v>
      </c>
      <c r="X21" s="111" t="s">
        <v>157</v>
      </c>
      <c r="Y21" s="111" t="s">
        <v>157</v>
      </c>
      <c r="Z21" s="111" t="s">
        <v>157</v>
      </c>
      <c r="AA21" s="111" t="s">
        <v>157</v>
      </c>
      <c r="AB21" s="111">
        <v>8.7559999999999985</v>
      </c>
      <c r="AC21" s="111" t="s">
        <v>157</v>
      </c>
      <c r="AD21" s="111" t="s">
        <v>157</v>
      </c>
      <c r="AE21" s="111">
        <v>5.6374666666666657</v>
      </c>
      <c r="AF21" s="111" t="s">
        <v>157</v>
      </c>
      <c r="AG21" s="111">
        <v>12.237599999999999</v>
      </c>
      <c r="AH21" s="111" t="s">
        <v>157</v>
      </c>
      <c r="AI21" s="111">
        <v>3.5750000000000002</v>
      </c>
      <c r="AJ21" s="111" t="s">
        <v>157</v>
      </c>
      <c r="AK21" s="111" t="s">
        <v>157</v>
      </c>
      <c r="AL21" s="111" t="s">
        <v>157</v>
      </c>
      <c r="AM21" s="111">
        <v>9.6301999999999985</v>
      </c>
      <c r="AN21" s="111" t="s">
        <v>158</v>
      </c>
      <c r="AO21" s="111" t="s">
        <v>157</v>
      </c>
      <c r="AP21" s="111" t="s">
        <v>157</v>
      </c>
      <c r="AQ21" s="111" t="s">
        <v>157</v>
      </c>
      <c r="AR21" s="111" t="s">
        <v>157</v>
      </c>
      <c r="AS21" s="111" t="s">
        <v>157</v>
      </c>
      <c r="AT21" s="111">
        <v>3.48</v>
      </c>
      <c r="AU21" s="111" t="s">
        <v>158</v>
      </c>
      <c r="AV21" s="111" t="s">
        <v>157</v>
      </c>
      <c r="AW21" s="111" t="s">
        <v>157</v>
      </c>
      <c r="AX21" s="111" t="s">
        <v>157</v>
      </c>
      <c r="AY21" s="111" t="s">
        <v>158</v>
      </c>
      <c r="AZ21" s="111" t="s">
        <v>157</v>
      </c>
      <c r="BA21" s="111" t="s">
        <v>157</v>
      </c>
      <c r="BB21" s="111" t="s">
        <v>157</v>
      </c>
      <c r="BC21" s="111" t="s">
        <v>157</v>
      </c>
      <c r="BD21" s="111" t="s">
        <v>157</v>
      </c>
      <c r="BE21" s="111" t="s">
        <v>157</v>
      </c>
      <c r="BF21" s="111" t="s">
        <v>157</v>
      </c>
      <c r="BG21" s="111" t="s">
        <v>157</v>
      </c>
      <c r="BH21" s="111" t="s">
        <v>157</v>
      </c>
      <c r="BI21" s="111" t="s">
        <v>157</v>
      </c>
      <c r="BJ21" s="111" t="s">
        <v>157</v>
      </c>
      <c r="BK21" s="111">
        <v>4.6844000000000001</v>
      </c>
      <c r="BL21" s="111">
        <v>2.9799999999999995</v>
      </c>
      <c r="BM21" s="111">
        <v>10.348133333333333</v>
      </c>
      <c r="BN21" s="111" t="s">
        <v>157</v>
      </c>
      <c r="BO21" s="111" t="s">
        <v>157</v>
      </c>
      <c r="BP21" s="111" t="s">
        <v>157</v>
      </c>
      <c r="BQ21" s="111" t="s">
        <v>157</v>
      </c>
      <c r="BR21" s="111" t="s">
        <v>157</v>
      </c>
      <c r="BS21" s="111" t="s">
        <v>157</v>
      </c>
      <c r="BT21" s="111" t="s">
        <v>157</v>
      </c>
      <c r="BU21" s="111" t="s">
        <v>157</v>
      </c>
    </row>
    <row r="22" spans="1:73" x14ac:dyDescent="0.25">
      <c r="A22" s="21">
        <v>41424</v>
      </c>
      <c r="B22" s="14">
        <f t="shared" si="0"/>
        <v>133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</row>
    <row r="23" spans="1:73" x14ac:dyDescent="0.25">
      <c r="A23" s="21">
        <v>41436</v>
      </c>
      <c r="B23" s="14">
        <f t="shared" si="0"/>
        <v>145</v>
      </c>
      <c r="C23" s="108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</row>
    <row r="24" spans="1:73" x14ac:dyDescent="0.25">
      <c r="A24" s="21">
        <v>41452</v>
      </c>
      <c r="B24" s="14">
        <f t="shared" si="0"/>
        <v>161</v>
      </c>
      <c r="C24" s="108"/>
      <c r="D24" s="108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</row>
    <row r="25" spans="1:73" x14ac:dyDescent="0.25">
      <c r="A25" s="21">
        <v>41465</v>
      </c>
      <c r="B25" s="14">
        <f t="shared" si="0"/>
        <v>174</v>
      </c>
      <c r="C25" s="112" t="s">
        <v>188</v>
      </c>
      <c r="D25" s="111" t="s">
        <v>158</v>
      </c>
      <c r="E25" s="111">
        <v>25.839999999999996</v>
      </c>
      <c r="F25" s="111">
        <v>124.34</v>
      </c>
      <c r="G25" s="111">
        <v>89</v>
      </c>
      <c r="H25" s="111">
        <v>72.94</v>
      </c>
      <c r="I25" s="111">
        <v>3.06</v>
      </c>
      <c r="J25" s="111" t="s">
        <v>158</v>
      </c>
      <c r="K25" s="111" t="s">
        <v>157</v>
      </c>
      <c r="L25" s="111" t="s">
        <v>157</v>
      </c>
      <c r="M25" s="111" t="s">
        <v>157</v>
      </c>
      <c r="N25" s="111" t="s">
        <v>157</v>
      </c>
      <c r="O25" s="111" t="s">
        <v>157</v>
      </c>
      <c r="P25" s="111" t="s">
        <v>157</v>
      </c>
      <c r="Q25" s="111" t="s">
        <v>157</v>
      </c>
      <c r="R25" s="111" t="s">
        <v>157</v>
      </c>
      <c r="S25" s="111" t="s">
        <v>157</v>
      </c>
      <c r="T25" s="111" t="s">
        <v>157</v>
      </c>
      <c r="U25" s="111" t="s">
        <v>157</v>
      </c>
      <c r="V25" s="111" t="s">
        <v>157</v>
      </c>
      <c r="W25" s="111" t="s">
        <v>157</v>
      </c>
      <c r="X25" s="111" t="s">
        <v>157</v>
      </c>
      <c r="Y25" s="111" t="s">
        <v>157</v>
      </c>
      <c r="Z25" s="111" t="s">
        <v>157</v>
      </c>
      <c r="AA25" s="111" t="s">
        <v>157</v>
      </c>
      <c r="AB25" s="111">
        <v>12.62</v>
      </c>
      <c r="AC25" s="111" t="s">
        <v>157</v>
      </c>
      <c r="AD25" s="111" t="s">
        <v>157</v>
      </c>
      <c r="AE25" s="111">
        <v>5.88</v>
      </c>
      <c r="AF25" s="111" t="s">
        <v>157</v>
      </c>
      <c r="AG25" s="111">
        <v>17.66</v>
      </c>
      <c r="AH25" s="111" t="s">
        <v>157</v>
      </c>
      <c r="AI25" s="111">
        <v>3.54</v>
      </c>
      <c r="AJ25" s="111" t="s">
        <v>157</v>
      </c>
      <c r="AK25" s="111" t="s">
        <v>157</v>
      </c>
      <c r="AL25" s="111" t="s">
        <v>157</v>
      </c>
      <c r="AM25" s="111">
        <v>7.18</v>
      </c>
      <c r="AN25" s="111" t="s">
        <v>158</v>
      </c>
      <c r="AO25" s="111" t="s">
        <v>157</v>
      </c>
      <c r="AP25" s="111" t="s">
        <v>157</v>
      </c>
      <c r="AQ25" s="111" t="s">
        <v>157</v>
      </c>
      <c r="AR25" s="111" t="s">
        <v>157</v>
      </c>
      <c r="AS25" s="111" t="s">
        <v>157</v>
      </c>
      <c r="AT25" s="111">
        <v>5.26</v>
      </c>
      <c r="AU25" s="111" t="s">
        <v>158</v>
      </c>
      <c r="AV25" s="111" t="s">
        <v>157</v>
      </c>
      <c r="AW25" s="111" t="s">
        <v>157</v>
      </c>
      <c r="AX25" s="111" t="s">
        <v>157</v>
      </c>
      <c r="AY25" s="111">
        <v>2.3199999999999998</v>
      </c>
      <c r="AZ25" s="111" t="s">
        <v>157</v>
      </c>
      <c r="BA25" s="111" t="s">
        <v>157</v>
      </c>
      <c r="BB25" s="111" t="s">
        <v>157</v>
      </c>
      <c r="BC25" s="111" t="s">
        <v>157</v>
      </c>
      <c r="BD25" s="111" t="s">
        <v>157</v>
      </c>
      <c r="BE25" s="111" t="s">
        <v>157</v>
      </c>
      <c r="BF25" s="111" t="s">
        <v>157</v>
      </c>
      <c r="BG25" s="111" t="s">
        <v>157</v>
      </c>
      <c r="BH25" s="111" t="s">
        <v>157</v>
      </c>
      <c r="BI25" s="111" t="s">
        <v>157</v>
      </c>
      <c r="BJ25" s="111" t="s">
        <v>157</v>
      </c>
      <c r="BK25" s="111">
        <v>10.120000000000001</v>
      </c>
      <c r="BL25" s="111">
        <v>8.0399999999999991</v>
      </c>
      <c r="BM25" s="111">
        <v>16.72</v>
      </c>
      <c r="BN25" s="111" t="s">
        <v>157</v>
      </c>
      <c r="BO25" s="111" t="s">
        <v>157</v>
      </c>
      <c r="BP25" s="111" t="s">
        <v>157</v>
      </c>
      <c r="BQ25" s="111" t="s">
        <v>157</v>
      </c>
      <c r="BR25" s="111" t="s">
        <v>157</v>
      </c>
      <c r="BS25" s="111" t="s">
        <v>157</v>
      </c>
      <c r="BT25" s="111" t="s">
        <v>157</v>
      </c>
      <c r="BU25" s="111" t="s">
        <v>157</v>
      </c>
    </row>
    <row r="26" spans="1:73" x14ac:dyDescent="0.25">
      <c r="A26" s="21">
        <v>41479</v>
      </c>
      <c r="B26" s="14">
        <f t="shared" si="0"/>
        <v>188</v>
      </c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</row>
    <row r="27" spans="1:73" x14ac:dyDescent="0.25">
      <c r="A27" s="21">
        <v>41493</v>
      </c>
      <c r="B27" s="14">
        <f t="shared" si="0"/>
        <v>202</v>
      </c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</row>
    <row r="28" spans="1:73" x14ac:dyDescent="0.25">
      <c r="A28" s="21">
        <v>41507</v>
      </c>
      <c r="B28" s="14">
        <f>A28-$B$2</f>
        <v>216</v>
      </c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</row>
    <row r="29" spans="1:73" x14ac:dyDescent="0.25">
      <c r="A29" s="21">
        <v>41521</v>
      </c>
      <c r="B29" s="14">
        <f>A29-$B$2</f>
        <v>230</v>
      </c>
      <c r="C29" s="112" t="s">
        <v>188</v>
      </c>
      <c r="D29" s="111" t="s">
        <v>158</v>
      </c>
      <c r="E29" s="111">
        <v>24.200000000000003</v>
      </c>
      <c r="F29" s="111">
        <v>107.68</v>
      </c>
      <c r="G29" s="111">
        <v>83.84</v>
      </c>
      <c r="H29" s="111">
        <v>64.34</v>
      </c>
      <c r="I29" s="111">
        <v>3.38</v>
      </c>
      <c r="J29" s="111" t="s">
        <v>158</v>
      </c>
      <c r="K29" s="111" t="s">
        <v>157</v>
      </c>
      <c r="L29" s="111" t="s">
        <v>157</v>
      </c>
      <c r="M29" s="111" t="s">
        <v>157</v>
      </c>
      <c r="N29" s="111" t="s">
        <v>157</v>
      </c>
      <c r="O29" s="111" t="s">
        <v>157</v>
      </c>
      <c r="P29" s="111" t="s">
        <v>157</v>
      </c>
      <c r="Q29" s="111" t="s">
        <v>157</v>
      </c>
      <c r="R29" s="111" t="s">
        <v>157</v>
      </c>
      <c r="S29" s="111" t="s">
        <v>157</v>
      </c>
      <c r="T29" s="111" t="s">
        <v>157</v>
      </c>
      <c r="U29" s="111" t="s">
        <v>157</v>
      </c>
      <c r="V29" s="111" t="s">
        <v>157</v>
      </c>
      <c r="W29" s="111" t="s">
        <v>157</v>
      </c>
      <c r="X29" s="111" t="s">
        <v>157</v>
      </c>
      <c r="Y29" s="111" t="s">
        <v>157</v>
      </c>
      <c r="Z29" s="111" t="s">
        <v>157</v>
      </c>
      <c r="AA29" s="111" t="s">
        <v>157</v>
      </c>
      <c r="AB29" s="111">
        <v>8.06</v>
      </c>
      <c r="AC29" s="111" t="s">
        <v>157</v>
      </c>
      <c r="AD29" s="111" t="s">
        <v>157</v>
      </c>
      <c r="AE29" s="111">
        <v>5.08</v>
      </c>
      <c r="AF29" s="111" t="s">
        <v>157</v>
      </c>
      <c r="AG29" s="111">
        <v>15.82</v>
      </c>
      <c r="AH29" s="111" t="s">
        <v>157</v>
      </c>
      <c r="AI29" s="111">
        <v>2.7800000000000002</v>
      </c>
      <c r="AJ29" s="111" t="s">
        <v>157</v>
      </c>
      <c r="AK29" s="111" t="s">
        <v>157</v>
      </c>
      <c r="AL29" s="111" t="s">
        <v>157</v>
      </c>
      <c r="AM29" s="111">
        <v>7.6</v>
      </c>
      <c r="AN29" s="111" t="s">
        <v>158</v>
      </c>
      <c r="AO29" s="111" t="s">
        <v>157</v>
      </c>
      <c r="AP29" s="111" t="s">
        <v>157</v>
      </c>
      <c r="AQ29" s="111" t="s">
        <v>157</v>
      </c>
      <c r="AR29" s="111" t="s">
        <v>157</v>
      </c>
      <c r="AS29" s="111" t="s">
        <v>157</v>
      </c>
      <c r="AT29" s="111">
        <v>3.7599999999999993</v>
      </c>
      <c r="AU29" s="111" t="s">
        <v>158</v>
      </c>
      <c r="AV29" s="111" t="s">
        <v>157</v>
      </c>
      <c r="AW29" s="111" t="s">
        <v>157</v>
      </c>
      <c r="AX29" s="111" t="s">
        <v>157</v>
      </c>
      <c r="AY29" s="111" t="s">
        <v>158</v>
      </c>
      <c r="AZ29" s="111" t="s">
        <v>157</v>
      </c>
      <c r="BA29" s="111" t="s">
        <v>157</v>
      </c>
      <c r="BB29" s="111" t="s">
        <v>157</v>
      </c>
      <c r="BC29" s="111" t="s">
        <v>157</v>
      </c>
      <c r="BD29" s="111" t="s">
        <v>157</v>
      </c>
      <c r="BE29" s="111" t="s">
        <v>157</v>
      </c>
      <c r="BF29" s="111" t="s">
        <v>157</v>
      </c>
      <c r="BG29" s="111" t="s">
        <v>157</v>
      </c>
      <c r="BH29" s="111" t="s">
        <v>157</v>
      </c>
      <c r="BI29" s="111" t="s">
        <v>157</v>
      </c>
      <c r="BJ29" s="111" t="s">
        <v>157</v>
      </c>
      <c r="BK29" s="111">
        <v>4.74</v>
      </c>
      <c r="BL29" s="111">
        <v>2.0399999999999996</v>
      </c>
      <c r="BM29" s="111">
        <v>4.58</v>
      </c>
      <c r="BN29" s="111" t="s">
        <v>157</v>
      </c>
      <c r="BO29" s="111" t="s">
        <v>157</v>
      </c>
      <c r="BP29" s="111" t="s">
        <v>157</v>
      </c>
      <c r="BQ29" s="111" t="s">
        <v>157</v>
      </c>
      <c r="BR29" s="111" t="s">
        <v>157</v>
      </c>
      <c r="BS29" s="111" t="s">
        <v>157</v>
      </c>
      <c r="BT29" s="111" t="s">
        <v>157</v>
      </c>
      <c r="BU29" s="111" t="s">
        <v>157</v>
      </c>
    </row>
    <row r="30" spans="1:73" x14ac:dyDescent="0.25">
      <c r="A30" s="21">
        <v>41535</v>
      </c>
      <c r="B30" s="14">
        <f>A30-$B$2</f>
        <v>244</v>
      </c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8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08"/>
      <c r="BJ30" s="108"/>
      <c r="BK30" s="108"/>
      <c r="BL30" s="108"/>
      <c r="BM30" s="108"/>
      <c r="BN30" s="108"/>
      <c r="BO30" s="108"/>
      <c r="BP30" s="108"/>
      <c r="BQ30" s="108"/>
      <c r="BR30" s="108"/>
      <c r="BS30" s="108"/>
      <c r="BT30" s="108"/>
      <c r="BU30" s="108"/>
    </row>
    <row r="31" spans="1:73" x14ac:dyDescent="0.25">
      <c r="A31" s="21">
        <v>41551</v>
      </c>
      <c r="B31" s="14">
        <f>A31-$B$2</f>
        <v>260</v>
      </c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8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  <c r="BE31" s="108"/>
      <c r="BF31" s="108"/>
      <c r="BG31" s="108"/>
      <c r="BH31" s="108"/>
      <c r="BI31" s="108"/>
      <c r="BJ31" s="108"/>
      <c r="BK31" s="108"/>
      <c r="BL31" s="108"/>
      <c r="BM31" s="108"/>
      <c r="BN31" s="108"/>
      <c r="BO31" s="108"/>
      <c r="BP31" s="108"/>
      <c r="BQ31" s="108"/>
      <c r="BR31" s="108"/>
      <c r="BS31" s="108"/>
      <c r="BT31" s="108"/>
      <c r="BU31" s="108"/>
    </row>
    <row r="32" spans="1:73" x14ac:dyDescent="0.25">
      <c r="A32" s="21">
        <v>41564</v>
      </c>
      <c r="B32" s="14">
        <f>A32-$B$2</f>
        <v>273</v>
      </c>
      <c r="C32" s="112" t="s">
        <v>188</v>
      </c>
      <c r="D32" s="111" t="s">
        <v>158</v>
      </c>
      <c r="E32" s="111">
        <v>21.84</v>
      </c>
      <c r="F32" s="111">
        <v>105</v>
      </c>
      <c r="G32" s="111">
        <v>77.680000000000007</v>
      </c>
      <c r="H32" s="111">
        <v>63.859999999999992</v>
      </c>
      <c r="I32" s="111">
        <v>4.5599999999999996</v>
      </c>
      <c r="J32" s="111" t="s">
        <v>158</v>
      </c>
      <c r="K32" s="111" t="s">
        <v>157</v>
      </c>
      <c r="L32" s="111" t="s">
        <v>157</v>
      </c>
      <c r="M32" s="111" t="s">
        <v>157</v>
      </c>
      <c r="N32" s="111" t="s">
        <v>157</v>
      </c>
      <c r="O32" s="111" t="s">
        <v>157</v>
      </c>
      <c r="P32" s="111" t="s">
        <v>157</v>
      </c>
      <c r="Q32" s="111" t="s">
        <v>157</v>
      </c>
      <c r="R32" s="111" t="s">
        <v>157</v>
      </c>
      <c r="S32" s="111" t="s">
        <v>157</v>
      </c>
      <c r="T32" s="111" t="s">
        <v>157</v>
      </c>
      <c r="U32" s="111" t="s">
        <v>157</v>
      </c>
      <c r="V32" s="111" t="s">
        <v>157</v>
      </c>
      <c r="W32" s="111" t="s">
        <v>157</v>
      </c>
      <c r="X32" s="111" t="s">
        <v>157</v>
      </c>
      <c r="Y32" s="111" t="s">
        <v>157</v>
      </c>
      <c r="Z32" s="111" t="s">
        <v>157</v>
      </c>
      <c r="AA32" s="111" t="s">
        <v>157</v>
      </c>
      <c r="AB32" s="111">
        <v>10.48</v>
      </c>
      <c r="AC32" s="111" t="s">
        <v>157</v>
      </c>
      <c r="AD32" s="111" t="s">
        <v>157</v>
      </c>
      <c r="AE32" s="111">
        <v>4.9000000000000004</v>
      </c>
      <c r="AF32" s="111" t="s">
        <v>157</v>
      </c>
      <c r="AG32" s="111">
        <v>14.36</v>
      </c>
      <c r="AH32" s="111" t="s">
        <v>157</v>
      </c>
      <c r="AI32" s="111" t="s">
        <v>158</v>
      </c>
      <c r="AJ32" s="111" t="s">
        <v>157</v>
      </c>
      <c r="AK32" s="111" t="s">
        <v>157</v>
      </c>
      <c r="AL32" s="111" t="s">
        <v>157</v>
      </c>
      <c r="AM32" s="111">
        <v>6.7600000000000007</v>
      </c>
      <c r="AN32" s="111" t="s">
        <v>158</v>
      </c>
      <c r="AO32" s="111" t="s">
        <v>157</v>
      </c>
      <c r="AP32" s="111" t="s">
        <v>157</v>
      </c>
      <c r="AQ32" s="111" t="s">
        <v>157</v>
      </c>
      <c r="AR32" s="111" t="s">
        <v>157</v>
      </c>
      <c r="AS32" s="111" t="s">
        <v>157</v>
      </c>
      <c r="AT32" s="111">
        <v>5.44</v>
      </c>
      <c r="AU32" s="111" t="s">
        <v>158</v>
      </c>
      <c r="AV32" s="111" t="s">
        <v>157</v>
      </c>
      <c r="AW32" s="111" t="s">
        <v>157</v>
      </c>
      <c r="AX32" s="111" t="s">
        <v>157</v>
      </c>
      <c r="AY32" s="111" t="s">
        <v>158</v>
      </c>
      <c r="AZ32" s="111" t="s">
        <v>157</v>
      </c>
      <c r="BA32" s="111" t="s">
        <v>157</v>
      </c>
      <c r="BB32" s="111" t="s">
        <v>157</v>
      </c>
      <c r="BC32" s="111" t="s">
        <v>157</v>
      </c>
      <c r="BD32" s="111" t="s">
        <v>157</v>
      </c>
      <c r="BE32" s="111" t="s">
        <v>157</v>
      </c>
      <c r="BF32" s="111" t="s">
        <v>157</v>
      </c>
      <c r="BG32" s="111" t="s">
        <v>157</v>
      </c>
      <c r="BH32" s="111" t="s">
        <v>157</v>
      </c>
      <c r="BI32" s="111" t="s">
        <v>157</v>
      </c>
      <c r="BJ32" s="111" t="s">
        <v>157</v>
      </c>
      <c r="BK32" s="111">
        <v>2.16</v>
      </c>
      <c r="BL32" s="111" t="s">
        <v>158</v>
      </c>
      <c r="BM32" s="111">
        <v>4.0200000000000005</v>
      </c>
      <c r="BN32" s="111" t="s">
        <v>157</v>
      </c>
      <c r="BO32" s="111" t="s">
        <v>157</v>
      </c>
      <c r="BP32" s="111" t="s">
        <v>157</v>
      </c>
      <c r="BQ32" s="111" t="s">
        <v>157</v>
      </c>
      <c r="BR32" s="111" t="s">
        <v>157</v>
      </c>
      <c r="BS32" s="111" t="s">
        <v>157</v>
      </c>
      <c r="BT32" s="111" t="s">
        <v>157</v>
      </c>
      <c r="BU32" s="111" t="s">
        <v>157</v>
      </c>
    </row>
    <row r="34" spans="1:74" s="162" customFormat="1" x14ac:dyDescent="0.25">
      <c r="A34" s="127"/>
      <c r="B34" s="205"/>
      <c r="C34" s="130" t="s">
        <v>240</v>
      </c>
      <c r="D34" s="129">
        <f>COUNTIF(D9:D32,"ND")</f>
        <v>0</v>
      </c>
      <c r="E34" s="129">
        <f t="shared" ref="E34:BP34" si="1">COUNTIF(E9:E32,"ND")</f>
        <v>0</v>
      </c>
      <c r="F34" s="129">
        <f t="shared" si="1"/>
        <v>0</v>
      </c>
      <c r="G34" s="129">
        <f t="shared" si="1"/>
        <v>0</v>
      </c>
      <c r="H34" s="129">
        <f t="shared" si="1"/>
        <v>0</v>
      </c>
      <c r="I34" s="129">
        <f t="shared" si="1"/>
        <v>0</v>
      </c>
      <c r="J34" s="129">
        <f t="shared" si="1"/>
        <v>0</v>
      </c>
      <c r="K34" s="129">
        <f t="shared" si="1"/>
        <v>6</v>
      </c>
      <c r="L34" s="129">
        <f t="shared" si="1"/>
        <v>6</v>
      </c>
      <c r="M34" s="129">
        <f t="shared" si="1"/>
        <v>6</v>
      </c>
      <c r="N34" s="129">
        <f t="shared" si="1"/>
        <v>8</v>
      </c>
      <c r="O34" s="129">
        <f t="shared" si="1"/>
        <v>8</v>
      </c>
      <c r="P34" s="129">
        <f t="shared" si="1"/>
        <v>8</v>
      </c>
      <c r="Q34" s="129">
        <f t="shared" si="1"/>
        <v>8</v>
      </c>
      <c r="R34" s="129">
        <f>COUNTIF(R9:R32,"ND")</f>
        <v>8</v>
      </c>
      <c r="S34" s="129">
        <f t="shared" si="1"/>
        <v>8</v>
      </c>
      <c r="T34" s="129">
        <f t="shared" si="1"/>
        <v>7</v>
      </c>
      <c r="U34" s="129">
        <f t="shared" si="1"/>
        <v>8</v>
      </c>
      <c r="V34" s="129">
        <f t="shared" si="1"/>
        <v>8</v>
      </c>
      <c r="W34" s="129">
        <f t="shared" si="1"/>
        <v>8</v>
      </c>
      <c r="X34" s="129">
        <f t="shared" si="1"/>
        <v>6</v>
      </c>
      <c r="Y34" s="129">
        <f t="shared" si="1"/>
        <v>7</v>
      </c>
      <c r="Z34" s="129">
        <f t="shared" si="1"/>
        <v>8</v>
      </c>
      <c r="AA34" s="129">
        <f t="shared" si="1"/>
        <v>8</v>
      </c>
      <c r="AB34" s="129">
        <f t="shared" si="1"/>
        <v>0</v>
      </c>
      <c r="AC34" s="129">
        <f t="shared" si="1"/>
        <v>8</v>
      </c>
      <c r="AD34" s="129">
        <f t="shared" si="1"/>
        <v>8</v>
      </c>
      <c r="AE34" s="129">
        <f t="shared" si="1"/>
        <v>0</v>
      </c>
      <c r="AF34" s="129">
        <f t="shared" si="1"/>
        <v>8</v>
      </c>
      <c r="AG34" s="129">
        <f t="shared" si="1"/>
        <v>0</v>
      </c>
      <c r="AH34" s="129">
        <f t="shared" si="1"/>
        <v>8</v>
      </c>
      <c r="AI34" s="129">
        <f t="shared" si="1"/>
        <v>0</v>
      </c>
      <c r="AJ34" s="129">
        <f t="shared" si="1"/>
        <v>8</v>
      </c>
      <c r="AK34" s="129">
        <f t="shared" si="1"/>
        <v>8</v>
      </c>
      <c r="AL34" s="129">
        <f t="shared" si="1"/>
        <v>8</v>
      </c>
      <c r="AM34" s="129">
        <f t="shared" si="1"/>
        <v>0</v>
      </c>
      <c r="AN34" s="129">
        <f t="shared" si="1"/>
        <v>0</v>
      </c>
      <c r="AO34" s="129">
        <f t="shared" si="1"/>
        <v>8</v>
      </c>
      <c r="AP34" s="129">
        <f t="shared" si="1"/>
        <v>8</v>
      </c>
      <c r="AQ34" s="129">
        <f t="shared" si="1"/>
        <v>8</v>
      </c>
      <c r="AR34" s="129">
        <f t="shared" si="1"/>
        <v>8</v>
      </c>
      <c r="AS34" s="129">
        <f t="shared" si="1"/>
        <v>8</v>
      </c>
      <c r="AT34" s="129">
        <f t="shared" si="1"/>
        <v>0</v>
      </c>
      <c r="AU34" s="129">
        <f t="shared" si="1"/>
        <v>0</v>
      </c>
      <c r="AV34" s="129">
        <f t="shared" si="1"/>
        <v>8</v>
      </c>
      <c r="AW34" s="129">
        <f t="shared" si="1"/>
        <v>8</v>
      </c>
      <c r="AX34" s="129">
        <f t="shared" si="1"/>
        <v>8</v>
      </c>
      <c r="AY34" s="129">
        <f t="shared" si="1"/>
        <v>0</v>
      </c>
      <c r="AZ34" s="129">
        <f t="shared" si="1"/>
        <v>8</v>
      </c>
      <c r="BA34" s="129">
        <f t="shared" si="1"/>
        <v>8</v>
      </c>
      <c r="BB34" s="129">
        <f t="shared" si="1"/>
        <v>8</v>
      </c>
      <c r="BC34" s="129">
        <f t="shared" si="1"/>
        <v>6</v>
      </c>
      <c r="BD34" s="129">
        <f t="shared" si="1"/>
        <v>8</v>
      </c>
      <c r="BE34" s="129">
        <f t="shared" si="1"/>
        <v>8</v>
      </c>
      <c r="BF34" s="129">
        <f t="shared" si="1"/>
        <v>8</v>
      </c>
      <c r="BG34" s="129">
        <f t="shared" si="1"/>
        <v>8</v>
      </c>
      <c r="BH34" s="129">
        <f t="shared" si="1"/>
        <v>8</v>
      </c>
      <c r="BI34" s="129">
        <f t="shared" si="1"/>
        <v>8</v>
      </c>
      <c r="BJ34" s="129">
        <f t="shared" si="1"/>
        <v>8</v>
      </c>
      <c r="BK34" s="129">
        <f t="shared" si="1"/>
        <v>0</v>
      </c>
      <c r="BL34" s="129">
        <f t="shared" si="1"/>
        <v>0</v>
      </c>
      <c r="BM34" s="129">
        <f t="shared" si="1"/>
        <v>0</v>
      </c>
      <c r="BN34" s="129">
        <f t="shared" si="1"/>
        <v>6</v>
      </c>
      <c r="BO34" s="129">
        <f t="shared" si="1"/>
        <v>7</v>
      </c>
      <c r="BP34" s="129">
        <f t="shared" si="1"/>
        <v>8</v>
      </c>
      <c r="BQ34" s="129">
        <f t="shared" ref="BQ34:BU34" si="2">COUNTIF(BQ9:BQ32,"ND")</f>
        <v>8</v>
      </c>
      <c r="BR34" s="129">
        <f t="shared" si="2"/>
        <v>8</v>
      </c>
      <c r="BS34" s="129">
        <f t="shared" si="2"/>
        <v>8</v>
      </c>
      <c r="BT34" s="129">
        <f t="shared" si="2"/>
        <v>8</v>
      </c>
      <c r="BU34" s="129">
        <f t="shared" si="2"/>
        <v>6</v>
      </c>
    </row>
    <row r="35" spans="1:74" s="162" customFormat="1" x14ac:dyDescent="0.25">
      <c r="A35" s="127"/>
      <c r="B35" s="205"/>
      <c r="C35" s="130" t="s">
        <v>241</v>
      </c>
      <c r="D35" s="129">
        <f>COUNTIF(D9:D32,"&lt;LOQ")</f>
        <v>5</v>
      </c>
      <c r="E35" s="129">
        <f t="shared" ref="E35:BP35" si="3">COUNTIF(E9:E32,"&lt;LOQ")</f>
        <v>1</v>
      </c>
      <c r="F35" s="129">
        <f t="shared" si="3"/>
        <v>0</v>
      </c>
      <c r="G35" s="129">
        <f t="shared" si="3"/>
        <v>0</v>
      </c>
      <c r="H35" s="129">
        <f t="shared" si="3"/>
        <v>0</v>
      </c>
      <c r="I35" s="129">
        <f t="shared" si="3"/>
        <v>0</v>
      </c>
      <c r="J35" s="129">
        <f t="shared" si="3"/>
        <v>6</v>
      </c>
      <c r="K35" s="129">
        <f t="shared" si="3"/>
        <v>2</v>
      </c>
      <c r="L35" s="129">
        <f t="shared" si="3"/>
        <v>2</v>
      </c>
      <c r="M35" s="129">
        <f t="shared" si="3"/>
        <v>2</v>
      </c>
      <c r="N35" s="129">
        <f t="shared" si="3"/>
        <v>0</v>
      </c>
      <c r="O35" s="129">
        <f t="shared" si="3"/>
        <v>0</v>
      </c>
      <c r="P35" s="129">
        <f t="shared" si="3"/>
        <v>0</v>
      </c>
      <c r="Q35" s="129">
        <f t="shared" si="3"/>
        <v>0</v>
      </c>
      <c r="R35" s="129">
        <f t="shared" si="3"/>
        <v>0</v>
      </c>
      <c r="S35" s="129">
        <f t="shared" si="3"/>
        <v>0</v>
      </c>
      <c r="T35" s="129">
        <f t="shared" si="3"/>
        <v>0</v>
      </c>
      <c r="U35" s="129">
        <f t="shared" si="3"/>
        <v>0</v>
      </c>
      <c r="V35" s="129">
        <f t="shared" si="3"/>
        <v>0</v>
      </c>
      <c r="W35" s="129">
        <f t="shared" si="3"/>
        <v>0</v>
      </c>
      <c r="X35" s="129">
        <f t="shared" si="3"/>
        <v>1</v>
      </c>
      <c r="Y35" s="129">
        <f t="shared" si="3"/>
        <v>1</v>
      </c>
      <c r="Z35" s="129">
        <f t="shared" si="3"/>
        <v>0</v>
      </c>
      <c r="AA35" s="129">
        <f t="shared" si="3"/>
        <v>0</v>
      </c>
      <c r="AB35" s="129">
        <f t="shared" si="3"/>
        <v>0</v>
      </c>
      <c r="AC35" s="129">
        <f t="shared" si="3"/>
        <v>0</v>
      </c>
      <c r="AD35" s="129">
        <f t="shared" si="3"/>
        <v>0</v>
      </c>
      <c r="AE35" s="129">
        <f t="shared" si="3"/>
        <v>1</v>
      </c>
      <c r="AF35" s="129">
        <f t="shared" si="3"/>
        <v>0</v>
      </c>
      <c r="AG35" s="129">
        <f t="shared" si="3"/>
        <v>0</v>
      </c>
      <c r="AH35" s="129">
        <f t="shared" si="3"/>
        <v>0</v>
      </c>
      <c r="AI35" s="129">
        <f t="shared" si="3"/>
        <v>1</v>
      </c>
      <c r="AJ35" s="129">
        <f t="shared" si="3"/>
        <v>0</v>
      </c>
      <c r="AK35" s="129">
        <f t="shared" si="3"/>
        <v>0</v>
      </c>
      <c r="AL35" s="129">
        <f t="shared" si="3"/>
        <v>0</v>
      </c>
      <c r="AM35" s="129">
        <f t="shared" si="3"/>
        <v>0</v>
      </c>
      <c r="AN35" s="129">
        <f t="shared" si="3"/>
        <v>8</v>
      </c>
      <c r="AO35" s="129">
        <f t="shared" si="3"/>
        <v>0</v>
      </c>
      <c r="AP35" s="129">
        <f t="shared" si="3"/>
        <v>0</v>
      </c>
      <c r="AQ35" s="129">
        <f t="shared" si="3"/>
        <v>0</v>
      </c>
      <c r="AR35" s="129">
        <f t="shared" si="3"/>
        <v>0</v>
      </c>
      <c r="AS35" s="129">
        <f t="shared" si="3"/>
        <v>0</v>
      </c>
      <c r="AT35" s="129">
        <f t="shared" si="3"/>
        <v>0</v>
      </c>
      <c r="AU35" s="129">
        <f t="shared" si="3"/>
        <v>8</v>
      </c>
      <c r="AV35" s="129">
        <f t="shared" si="3"/>
        <v>0</v>
      </c>
      <c r="AW35" s="129">
        <f t="shared" si="3"/>
        <v>0</v>
      </c>
      <c r="AX35" s="129">
        <f t="shared" si="3"/>
        <v>0</v>
      </c>
      <c r="AY35" s="129">
        <f t="shared" si="3"/>
        <v>7</v>
      </c>
      <c r="AZ35" s="129">
        <f t="shared" si="3"/>
        <v>0</v>
      </c>
      <c r="BA35" s="129">
        <f t="shared" si="3"/>
        <v>0</v>
      </c>
      <c r="BB35" s="129">
        <f t="shared" si="3"/>
        <v>0</v>
      </c>
      <c r="BC35" s="129">
        <f t="shared" si="3"/>
        <v>2</v>
      </c>
      <c r="BD35" s="129">
        <f t="shared" si="3"/>
        <v>0</v>
      </c>
      <c r="BE35" s="129">
        <f t="shared" si="3"/>
        <v>0</v>
      </c>
      <c r="BF35" s="129">
        <f t="shared" si="3"/>
        <v>0</v>
      </c>
      <c r="BG35" s="129">
        <f t="shared" si="3"/>
        <v>0</v>
      </c>
      <c r="BH35" s="129">
        <f t="shared" si="3"/>
        <v>0</v>
      </c>
      <c r="BI35" s="129">
        <f t="shared" si="3"/>
        <v>0</v>
      </c>
      <c r="BJ35" s="129">
        <f t="shared" si="3"/>
        <v>0</v>
      </c>
      <c r="BK35" s="129">
        <f t="shared" si="3"/>
        <v>0</v>
      </c>
      <c r="BL35" s="129">
        <f t="shared" si="3"/>
        <v>2</v>
      </c>
      <c r="BM35" s="129">
        <f t="shared" si="3"/>
        <v>0</v>
      </c>
      <c r="BN35" s="129">
        <f t="shared" si="3"/>
        <v>1</v>
      </c>
      <c r="BO35" s="129">
        <f t="shared" si="3"/>
        <v>1</v>
      </c>
      <c r="BP35" s="129">
        <f t="shared" si="3"/>
        <v>0</v>
      </c>
      <c r="BQ35" s="129">
        <f t="shared" ref="BQ35:BU35" si="4">COUNTIF(BQ9:BQ32,"&lt;LOQ")</f>
        <v>0</v>
      </c>
      <c r="BR35" s="129">
        <f t="shared" si="4"/>
        <v>0</v>
      </c>
      <c r="BS35" s="129">
        <f t="shared" si="4"/>
        <v>0</v>
      </c>
      <c r="BT35" s="129">
        <f t="shared" si="4"/>
        <v>0</v>
      </c>
      <c r="BU35" s="129">
        <f t="shared" si="4"/>
        <v>2</v>
      </c>
    </row>
    <row r="39" spans="1:74" s="45" customFormat="1" x14ac:dyDescent="0.25">
      <c r="A39" s="48">
        <v>41291</v>
      </c>
      <c r="B39" s="45" t="s">
        <v>156</v>
      </c>
      <c r="C39" s="48">
        <v>41815</v>
      </c>
      <c r="D39" s="45" t="s">
        <v>157</v>
      </c>
      <c r="E39" s="45" t="s">
        <v>157</v>
      </c>
      <c r="F39" s="45" t="s">
        <v>157</v>
      </c>
      <c r="G39" s="45" t="s">
        <v>158</v>
      </c>
      <c r="H39" s="45" t="s">
        <v>158</v>
      </c>
      <c r="I39" s="45" t="s">
        <v>158</v>
      </c>
      <c r="J39" s="45" t="s">
        <v>157</v>
      </c>
      <c r="K39" s="45" t="s">
        <v>157</v>
      </c>
      <c r="L39" s="45" t="s">
        <v>157</v>
      </c>
      <c r="M39" s="45" t="s">
        <v>157</v>
      </c>
      <c r="N39" s="45" t="s">
        <v>157</v>
      </c>
      <c r="O39" s="45" t="s">
        <v>157</v>
      </c>
      <c r="P39" s="45" t="s">
        <v>157</v>
      </c>
      <c r="Q39" s="45" t="s">
        <v>157</v>
      </c>
      <c r="R39" s="45" t="s">
        <v>157</v>
      </c>
      <c r="S39" s="45" t="s">
        <v>157</v>
      </c>
      <c r="T39" s="45" t="s">
        <v>157</v>
      </c>
      <c r="U39" s="45" t="s">
        <v>157</v>
      </c>
      <c r="V39" s="45" t="s">
        <v>157</v>
      </c>
      <c r="W39" s="45" t="s">
        <v>157</v>
      </c>
      <c r="X39" s="45" t="s">
        <v>157</v>
      </c>
      <c r="Y39" s="45" t="s">
        <v>157</v>
      </c>
      <c r="Z39" s="45" t="s">
        <v>157</v>
      </c>
      <c r="AA39" s="45" t="s">
        <v>157</v>
      </c>
      <c r="AB39" s="45" t="s">
        <v>157</v>
      </c>
      <c r="AC39" s="45" t="s">
        <v>157</v>
      </c>
      <c r="AD39" s="45" t="s">
        <v>157</v>
      </c>
      <c r="AE39" s="45" t="s">
        <v>157</v>
      </c>
      <c r="AF39" s="45" t="s">
        <v>157</v>
      </c>
      <c r="AG39" s="45" t="s">
        <v>157</v>
      </c>
      <c r="AH39" s="45" t="s">
        <v>157</v>
      </c>
      <c r="AI39" s="45" t="s">
        <v>158</v>
      </c>
      <c r="AJ39" s="45" t="s">
        <v>157</v>
      </c>
      <c r="AK39" s="45" t="s">
        <v>157</v>
      </c>
      <c r="AL39" s="45" t="s">
        <v>157</v>
      </c>
      <c r="AM39" s="45" t="s">
        <v>158</v>
      </c>
      <c r="AN39" s="45" t="s">
        <v>158</v>
      </c>
      <c r="AO39" s="45" t="s">
        <v>157</v>
      </c>
      <c r="AP39" s="45" t="s">
        <v>157</v>
      </c>
      <c r="AQ39" s="45" t="s">
        <v>157</v>
      </c>
      <c r="AR39" s="45" t="s">
        <v>157</v>
      </c>
      <c r="AS39" s="45" t="s">
        <v>157</v>
      </c>
      <c r="AT39" s="45" t="s">
        <v>157</v>
      </c>
      <c r="AU39" s="45" t="s">
        <v>157</v>
      </c>
      <c r="AV39" s="45" t="s">
        <v>157</v>
      </c>
      <c r="AW39" s="45" t="s">
        <v>157</v>
      </c>
      <c r="AX39" s="45" t="s">
        <v>158</v>
      </c>
      <c r="AY39" s="45" t="s">
        <v>157</v>
      </c>
      <c r="AZ39" s="45" t="s">
        <v>157</v>
      </c>
      <c r="BA39" s="45" t="s">
        <v>157</v>
      </c>
      <c r="BB39" s="45" t="s">
        <v>157</v>
      </c>
      <c r="BC39" s="45" t="s">
        <v>157</v>
      </c>
      <c r="BD39" s="45" t="s">
        <v>157</v>
      </c>
      <c r="BE39" s="45" t="s">
        <v>157</v>
      </c>
      <c r="BF39" s="45" t="s">
        <v>157</v>
      </c>
      <c r="BG39" s="45" t="s">
        <v>157</v>
      </c>
      <c r="BH39" s="45" t="s">
        <v>157</v>
      </c>
      <c r="BI39" s="45" t="s">
        <v>157</v>
      </c>
      <c r="BJ39" s="45" t="s">
        <v>157</v>
      </c>
      <c r="BK39" s="45" t="s">
        <v>158</v>
      </c>
      <c r="BL39" s="45" t="s">
        <v>157</v>
      </c>
      <c r="BM39" s="45" t="s">
        <v>158</v>
      </c>
      <c r="BN39" s="45" t="s">
        <v>157</v>
      </c>
      <c r="BO39" s="45" t="s">
        <v>157</v>
      </c>
      <c r="BP39" s="45" t="s">
        <v>157</v>
      </c>
      <c r="BQ39" s="45" t="s">
        <v>157</v>
      </c>
      <c r="BR39" s="45" t="s">
        <v>157</v>
      </c>
      <c r="BS39" s="45" t="s">
        <v>157</v>
      </c>
      <c r="BT39" s="45" t="s">
        <v>157</v>
      </c>
      <c r="BU39" s="45" t="s">
        <v>157</v>
      </c>
    </row>
    <row r="40" spans="1:74" s="45" customFormat="1" x14ac:dyDescent="0.25"/>
    <row r="41" spans="1:74" s="45" customFormat="1" x14ac:dyDescent="0.25"/>
    <row r="42" spans="1:74" s="45" customFormat="1" x14ac:dyDescent="0.25"/>
    <row r="43" spans="1:74" s="49" customFormat="1" x14ac:dyDescent="0.25">
      <c r="A43" s="49" t="s">
        <v>159</v>
      </c>
    </row>
    <row r="44" spans="1:74" s="45" customFormat="1" x14ac:dyDescent="0.25"/>
    <row r="45" spans="1:74" x14ac:dyDescent="0.25">
      <c r="B45" s="116" t="s">
        <v>163</v>
      </c>
      <c r="C45" s="117">
        <v>41821</v>
      </c>
      <c r="D45" s="114" t="s">
        <v>157</v>
      </c>
      <c r="E45" s="114" t="s">
        <v>157</v>
      </c>
      <c r="F45" s="114" t="s">
        <v>157</v>
      </c>
      <c r="G45" s="114" t="s">
        <v>157</v>
      </c>
      <c r="H45" s="114" t="s">
        <v>157</v>
      </c>
      <c r="I45" s="114" t="s">
        <v>157</v>
      </c>
      <c r="J45" s="114" t="s">
        <v>157</v>
      </c>
      <c r="K45" s="114" t="s">
        <v>157</v>
      </c>
      <c r="L45" s="114" t="s">
        <v>157</v>
      </c>
      <c r="M45" s="114" t="s">
        <v>157</v>
      </c>
      <c r="N45" s="114" t="s">
        <v>157</v>
      </c>
      <c r="O45" s="114" t="s">
        <v>157</v>
      </c>
      <c r="P45" s="114" t="s">
        <v>157</v>
      </c>
      <c r="Q45" s="114" t="s">
        <v>157</v>
      </c>
      <c r="R45" s="114" t="s">
        <v>157</v>
      </c>
      <c r="S45" s="114" t="s">
        <v>157</v>
      </c>
      <c r="T45" s="114" t="s">
        <v>157</v>
      </c>
      <c r="U45" s="114" t="s">
        <v>157</v>
      </c>
      <c r="V45" s="114" t="s">
        <v>157</v>
      </c>
      <c r="W45" s="114" t="s">
        <v>157</v>
      </c>
      <c r="X45" s="114" t="s">
        <v>157</v>
      </c>
      <c r="Y45" s="114" t="s">
        <v>157</v>
      </c>
      <c r="Z45" s="114" t="s">
        <v>157</v>
      </c>
      <c r="AA45" s="114" t="s">
        <v>157</v>
      </c>
      <c r="AB45" s="114" t="s">
        <v>157</v>
      </c>
      <c r="AC45" s="114" t="s">
        <v>157</v>
      </c>
      <c r="AD45" s="114" t="s">
        <v>157</v>
      </c>
      <c r="AE45" s="114" t="s">
        <v>157</v>
      </c>
      <c r="AF45" s="114" t="s">
        <v>157</v>
      </c>
      <c r="AG45" s="114" t="s">
        <v>157</v>
      </c>
      <c r="AH45" s="114" t="s">
        <v>157</v>
      </c>
      <c r="AI45" s="114" t="s">
        <v>157</v>
      </c>
      <c r="AJ45" s="114" t="s">
        <v>157</v>
      </c>
      <c r="AK45" s="114" t="s">
        <v>157</v>
      </c>
      <c r="AL45" s="114" t="s">
        <v>157</v>
      </c>
      <c r="AM45" s="114" t="s">
        <v>157</v>
      </c>
      <c r="AN45" s="114" t="s">
        <v>157</v>
      </c>
      <c r="AO45" s="114" t="s">
        <v>157</v>
      </c>
      <c r="AP45" s="114" t="s">
        <v>157</v>
      </c>
      <c r="AQ45" s="114" t="s">
        <v>157</v>
      </c>
      <c r="AR45" s="114" t="s">
        <v>157</v>
      </c>
      <c r="AS45" s="114" t="s">
        <v>157</v>
      </c>
      <c r="AT45" s="114" t="s">
        <v>157</v>
      </c>
      <c r="AU45" s="114" t="s">
        <v>157</v>
      </c>
      <c r="AV45" s="114" t="s">
        <v>157</v>
      </c>
      <c r="AW45" s="114" t="s">
        <v>157</v>
      </c>
      <c r="AX45" s="114" t="s">
        <v>157</v>
      </c>
      <c r="AY45" s="114" t="s">
        <v>157</v>
      </c>
      <c r="AZ45" s="114" t="s">
        <v>157</v>
      </c>
      <c r="BA45" s="114" t="s">
        <v>157</v>
      </c>
      <c r="BB45" s="114" t="s">
        <v>157</v>
      </c>
      <c r="BC45" s="114" t="s">
        <v>157</v>
      </c>
      <c r="BD45" s="114" t="s">
        <v>157</v>
      </c>
      <c r="BE45" s="114" t="s">
        <v>157</v>
      </c>
      <c r="BF45" s="114" t="s">
        <v>157</v>
      </c>
      <c r="BG45" s="114" t="s">
        <v>157</v>
      </c>
      <c r="BH45" s="114" t="s">
        <v>157</v>
      </c>
      <c r="BI45" s="114" t="s">
        <v>157</v>
      </c>
      <c r="BJ45" s="114" t="s">
        <v>157</v>
      </c>
      <c r="BK45" s="114" t="s">
        <v>157</v>
      </c>
      <c r="BL45" s="114" t="s">
        <v>157</v>
      </c>
      <c r="BM45" s="114" t="s">
        <v>157</v>
      </c>
      <c r="BN45" s="114" t="s">
        <v>157</v>
      </c>
      <c r="BO45" s="114" t="s">
        <v>157</v>
      </c>
      <c r="BP45" s="114" t="s">
        <v>157</v>
      </c>
      <c r="BQ45" s="114" t="s">
        <v>157</v>
      </c>
      <c r="BR45" s="114" t="s">
        <v>157</v>
      </c>
      <c r="BS45" s="114" t="s">
        <v>157</v>
      </c>
      <c r="BT45" s="114" t="s">
        <v>157</v>
      </c>
      <c r="BU45" s="114" t="s">
        <v>157</v>
      </c>
    </row>
    <row r="46" spans="1:74" x14ac:dyDescent="0.25">
      <c r="B46" s="116" t="s">
        <v>164</v>
      </c>
      <c r="C46" s="117">
        <v>41821</v>
      </c>
      <c r="D46" s="114" t="s">
        <v>157</v>
      </c>
      <c r="E46" s="114" t="s">
        <v>157</v>
      </c>
      <c r="F46" s="114" t="s">
        <v>157</v>
      </c>
      <c r="G46" s="114" t="s">
        <v>157</v>
      </c>
      <c r="H46" s="123" t="s">
        <v>158</v>
      </c>
      <c r="I46" s="114" t="s">
        <v>157</v>
      </c>
      <c r="J46" s="114" t="s">
        <v>157</v>
      </c>
      <c r="K46" s="114" t="s">
        <v>157</v>
      </c>
      <c r="L46" s="114" t="s">
        <v>157</v>
      </c>
      <c r="M46" s="114" t="s">
        <v>157</v>
      </c>
      <c r="N46" s="114" t="s">
        <v>157</v>
      </c>
      <c r="O46" s="114" t="s">
        <v>157</v>
      </c>
      <c r="P46" s="114" t="s">
        <v>157</v>
      </c>
      <c r="Q46" s="114" t="s">
        <v>157</v>
      </c>
      <c r="R46" s="114" t="s">
        <v>157</v>
      </c>
      <c r="S46" s="114" t="s">
        <v>157</v>
      </c>
      <c r="T46" s="114" t="s">
        <v>157</v>
      </c>
      <c r="U46" s="114" t="s">
        <v>157</v>
      </c>
      <c r="V46" s="114" t="s">
        <v>157</v>
      </c>
      <c r="W46" s="114" t="s">
        <v>157</v>
      </c>
      <c r="X46" s="114" t="s">
        <v>157</v>
      </c>
      <c r="Y46" s="114" t="s">
        <v>157</v>
      </c>
      <c r="Z46" s="114" t="s">
        <v>157</v>
      </c>
      <c r="AA46" s="114" t="s">
        <v>157</v>
      </c>
      <c r="AB46" s="114" t="s">
        <v>157</v>
      </c>
      <c r="AC46" s="114" t="s">
        <v>157</v>
      </c>
      <c r="AD46" s="114" t="s">
        <v>157</v>
      </c>
      <c r="AE46" s="114" t="s">
        <v>157</v>
      </c>
      <c r="AF46" s="114" t="s">
        <v>157</v>
      </c>
      <c r="AG46" s="114" t="s">
        <v>157</v>
      </c>
      <c r="AH46" s="114" t="s">
        <v>157</v>
      </c>
      <c r="AI46" s="114" t="s">
        <v>157</v>
      </c>
      <c r="AJ46" s="114" t="s">
        <v>157</v>
      </c>
      <c r="AK46" s="114" t="s">
        <v>157</v>
      </c>
      <c r="AL46" s="114" t="s">
        <v>157</v>
      </c>
      <c r="AM46" s="114" t="s">
        <v>157</v>
      </c>
      <c r="AN46" s="114" t="s">
        <v>157</v>
      </c>
      <c r="AO46" s="114" t="s">
        <v>157</v>
      </c>
      <c r="AP46" s="114" t="s">
        <v>157</v>
      </c>
      <c r="AQ46" s="114" t="s">
        <v>157</v>
      </c>
      <c r="AR46" s="114" t="s">
        <v>157</v>
      </c>
      <c r="AS46" s="114" t="s">
        <v>157</v>
      </c>
      <c r="AT46" s="114" t="s">
        <v>157</v>
      </c>
      <c r="AU46" s="114" t="s">
        <v>157</v>
      </c>
      <c r="AV46" s="114" t="s">
        <v>157</v>
      </c>
      <c r="AW46" s="114" t="s">
        <v>157</v>
      </c>
      <c r="AX46" s="114" t="s">
        <v>157</v>
      </c>
      <c r="AY46" s="114" t="s">
        <v>157</v>
      </c>
      <c r="AZ46" s="114" t="s">
        <v>157</v>
      </c>
      <c r="BA46" s="114" t="s">
        <v>157</v>
      </c>
      <c r="BB46" s="114" t="s">
        <v>157</v>
      </c>
      <c r="BC46" s="114" t="s">
        <v>157</v>
      </c>
      <c r="BD46" s="114" t="s">
        <v>157</v>
      </c>
      <c r="BE46" s="114" t="s">
        <v>157</v>
      </c>
      <c r="BF46" s="114" t="s">
        <v>157</v>
      </c>
      <c r="BG46" s="114" t="s">
        <v>157</v>
      </c>
      <c r="BH46" s="114" t="s">
        <v>157</v>
      </c>
      <c r="BI46" s="114" t="s">
        <v>157</v>
      </c>
      <c r="BJ46" s="114" t="s">
        <v>157</v>
      </c>
      <c r="BK46" s="114" t="s">
        <v>157</v>
      </c>
      <c r="BL46" s="114" t="s">
        <v>157</v>
      </c>
      <c r="BM46" s="114" t="s">
        <v>157</v>
      </c>
      <c r="BN46" s="114" t="s">
        <v>157</v>
      </c>
      <c r="BO46" s="114" t="s">
        <v>157</v>
      </c>
      <c r="BP46" s="114" t="s">
        <v>157</v>
      </c>
      <c r="BQ46" s="114" t="s">
        <v>157</v>
      </c>
      <c r="BR46" s="114" t="s">
        <v>157</v>
      </c>
      <c r="BS46" s="114" t="s">
        <v>157</v>
      </c>
      <c r="BT46" s="114" t="s">
        <v>157</v>
      </c>
      <c r="BU46" s="114" t="s">
        <v>157</v>
      </c>
      <c r="BV46" s="99"/>
    </row>
    <row r="47" spans="1:74" x14ac:dyDescent="0.25">
      <c r="B47" s="116" t="s">
        <v>165</v>
      </c>
      <c r="C47" s="117">
        <v>41821</v>
      </c>
      <c r="D47" s="114">
        <v>138.25</v>
      </c>
      <c r="E47" s="114">
        <v>125.45</v>
      </c>
      <c r="F47" s="114">
        <v>118.5</v>
      </c>
      <c r="G47" s="114">
        <v>105.35000000000001</v>
      </c>
      <c r="H47" s="114">
        <v>89.699999999999989</v>
      </c>
      <c r="I47" s="114">
        <v>101.14999999999999</v>
      </c>
      <c r="J47" s="114">
        <v>94</v>
      </c>
      <c r="K47" s="114">
        <v>94.7</v>
      </c>
      <c r="L47" s="114">
        <v>96.800000000000011</v>
      </c>
      <c r="M47" s="114">
        <v>114.90000000000002</v>
      </c>
      <c r="N47" s="114" t="s">
        <v>171</v>
      </c>
      <c r="O47" s="113" t="s">
        <v>166</v>
      </c>
      <c r="P47" s="114" t="s">
        <v>171</v>
      </c>
      <c r="Q47" s="113" t="s">
        <v>166</v>
      </c>
      <c r="R47" s="114" t="s">
        <v>171</v>
      </c>
      <c r="S47" s="113" t="s">
        <v>166</v>
      </c>
      <c r="T47" s="114">
        <v>73.474999999999994</v>
      </c>
      <c r="U47" s="114" t="s">
        <v>171</v>
      </c>
      <c r="V47" s="114">
        <v>103.45</v>
      </c>
      <c r="W47" s="113" t="s">
        <v>166</v>
      </c>
      <c r="X47" s="114">
        <v>103.80000000000001</v>
      </c>
      <c r="Y47" s="114">
        <v>93.25</v>
      </c>
      <c r="Z47" s="113" t="s">
        <v>166</v>
      </c>
      <c r="AA47" s="113" t="s">
        <v>166</v>
      </c>
      <c r="AB47" s="122" t="s">
        <v>166</v>
      </c>
      <c r="AC47" s="114">
        <v>138.75</v>
      </c>
      <c r="AD47" s="113" t="s">
        <v>166</v>
      </c>
      <c r="AE47" s="123">
        <v>114.7</v>
      </c>
      <c r="AF47" s="113" t="s">
        <v>166</v>
      </c>
      <c r="AG47" s="114">
        <v>108.55000000000001</v>
      </c>
      <c r="AH47" s="113" t="s">
        <v>166</v>
      </c>
      <c r="AI47" s="114">
        <v>111.3</v>
      </c>
      <c r="AJ47" s="113" t="s">
        <v>166</v>
      </c>
      <c r="AK47" s="114" t="s">
        <v>171</v>
      </c>
      <c r="AL47" s="123" t="s">
        <v>166</v>
      </c>
      <c r="AM47" s="123">
        <v>101.39999999999999</v>
      </c>
      <c r="AN47" s="123" t="s">
        <v>166</v>
      </c>
      <c r="AO47" s="113" t="s">
        <v>166</v>
      </c>
      <c r="AP47" s="113" t="s">
        <v>166</v>
      </c>
      <c r="AQ47" s="113" t="s">
        <v>166</v>
      </c>
      <c r="AR47" s="113" t="s">
        <v>166</v>
      </c>
      <c r="AS47" s="114" t="s">
        <v>171</v>
      </c>
      <c r="AT47" s="114" t="s">
        <v>171</v>
      </c>
      <c r="AU47" s="113" t="s">
        <v>166</v>
      </c>
      <c r="AV47" s="113" t="s">
        <v>166</v>
      </c>
      <c r="AW47" s="113" t="s">
        <v>166</v>
      </c>
      <c r="AX47" s="114">
        <v>96.949999999999989</v>
      </c>
      <c r="AY47" s="113" t="s">
        <v>166</v>
      </c>
      <c r="AZ47" s="113" t="s">
        <v>166</v>
      </c>
      <c r="BA47" s="113" t="s">
        <v>166</v>
      </c>
      <c r="BB47" s="113" t="s">
        <v>166</v>
      </c>
      <c r="BC47" s="114">
        <v>102.19999999999999</v>
      </c>
      <c r="BD47" s="113" t="s">
        <v>166</v>
      </c>
      <c r="BE47" s="113" t="s">
        <v>166</v>
      </c>
      <c r="BF47" s="114" t="s">
        <v>171</v>
      </c>
      <c r="BG47" s="114" t="s">
        <v>171</v>
      </c>
      <c r="BH47" s="114" t="s">
        <v>171</v>
      </c>
      <c r="BI47" s="113" t="s">
        <v>166</v>
      </c>
      <c r="BJ47" s="113" t="s">
        <v>166</v>
      </c>
      <c r="BK47" s="114">
        <v>87</v>
      </c>
      <c r="BL47" s="113" t="s">
        <v>166</v>
      </c>
      <c r="BM47" s="114">
        <v>109.89999999999999</v>
      </c>
      <c r="BN47" s="113" t="s">
        <v>166</v>
      </c>
      <c r="BO47" s="113" t="s">
        <v>166</v>
      </c>
      <c r="BP47" s="113" t="s">
        <v>166</v>
      </c>
      <c r="BQ47" s="113" t="s">
        <v>166</v>
      </c>
      <c r="BR47" s="113" t="s">
        <v>166</v>
      </c>
      <c r="BS47" s="113" t="s">
        <v>166</v>
      </c>
      <c r="BT47" s="113" t="s">
        <v>166</v>
      </c>
      <c r="BU47" s="113" t="s">
        <v>166</v>
      </c>
      <c r="BV47" s="99"/>
    </row>
    <row r="48" spans="1:74" x14ac:dyDescent="0.25">
      <c r="B48" s="116" t="s">
        <v>172</v>
      </c>
      <c r="C48" s="117">
        <v>41821</v>
      </c>
      <c r="D48" s="114">
        <v>0.999</v>
      </c>
      <c r="E48" s="114">
        <v>0.999</v>
      </c>
      <c r="F48" s="114">
        <v>0.999</v>
      </c>
      <c r="G48" s="114">
        <v>0.99399999999999999</v>
      </c>
      <c r="H48" s="114">
        <v>1</v>
      </c>
      <c r="I48" s="114">
        <v>1</v>
      </c>
      <c r="J48" s="114">
        <v>1</v>
      </c>
      <c r="K48" s="114">
        <v>1</v>
      </c>
      <c r="L48" s="114">
        <v>1</v>
      </c>
      <c r="M48" s="114">
        <v>1</v>
      </c>
      <c r="N48" s="114">
        <v>1</v>
      </c>
      <c r="O48" s="113" t="s">
        <v>166</v>
      </c>
      <c r="P48" s="114">
        <v>0.998</v>
      </c>
      <c r="Q48" s="113" t="s">
        <v>166</v>
      </c>
      <c r="R48" s="114">
        <v>0.999</v>
      </c>
      <c r="S48" s="113" t="s">
        <v>166</v>
      </c>
      <c r="T48" s="114">
        <v>0.996</v>
      </c>
      <c r="U48" s="114">
        <v>0.97299999999999998</v>
      </c>
      <c r="V48" s="114">
        <v>0.996</v>
      </c>
      <c r="W48" s="113" t="s">
        <v>166</v>
      </c>
      <c r="X48" s="114">
        <v>0.996</v>
      </c>
      <c r="Y48" s="114">
        <v>0.999</v>
      </c>
      <c r="Z48" s="113" t="s">
        <v>166</v>
      </c>
      <c r="AA48" s="114">
        <v>0.97799999999999998</v>
      </c>
      <c r="AB48" s="114">
        <v>0.996</v>
      </c>
      <c r="AC48" s="114">
        <v>0.998</v>
      </c>
      <c r="AD48" s="113" t="s">
        <v>166</v>
      </c>
      <c r="AE48" s="114">
        <v>0.99199999999999999</v>
      </c>
      <c r="AF48" s="113" t="s">
        <v>166</v>
      </c>
      <c r="AG48" s="114">
        <v>0.99399999999999999</v>
      </c>
      <c r="AH48" s="113" t="s">
        <v>166</v>
      </c>
      <c r="AI48" s="114">
        <v>0.999</v>
      </c>
      <c r="AJ48" s="113" t="s">
        <v>166</v>
      </c>
      <c r="AK48" s="114">
        <v>1</v>
      </c>
      <c r="AL48" s="114">
        <v>0.98799999999999999</v>
      </c>
      <c r="AM48" s="114">
        <v>0.99199999999999999</v>
      </c>
      <c r="AN48" s="114">
        <v>0.996</v>
      </c>
      <c r="AO48" s="113" t="s">
        <v>166</v>
      </c>
      <c r="AP48" s="113" t="s">
        <v>166</v>
      </c>
      <c r="AQ48" s="113" t="s">
        <v>166</v>
      </c>
      <c r="AR48" s="113" t="s">
        <v>166</v>
      </c>
      <c r="AS48" s="114">
        <v>0.998</v>
      </c>
      <c r="AT48" s="114">
        <v>0.999</v>
      </c>
      <c r="AU48" s="113" t="s">
        <v>166</v>
      </c>
      <c r="AV48" s="113" t="s">
        <v>166</v>
      </c>
      <c r="AW48" s="113" t="s">
        <v>166</v>
      </c>
      <c r="AX48" s="114">
        <v>0.999</v>
      </c>
      <c r="AY48" s="113" t="s">
        <v>166</v>
      </c>
      <c r="AZ48" s="113" t="s">
        <v>166</v>
      </c>
      <c r="BA48" s="113" t="s">
        <v>166</v>
      </c>
      <c r="BB48" s="113" t="s">
        <v>166</v>
      </c>
      <c r="BC48" s="114">
        <v>0.996</v>
      </c>
      <c r="BD48" s="113" t="s">
        <v>166</v>
      </c>
      <c r="BE48" s="113" t="s">
        <v>166</v>
      </c>
      <c r="BF48" s="114">
        <v>0.998</v>
      </c>
      <c r="BG48" s="114">
        <v>0.999</v>
      </c>
      <c r="BH48" s="114">
        <v>0.998</v>
      </c>
      <c r="BI48" s="113" t="s">
        <v>166</v>
      </c>
      <c r="BJ48" s="113" t="s">
        <v>166</v>
      </c>
      <c r="BK48" s="114">
        <v>1</v>
      </c>
      <c r="BL48" s="113" t="s">
        <v>166</v>
      </c>
      <c r="BM48" s="114">
        <v>0.999</v>
      </c>
      <c r="BN48" s="113" t="s">
        <v>166</v>
      </c>
      <c r="BO48" s="113" t="s">
        <v>166</v>
      </c>
      <c r="BP48" s="113" t="s">
        <v>166</v>
      </c>
      <c r="BQ48" s="113" t="s">
        <v>166</v>
      </c>
      <c r="BR48" s="113" t="s">
        <v>166</v>
      </c>
      <c r="BS48" s="113" t="s">
        <v>166</v>
      </c>
      <c r="BT48" s="113" t="s">
        <v>166</v>
      </c>
      <c r="BU48" s="113" t="s">
        <v>166</v>
      </c>
      <c r="BV48" s="99"/>
    </row>
    <row r="49" spans="2:74" x14ac:dyDescent="0.25">
      <c r="B49" s="115" t="s">
        <v>173</v>
      </c>
      <c r="C49" s="117">
        <v>41821</v>
      </c>
      <c r="D49" s="114">
        <v>82.7</v>
      </c>
      <c r="E49" s="114">
        <v>83.6</v>
      </c>
      <c r="F49" s="114">
        <v>83.4</v>
      </c>
      <c r="G49" s="114">
        <v>91.9</v>
      </c>
      <c r="H49" s="114">
        <v>81.8</v>
      </c>
      <c r="I49" s="114">
        <v>83.4</v>
      </c>
      <c r="J49" s="114">
        <v>82.4</v>
      </c>
      <c r="K49" s="114">
        <v>83.2</v>
      </c>
      <c r="L49" s="114">
        <v>82.9</v>
      </c>
      <c r="M49" s="114">
        <v>80.099999999999994</v>
      </c>
      <c r="N49" s="114">
        <v>80.5</v>
      </c>
      <c r="O49" s="113" t="s">
        <v>166</v>
      </c>
      <c r="P49" s="114">
        <v>81.5</v>
      </c>
      <c r="Q49" s="113" t="s">
        <v>166</v>
      </c>
      <c r="R49" s="114">
        <v>80.3</v>
      </c>
      <c r="S49" s="113" t="s">
        <v>166</v>
      </c>
      <c r="T49" s="114">
        <v>116.5</v>
      </c>
      <c r="U49" s="114">
        <v>108.4</v>
      </c>
      <c r="V49" s="114">
        <v>105.6</v>
      </c>
      <c r="W49" s="113" t="s">
        <v>166</v>
      </c>
      <c r="X49" s="114">
        <v>88.8</v>
      </c>
      <c r="Y49" s="114">
        <v>83.4</v>
      </c>
      <c r="Z49" s="113" t="s">
        <v>166</v>
      </c>
      <c r="AA49" s="114">
        <v>112.5</v>
      </c>
      <c r="AB49" s="114">
        <v>88.6</v>
      </c>
      <c r="AC49" s="114">
        <v>83</v>
      </c>
      <c r="AD49" s="113" t="s">
        <v>166</v>
      </c>
      <c r="AE49" s="114">
        <v>81.400000000000006</v>
      </c>
      <c r="AF49" s="113" t="s">
        <v>166</v>
      </c>
      <c r="AG49" s="114">
        <v>87</v>
      </c>
      <c r="AH49" s="113" t="s">
        <v>166</v>
      </c>
      <c r="AI49" s="114">
        <v>82.2</v>
      </c>
      <c r="AJ49" s="113" t="s">
        <v>166</v>
      </c>
      <c r="AK49" s="114">
        <v>80.8</v>
      </c>
      <c r="AL49" s="114">
        <v>97.8</v>
      </c>
      <c r="AM49" s="114">
        <v>89.5</v>
      </c>
      <c r="AN49" s="114">
        <v>91.9</v>
      </c>
      <c r="AO49" s="113" t="s">
        <v>166</v>
      </c>
      <c r="AP49" s="113" t="s">
        <v>166</v>
      </c>
      <c r="AQ49" s="113" t="s">
        <v>166</v>
      </c>
      <c r="AR49" s="113" t="s">
        <v>166</v>
      </c>
      <c r="AS49" s="114">
        <v>88.8</v>
      </c>
      <c r="AT49" s="114">
        <v>86.9</v>
      </c>
      <c r="AU49" s="113" t="s">
        <v>166</v>
      </c>
      <c r="AV49" s="113" t="s">
        <v>166</v>
      </c>
      <c r="AW49" s="113" t="s">
        <v>166</v>
      </c>
      <c r="AX49" s="114">
        <v>82.9</v>
      </c>
      <c r="AY49" s="113" t="s">
        <v>166</v>
      </c>
      <c r="AZ49" s="113" t="s">
        <v>166</v>
      </c>
      <c r="BA49" s="113" t="s">
        <v>166</v>
      </c>
      <c r="BB49" s="113" t="s">
        <v>166</v>
      </c>
      <c r="BC49" s="114">
        <v>81</v>
      </c>
      <c r="BD49" s="113" t="s">
        <v>166</v>
      </c>
      <c r="BE49" s="113" t="s">
        <v>166</v>
      </c>
      <c r="BF49" s="114">
        <v>84.6</v>
      </c>
      <c r="BG49" s="114">
        <v>82.4</v>
      </c>
      <c r="BH49" s="114">
        <v>82.9</v>
      </c>
      <c r="BI49" s="113" t="s">
        <v>166</v>
      </c>
      <c r="BJ49" s="113" t="s">
        <v>166</v>
      </c>
      <c r="BK49" s="114">
        <v>84.1</v>
      </c>
      <c r="BL49" s="113" t="s">
        <v>166</v>
      </c>
      <c r="BM49" s="114">
        <v>84.4</v>
      </c>
      <c r="BN49" s="113" t="s">
        <v>166</v>
      </c>
      <c r="BO49" s="113" t="s">
        <v>166</v>
      </c>
      <c r="BP49" s="113" t="s">
        <v>166</v>
      </c>
      <c r="BQ49" s="113" t="s">
        <v>166</v>
      </c>
      <c r="BR49" s="113" t="s">
        <v>166</v>
      </c>
      <c r="BS49" s="113" t="s">
        <v>166</v>
      </c>
      <c r="BT49" s="113" t="s">
        <v>166</v>
      </c>
      <c r="BU49" s="113" t="s">
        <v>166</v>
      </c>
      <c r="BV49" s="99"/>
    </row>
    <row r="50" spans="2:74" x14ac:dyDescent="0.25">
      <c r="B50" s="116" t="s">
        <v>170</v>
      </c>
      <c r="C50" s="117">
        <v>41821</v>
      </c>
      <c r="D50" s="114" t="s">
        <v>169</v>
      </c>
      <c r="E50" s="114" t="s">
        <v>169</v>
      </c>
      <c r="F50" s="114" t="s">
        <v>169</v>
      </c>
      <c r="G50" s="114" t="s">
        <v>169</v>
      </c>
      <c r="H50" s="114" t="s">
        <v>169</v>
      </c>
      <c r="I50" s="114" t="s">
        <v>169</v>
      </c>
      <c r="J50" s="114" t="s">
        <v>169</v>
      </c>
      <c r="K50" s="114" t="s">
        <v>169</v>
      </c>
      <c r="L50" s="114" t="s">
        <v>169</v>
      </c>
      <c r="M50" s="114" t="s">
        <v>169</v>
      </c>
      <c r="N50" s="114" t="s">
        <v>169</v>
      </c>
      <c r="O50" s="113" t="s">
        <v>166</v>
      </c>
      <c r="P50" s="114" t="s">
        <v>169</v>
      </c>
      <c r="Q50" s="113" t="s">
        <v>166</v>
      </c>
      <c r="R50" s="114" t="s">
        <v>169</v>
      </c>
      <c r="S50" s="113" t="s">
        <v>166</v>
      </c>
      <c r="T50" s="114" t="s">
        <v>169</v>
      </c>
      <c r="U50" s="114" t="s">
        <v>169</v>
      </c>
      <c r="V50" s="114" t="s">
        <v>169</v>
      </c>
      <c r="W50" s="113" t="s">
        <v>166</v>
      </c>
      <c r="X50" s="114" t="s">
        <v>169</v>
      </c>
      <c r="Y50" s="114" t="s">
        <v>169</v>
      </c>
      <c r="Z50" s="114" t="s">
        <v>169</v>
      </c>
      <c r="AA50" s="114" t="s">
        <v>169</v>
      </c>
      <c r="AB50" s="114" t="s">
        <v>169</v>
      </c>
      <c r="AC50" s="114" t="s">
        <v>169</v>
      </c>
      <c r="AD50" s="113" t="s">
        <v>166</v>
      </c>
      <c r="AE50" s="114" t="s">
        <v>169</v>
      </c>
      <c r="AF50" s="113" t="s">
        <v>166</v>
      </c>
      <c r="AG50" s="114" t="s">
        <v>169</v>
      </c>
      <c r="AH50" s="113" t="s">
        <v>166</v>
      </c>
      <c r="AI50" s="114" t="s">
        <v>169</v>
      </c>
      <c r="AJ50" s="113" t="s">
        <v>166</v>
      </c>
      <c r="AK50" s="114" t="s">
        <v>169</v>
      </c>
      <c r="AL50" s="114" t="s">
        <v>169</v>
      </c>
      <c r="AM50" s="114" t="s">
        <v>169</v>
      </c>
      <c r="AN50" s="114" t="s">
        <v>169</v>
      </c>
      <c r="AO50" s="113" t="s">
        <v>166</v>
      </c>
      <c r="AP50" s="113" t="s">
        <v>166</v>
      </c>
      <c r="AQ50" s="113" t="s">
        <v>166</v>
      </c>
      <c r="AR50" s="113" t="s">
        <v>166</v>
      </c>
      <c r="AS50" s="114" t="s">
        <v>169</v>
      </c>
      <c r="AT50" s="114" t="s">
        <v>169</v>
      </c>
      <c r="AU50" s="113" t="s">
        <v>166</v>
      </c>
      <c r="AV50" s="113" t="s">
        <v>166</v>
      </c>
      <c r="AW50" s="113" t="s">
        <v>166</v>
      </c>
      <c r="AX50" s="114" t="s">
        <v>169</v>
      </c>
      <c r="AY50" s="113" t="s">
        <v>166</v>
      </c>
      <c r="AZ50" s="113" t="s">
        <v>166</v>
      </c>
      <c r="BA50" s="113" t="s">
        <v>166</v>
      </c>
      <c r="BB50" s="113" t="s">
        <v>166</v>
      </c>
      <c r="BC50" s="114" t="s">
        <v>169</v>
      </c>
      <c r="BD50" s="113" t="s">
        <v>166</v>
      </c>
      <c r="BE50" s="113" t="s">
        <v>166</v>
      </c>
      <c r="BF50" s="114" t="s">
        <v>169</v>
      </c>
      <c r="BG50" s="114" t="s">
        <v>169</v>
      </c>
      <c r="BH50" s="114" t="s">
        <v>169</v>
      </c>
      <c r="BI50" s="113" t="s">
        <v>166</v>
      </c>
      <c r="BJ50" s="113" t="s">
        <v>166</v>
      </c>
      <c r="BK50" s="114" t="s">
        <v>169</v>
      </c>
      <c r="BL50" s="113" t="s">
        <v>166</v>
      </c>
      <c r="BM50" s="114" t="s">
        <v>169</v>
      </c>
      <c r="BN50" s="113" t="s">
        <v>166</v>
      </c>
      <c r="BO50" s="123" t="s">
        <v>169</v>
      </c>
      <c r="BP50" s="123" t="s">
        <v>169</v>
      </c>
      <c r="BQ50" s="123" t="s">
        <v>169</v>
      </c>
      <c r="BR50" s="123" t="s">
        <v>169</v>
      </c>
      <c r="BS50" s="123" t="s">
        <v>169</v>
      </c>
      <c r="BT50" s="123" t="s">
        <v>169</v>
      </c>
      <c r="BU50" s="114" t="s">
        <v>169</v>
      </c>
      <c r="BV50" s="99"/>
    </row>
    <row r="51" spans="2:74" x14ac:dyDescent="0.25">
      <c r="B51" s="157" t="s">
        <v>207</v>
      </c>
      <c r="C51" s="158">
        <v>41821</v>
      </c>
      <c r="D51" s="156" t="s">
        <v>175</v>
      </c>
      <c r="E51" s="156">
        <v>9.5765117202620704</v>
      </c>
      <c r="F51" s="156">
        <v>10.111623080273445</v>
      </c>
      <c r="G51" s="156">
        <v>6.3812165344383187</v>
      </c>
      <c r="H51" s="156">
        <v>7.3742130052771984</v>
      </c>
      <c r="I51" s="156">
        <v>27.835312405975639</v>
      </c>
      <c r="J51" s="156" t="s">
        <v>175</v>
      </c>
      <c r="K51" s="156" t="s">
        <v>175</v>
      </c>
      <c r="L51" s="156" t="s">
        <v>175</v>
      </c>
      <c r="M51" s="156" t="s">
        <v>175</v>
      </c>
      <c r="N51" s="156" t="s">
        <v>175</v>
      </c>
      <c r="O51" s="156" t="s">
        <v>175</v>
      </c>
      <c r="P51" s="156" t="s">
        <v>175</v>
      </c>
      <c r="Q51" s="156" t="s">
        <v>175</v>
      </c>
      <c r="R51" s="156" t="s">
        <v>175</v>
      </c>
      <c r="S51" s="156" t="s">
        <v>175</v>
      </c>
      <c r="T51" s="156" t="s">
        <v>175</v>
      </c>
      <c r="U51" s="156" t="s">
        <v>175</v>
      </c>
      <c r="V51" s="156" t="s">
        <v>175</v>
      </c>
      <c r="W51" s="156" t="s">
        <v>175</v>
      </c>
      <c r="X51" s="156" t="s">
        <v>175</v>
      </c>
      <c r="Y51" s="156" t="s">
        <v>175</v>
      </c>
      <c r="Z51" s="156" t="s">
        <v>175</v>
      </c>
      <c r="AA51" s="156" t="s">
        <v>175</v>
      </c>
      <c r="AB51" s="156">
        <v>21.688795903539372</v>
      </c>
      <c r="AC51" s="156" t="s">
        <v>175</v>
      </c>
      <c r="AD51" s="156" t="s">
        <v>175</v>
      </c>
      <c r="AE51" s="156">
        <v>17.07725672002022</v>
      </c>
      <c r="AF51" s="156" t="s">
        <v>175</v>
      </c>
      <c r="AG51" s="156">
        <v>15.148024188591917</v>
      </c>
      <c r="AH51" s="156" t="s">
        <v>175</v>
      </c>
      <c r="AI51" s="156">
        <v>35.562095428095311</v>
      </c>
      <c r="AJ51" s="156" t="s">
        <v>175</v>
      </c>
      <c r="AK51" s="156" t="s">
        <v>175</v>
      </c>
      <c r="AL51" s="156" t="s">
        <v>175</v>
      </c>
      <c r="AM51" s="156">
        <v>7.8333956121205448</v>
      </c>
      <c r="AN51" s="156" t="s">
        <v>175</v>
      </c>
      <c r="AO51" s="156" t="s">
        <v>175</v>
      </c>
      <c r="AP51" s="156" t="s">
        <v>175</v>
      </c>
      <c r="AQ51" s="156" t="s">
        <v>175</v>
      </c>
      <c r="AR51" s="156" t="s">
        <v>175</v>
      </c>
      <c r="AS51" s="156" t="s">
        <v>175</v>
      </c>
      <c r="AT51" s="156">
        <v>6.898602743283389</v>
      </c>
      <c r="AU51" s="156" t="s">
        <v>175</v>
      </c>
      <c r="AV51" s="156" t="s">
        <v>175</v>
      </c>
      <c r="AW51" s="156" t="s">
        <v>175</v>
      </c>
      <c r="AX51" s="156" t="s">
        <v>175</v>
      </c>
      <c r="AY51" s="156" t="s">
        <v>175</v>
      </c>
      <c r="AZ51" s="156" t="s">
        <v>175</v>
      </c>
      <c r="BA51" s="156" t="s">
        <v>175</v>
      </c>
      <c r="BB51" s="156" t="s">
        <v>175</v>
      </c>
      <c r="BC51" s="156" t="s">
        <v>175</v>
      </c>
      <c r="BD51" s="156" t="s">
        <v>175</v>
      </c>
      <c r="BE51" s="156" t="s">
        <v>175</v>
      </c>
      <c r="BF51" s="156" t="s">
        <v>175</v>
      </c>
      <c r="BG51" s="156" t="s">
        <v>175</v>
      </c>
      <c r="BH51" s="156" t="s">
        <v>175</v>
      </c>
      <c r="BI51" s="156" t="s">
        <v>175</v>
      </c>
      <c r="BJ51" s="156" t="s">
        <v>175</v>
      </c>
      <c r="BK51" s="156">
        <v>88.65219346219402</v>
      </c>
      <c r="BL51" s="156" t="s">
        <v>175</v>
      </c>
      <c r="BM51" s="156">
        <v>58.273200000000003</v>
      </c>
      <c r="BN51" s="156" t="s">
        <v>175</v>
      </c>
      <c r="BO51" s="156" t="s">
        <v>175</v>
      </c>
      <c r="BP51" s="156" t="s">
        <v>175</v>
      </c>
      <c r="BQ51" s="156" t="s">
        <v>175</v>
      </c>
      <c r="BR51" s="156" t="s">
        <v>175</v>
      </c>
      <c r="BS51" s="156" t="s">
        <v>175</v>
      </c>
      <c r="BT51" s="156" t="s">
        <v>175</v>
      </c>
      <c r="BU51" s="156" t="s">
        <v>175</v>
      </c>
    </row>
    <row r="52" spans="2:74" s="156" customFormat="1" x14ac:dyDescent="0.25">
      <c r="C52" s="157"/>
    </row>
    <row r="53" spans="2:74" x14ac:dyDescent="0.25">
      <c r="B53" s="120" t="s">
        <v>163</v>
      </c>
      <c r="C53" s="121">
        <v>41836</v>
      </c>
      <c r="D53" s="119" t="s">
        <v>157</v>
      </c>
      <c r="E53" s="119" t="s">
        <v>157</v>
      </c>
      <c r="F53" s="119" t="s">
        <v>157</v>
      </c>
      <c r="G53" s="119" t="s">
        <v>157</v>
      </c>
      <c r="H53" s="119" t="s">
        <v>157</v>
      </c>
      <c r="I53" s="119" t="s">
        <v>157</v>
      </c>
      <c r="J53" s="119" t="s">
        <v>157</v>
      </c>
      <c r="K53" s="119" t="s">
        <v>157</v>
      </c>
      <c r="L53" s="119" t="s">
        <v>157</v>
      </c>
      <c r="M53" s="119" t="s">
        <v>157</v>
      </c>
      <c r="N53" s="119" t="s">
        <v>157</v>
      </c>
      <c r="O53" s="119" t="s">
        <v>157</v>
      </c>
      <c r="P53" s="119" t="s">
        <v>157</v>
      </c>
      <c r="Q53" s="119" t="s">
        <v>157</v>
      </c>
      <c r="R53" s="119" t="s">
        <v>157</v>
      </c>
      <c r="S53" s="119" t="s">
        <v>157</v>
      </c>
      <c r="T53" s="119" t="s">
        <v>157</v>
      </c>
      <c r="U53" s="119" t="s">
        <v>157</v>
      </c>
      <c r="V53" s="119" t="s">
        <v>157</v>
      </c>
      <c r="W53" s="119" t="s">
        <v>157</v>
      </c>
      <c r="X53" s="119" t="s">
        <v>157</v>
      </c>
      <c r="Y53" s="119" t="s">
        <v>157</v>
      </c>
      <c r="Z53" s="119" t="s">
        <v>157</v>
      </c>
      <c r="AA53" s="119" t="s">
        <v>157</v>
      </c>
      <c r="AB53" s="119" t="s">
        <v>157</v>
      </c>
      <c r="AC53" s="119" t="s">
        <v>157</v>
      </c>
      <c r="AD53" s="119" t="s">
        <v>157</v>
      </c>
      <c r="AE53" s="119" t="s">
        <v>157</v>
      </c>
      <c r="AF53" s="119" t="s">
        <v>157</v>
      </c>
      <c r="AG53" s="119" t="s">
        <v>157</v>
      </c>
      <c r="AH53" s="119" t="s">
        <v>157</v>
      </c>
      <c r="AI53" s="119" t="s">
        <v>157</v>
      </c>
      <c r="AJ53" s="119" t="s">
        <v>157</v>
      </c>
      <c r="AK53" s="119" t="s">
        <v>157</v>
      </c>
      <c r="AL53" s="119" t="s">
        <v>157</v>
      </c>
      <c r="AM53" s="119" t="s">
        <v>157</v>
      </c>
      <c r="AN53" s="119" t="s">
        <v>157</v>
      </c>
      <c r="AO53" s="119" t="s">
        <v>157</v>
      </c>
      <c r="AP53" s="119" t="s">
        <v>157</v>
      </c>
      <c r="AQ53" s="119" t="s">
        <v>157</v>
      </c>
      <c r="AR53" s="119" t="s">
        <v>157</v>
      </c>
      <c r="AS53" s="119" t="s">
        <v>157</v>
      </c>
      <c r="AT53" s="119" t="s">
        <v>157</v>
      </c>
      <c r="AU53" s="119" t="s">
        <v>157</v>
      </c>
      <c r="AV53" s="119" t="s">
        <v>157</v>
      </c>
      <c r="AW53" s="119" t="s">
        <v>157</v>
      </c>
      <c r="AX53" s="119" t="s">
        <v>157</v>
      </c>
      <c r="AY53" s="119" t="s">
        <v>157</v>
      </c>
      <c r="AZ53" s="119" t="s">
        <v>157</v>
      </c>
      <c r="BA53" s="119" t="s">
        <v>157</v>
      </c>
      <c r="BB53" s="119" t="s">
        <v>157</v>
      </c>
      <c r="BC53" s="119" t="s">
        <v>157</v>
      </c>
      <c r="BD53" s="119" t="s">
        <v>157</v>
      </c>
      <c r="BE53" s="119" t="s">
        <v>157</v>
      </c>
      <c r="BF53" s="119" t="s">
        <v>157</v>
      </c>
      <c r="BG53" s="119" t="s">
        <v>157</v>
      </c>
      <c r="BH53" s="119" t="s">
        <v>157</v>
      </c>
      <c r="BI53" s="119" t="s">
        <v>157</v>
      </c>
      <c r="BJ53" s="119" t="s">
        <v>157</v>
      </c>
      <c r="BK53" s="119" t="s">
        <v>157</v>
      </c>
      <c r="BL53" s="119" t="s">
        <v>157</v>
      </c>
      <c r="BM53" s="119" t="s">
        <v>157</v>
      </c>
      <c r="BN53" s="119" t="s">
        <v>157</v>
      </c>
      <c r="BO53" s="119" t="s">
        <v>157</v>
      </c>
      <c r="BP53" s="119" t="s">
        <v>157</v>
      </c>
      <c r="BQ53" s="119" t="s">
        <v>157</v>
      </c>
      <c r="BR53" s="119" t="s">
        <v>157</v>
      </c>
      <c r="BS53" s="119" t="s">
        <v>157</v>
      </c>
      <c r="BT53" s="119" t="s">
        <v>157</v>
      </c>
      <c r="BU53" s="119" t="s">
        <v>157</v>
      </c>
      <c r="BV53" s="99"/>
    </row>
    <row r="54" spans="2:74" x14ac:dyDescent="0.25">
      <c r="B54" s="120" t="s">
        <v>164</v>
      </c>
      <c r="C54" s="121">
        <v>41836</v>
      </c>
      <c r="D54" s="119" t="s">
        <v>157</v>
      </c>
      <c r="E54" s="119" t="s">
        <v>157</v>
      </c>
      <c r="F54" s="119" t="s">
        <v>157</v>
      </c>
      <c r="G54" s="119" t="s">
        <v>157</v>
      </c>
      <c r="H54" s="119" t="s">
        <v>157</v>
      </c>
      <c r="I54" s="119" t="s">
        <v>157</v>
      </c>
      <c r="J54" s="119" t="s">
        <v>157</v>
      </c>
      <c r="K54" s="119" t="s">
        <v>157</v>
      </c>
      <c r="L54" s="119" t="s">
        <v>157</v>
      </c>
      <c r="M54" s="119" t="s">
        <v>157</v>
      </c>
      <c r="N54" s="119" t="s">
        <v>157</v>
      </c>
      <c r="O54" s="119" t="s">
        <v>157</v>
      </c>
      <c r="P54" s="119" t="s">
        <v>157</v>
      </c>
      <c r="Q54" s="119" t="s">
        <v>157</v>
      </c>
      <c r="R54" s="119" t="s">
        <v>157</v>
      </c>
      <c r="S54" s="119" t="s">
        <v>157</v>
      </c>
      <c r="T54" s="119" t="s">
        <v>157</v>
      </c>
      <c r="U54" s="119" t="s">
        <v>157</v>
      </c>
      <c r="V54" s="119" t="s">
        <v>157</v>
      </c>
      <c r="W54" s="119" t="s">
        <v>157</v>
      </c>
      <c r="X54" s="119" t="s">
        <v>157</v>
      </c>
      <c r="Y54" s="119" t="s">
        <v>157</v>
      </c>
      <c r="Z54" s="119" t="s">
        <v>157</v>
      </c>
      <c r="AA54" s="119" t="s">
        <v>157</v>
      </c>
      <c r="AB54" s="119" t="s">
        <v>157</v>
      </c>
      <c r="AC54" s="119" t="s">
        <v>157</v>
      </c>
      <c r="AD54" s="119" t="s">
        <v>157</v>
      </c>
      <c r="AE54" s="119" t="s">
        <v>157</v>
      </c>
      <c r="AF54" s="119" t="s">
        <v>157</v>
      </c>
      <c r="AG54" s="119" t="s">
        <v>157</v>
      </c>
      <c r="AH54" s="119" t="s">
        <v>157</v>
      </c>
      <c r="AI54" s="119" t="s">
        <v>157</v>
      </c>
      <c r="AJ54" s="119" t="s">
        <v>157</v>
      </c>
      <c r="AK54" s="119" t="s">
        <v>157</v>
      </c>
      <c r="AL54" s="119" t="s">
        <v>157</v>
      </c>
      <c r="AM54" s="123" t="s">
        <v>158</v>
      </c>
      <c r="AN54" s="119" t="s">
        <v>157</v>
      </c>
      <c r="AO54" s="119" t="s">
        <v>157</v>
      </c>
      <c r="AP54" s="119" t="s">
        <v>157</v>
      </c>
      <c r="AQ54" s="119" t="s">
        <v>157</v>
      </c>
      <c r="AR54" s="119" t="s">
        <v>157</v>
      </c>
      <c r="AS54" s="119" t="s">
        <v>157</v>
      </c>
      <c r="AT54" s="119" t="s">
        <v>157</v>
      </c>
      <c r="AU54" s="119" t="s">
        <v>157</v>
      </c>
      <c r="AV54" s="119" t="s">
        <v>157</v>
      </c>
      <c r="AW54" s="119" t="s">
        <v>157</v>
      </c>
      <c r="AX54" s="119" t="s">
        <v>157</v>
      </c>
      <c r="AY54" s="119" t="s">
        <v>157</v>
      </c>
      <c r="AZ54" s="119" t="s">
        <v>157</v>
      </c>
      <c r="BA54" s="119" t="s">
        <v>157</v>
      </c>
      <c r="BB54" s="119" t="s">
        <v>157</v>
      </c>
      <c r="BC54" s="119" t="s">
        <v>157</v>
      </c>
      <c r="BD54" s="119" t="s">
        <v>157</v>
      </c>
      <c r="BE54" s="119" t="s">
        <v>157</v>
      </c>
      <c r="BF54" s="119" t="s">
        <v>157</v>
      </c>
      <c r="BG54" s="119" t="s">
        <v>157</v>
      </c>
      <c r="BH54" s="119" t="s">
        <v>157</v>
      </c>
      <c r="BI54" s="119" t="s">
        <v>157</v>
      </c>
      <c r="BJ54" s="119" t="s">
        <v>157</v>
      </c>
      <c r="BK54" s="119" t="s">
        <v>157</v>
      </c>
      <c r="BL54" s="119" t="s">
        <v>157</v>
      </c>
      <c r="BM54" s="119" t="s">
        <v>157</v>
      </c>
      <c r="BN54" s="119" t="s">
        <v>157</v>
      </c>
      <c r="BO54" s="119" t="s">
        <v>157</v>
      </c>
      <c r="BP54" s="119" t="s">
        <v>157</v>
      </c>
      <c r="BQ54" s="119" t="s">
        <v>157</v>
      </c>
      <c r="BR54" s="119" t="s">
        <v>157</v>
      </c>
      <c r="BS54" s="119" t="s">
        <v>157</v>
      </c>
      <c r="BT54" s="119" t="s">
        <v>157</v>
      </c>
      <c r="BU54" s="119" t="s">
        <v>157</v>
      </c>
      <c r="BV54" s="99"/>
    </row>
    <row r="55" spans="2:74" x14ac:dyDescent="0.25">
      <c r="B55" s="120" t="s">
        <v>165</v>
      </c>
      <c r="C55" s="121">
        <v>41836</v>
      </c>
      <c r="D55" s="119">
        <v>97.55</v>
      </c>
      <c r="E55" s="119">
        <v>103.60000000000001</v>
      </c>
      <c r="F55" s="119">
        <v>105.5</v>
      </c>
      <c r="G55" s="119">
        <v>112.05</v>
      </c>
      <c r="H55" s="119">
        <v>92.40000000000002</v>
      </c>
      <c r="I55" s="119">
        <v>102.2</v>
      </c>
      <c r="J55" s="119">
        <v>95.59999999999998</v>
      </c>
      <c r="K55" s="119">
        <v>100.64999999999999</v>
      </c>
      <c r="L55" s="119">
        <v>100.55000000000001</v>
      </c>
      <c r="M55" s="119">
        <v>102.14999999999999</v>
      </c>
      <c r="N55" s="119">
        <v>102.2</v>
      </c>
      <c r="O55" s="118" t="s">
        <v>166</v>
      </c>
      <c r="P55" s="119">
        <v>99.149999999999991</v>
      </c>
      <c r="Q55" s="118" t="s">
        <v>166</v>
      </c>
      <c r="R55" s="119">
        <v>103.64999999999999</v>
      </c>
      <c r="S55" s="118" t="s">
        <v>166</v>
      </c>
      <c r="T55" s="119">
        <v>101.95</v>
      </c>
      <c r="U55" s="119">
        <v>98.300000000000011</v>
      </c>
      <c r="V55" s="119">
        <v>94.300000000000011</v>
      </c>
      <c r="W55" s="118" t="s">
        <v>166</v>
      </c>
      <c r="X55" s="119">
        <v>101.19999999999999</v>
      </c>
      <c r="Y55" s="119">
        <v>99.899999999999991</v>
      </c>
      <c r="Z55" s="118" t="s">
        <v>166</v>
      </c>
      <c r="AA55" s="118" t="s">
        <v>166</v>
      </c>
      <c r="AB55" s="119">
        <v>100.60000000000001</v>
      </c>
      <c r="AC55" s="119">
        <v>92.649999999999991</v>
      </c>
      <c r="AD55" s="118" t="s">
        <v>166</v>
      </c>
      <c r="AE55" s="119">
        <v>105.05000000000001</v>
      </c>
      <c r="AF55" s="118" t="s">
        <v>166</v>
      </c>
      <c r="AG55" s="119">
        <v>108.25</v>
      </c>
      <c r="AH55" s="118" t="s">
        <v>166</v>
      </c>
      <c r="AI55" s="119">
        <v>103.8</v>
      </c>
      <c r="AJ55" s="118" t="s">
        <v>166</v>
      </c>
      <c r="AK55" s="119">
        <v>101.90000000000002</v>
      </c>
      <c r="AL55" s="119">
        <v>94.199999999999989</v>
      </c>
      <c r="AM55" s="119">
        <v>109</v>
      </c>
      <c r="AN55" s="119">
        <v>91.2</v>
      </c>
      <c r="AO55" s="118" t="s">
        <v>166</v>
      </c>
      <c r="AP55" s="118" t="s">
        <v>166</v>
      </c>
      <c r="AQ55" s="118" t="s">
        <v>166</v>
      </c>
      <c r="AR55" s="118" t="s">
        <v>166</v>
      </c>
      <c r="AS55" s="119">
        <v>106.35000000000001</v>
      </c>
      <c r="AT55" s="119">
        <v>101.34999999999998</v>
      </c>
      <c r="AU55" s="118" t="s">
        <v>166</v>
      </c>
      <c r="AV55" s="118" t="s">
        <v>166</v>
      </c>
      <c r="AW55" s="118" t="s">
        <v>166</v>
      </c>
      <c r="AX55" s="119">
        <v>115.64999999999999</v>
      </c>
      <c r="AY55" s="118" t="s">
        <v>166</v>
      </c>
      <c r="AZ55" s="118" t="s">
        <v>166</v>
      </c>
      <c r="BA55" s="118" t="s">
        <v>166</v>
      </c>
      <c r="BB55" s="118" t="s">
        <v>166</v>
      </c>
      <c r="BC55" s="119">
        <v>95</v>
      </c>
      <c r="BD55" s="118" t="s">
        <v>166</v>
      </c>
      <c r="BE55" s="118" t="s">
        <v>166</v>
      </c>
      <c r="BF55" s="119">
        <v>105.69999999999999</v>
      </c>
      <c r="BG55" s="119">
        <v>94.7</v>
      </c>
      <c r="BH55" s="119">
        <v>94.350000000000009</v>
      </c>
      <c r="BI55" s="118" t="s">
        <v>166</v>
      </c>
      <c r="BJ55" s="118" t="s">
        <v>166</v>
      </c>
      <c r="BK55" s="119">
        <v>95.300000000000011</v>
      </c>
      <c r="BL55" s="118" t="s">
        <v>166</v>
      </c>
      <c r="BM55" s="119">
        <v>90.399999999999991</v>
      </c>
      <c r="BN55" s="118" t="s">
        <v>166</v>
      </c>
      <c r="BO55" s="118" t="s">
        <v>166</v>
      </c>
      <c r="BP55" s="118" t="s">
        <v>166</v>
      </c>
      <c r="BQ55" s="118" t="s">
        <v>166</v>
      </c>
      <c r="BR55" s="118" t="s">
        <v>166</v>
      </c>
      <c r="BS55" s="118" t="s">
        <v>166</v>
      </c>
      <c r="BT55" s="118" t="s">
        <v>166</v>
      </c>
      <c r="BU55" s="118" t="s">
        <v>166</v>
      </c>
      <c r="BV55" s="99"/>
    </row>
    <row r="56" spans="2:74" x14ac:dyDescent="0.25">
      <c r="B56" s="120" t="s">
        <v>172</v>
      </c>
      <c r="C56" s="121">
        <v>41836</v>
      </c>
      <c r="D56" s="119">
        <v>0.999</v>
      </c>
      <c r="E56" s="119">
        <v>0.999</v>
      </c>
      <c r="F56" s="119">
        <v>1</v>
      </c>
      <c r="G56" s="119">
        <v>0.998</v>
      </c>
      <c r="H56" s="119">
        <v>0.999</v>
      </c>
      <c r="I56" s="119">
        <v>1</v>
      </c>
      <c r="J56" s="119">
        <v>0.999</v>
      </c>
      <c r="K56" s="119">
        <v>1</v>
      </c>
      <c r="L56" s="119">
        <v>1</v>
      </c>
      <c r="M56" s="119">
        <v>0.995</v>
      </c>
      <c r="N56" s="119">
        <v>1</v>
      </c>
      <c r="O56" s="118" t="s">
        <v>166</v>
      </c>
      <c r="P56" s="119">
        <v>0.999</v>
      </c>
      <c r="Q56" s="118" t="s">
        <v>166</v>
      </c>
      <c r="R56" s="119">
        <v>0.99</v>
      </c>
      <c r="S56" s="118" t="s">
        <v>166</v>
      </c>
      <c r="T56" s="119">
        <v>0.99299999999999999</v>
      </c>
      <c r="U56" s="119">
        <v>0.98699999999999999</v>
      </c>
      <c r="V56" s="119">
        <v>0.99</v>
      </c>
      <c r="W56" s="118" t="s">
        <v>166</v>
      </c>
      <c r="X56" s="119">
        <v>0.997</v>
      </c>
      <c r="Y56" s="119">
        <v>0.999</v>
      </c>
      <c r="Z56" s="118" t="s">
        <v>166</v>
      </c>
      <c r="AA56" s="119">
        <v>0.99399999999999999</v>
      </c>
      <c r="AB56" s="119">
        <v>1</v>
      </c>
      <c r="AC56" s="119">
        <v>0.995</v>
      </c>
      <c r="AD56" s="118" t="s">
        <v>166</v>
      </c>
      <c r="AE56" s="119">
        <v>0.999</v>
      </c>
      <c r="AF56" s="118" t="s">
        <v>166</v>
      </c>
      <c r="AG56" s="119">
        <v>0.999</v>
      </c>
      <c r="AH56" s="118" t="s">
        <v>166</v>
      </c>
      <c r="AI56" s="119">
        <v>0.998</v>
      </c>
      <c r="AJ56" s="118" t="s">
        <v>166</v>
      </c>
      <c r="AK56" s="119">
        <v>0.999</v>
      </c>
      <c r="AL56" s="119">
        <v>0.997</v>
      </c>
      <c r="AM56" s="119">
        <v>0.998</v>
      </c>
      <c r="AN56" s="119">
        <v>0.99299999999999999</v>
      </c>
      <c r="AO56" s="118" t="s">
        <v>166</v>
      </c>
      <c r="AP56" s="118" t="s">
        <v>166</v>
      </c>
      <c r="AQ56" s="118" t="s">
        <v>166</v>
      </c>
      <c r="AR56" s="118" t="s">
        <v>166</v>
      </c>
      <c r="AS56" s="119">
        <v>0.98899999999999999</v>
      </c>
      <c r="AT56" s="119">
        <v>0.998</v>
      </c>
      <c r="AU56" s="118" t="s">
        <v>166</v>
      </c>
      <c r="AV56" s="118" t="s">
        <v>166</v>
      </c>
      <c r="AW56" s="118" t="s">
        <v>166</v>
      </c>
      <c r="AX56" s="119">
        <v>0.995</v>
      </c>
      <c r="AY56" s="118" t="s">
        <v>166</v>
      </c>
      <c r="AZ56" s="118" t="s">
        <v>166</v>
      </c>
      <c r="BA56" s="118" t="s">
        <v>166</v>
      </c>
      <c r="BB56" s="118" t="s">
        <v>166</v>
      </c>
      <c r="BC56" s="119">
        <v>0.999</v>
      </c>
      <c r="BD56" s="118" t="s">
        <v>166</v>
      </c>
      <c r="BE56" s="118" t="s">
        <v>166</v>
      </c>
      <c r="BF56" s="119">
        <v>0.997</v>
      </c>
      <c r="BG56" s="119">
        <v>0.998</v>
      </c>
      <c r="BH56" s="119">
        <v>0.997</v>
      </c>
      <c r="BI56" s="118" t="s">
        <v>166</v>
      </c>
      <c r="BJ56" s="118" t="s">
        <v>166</v>
      </c>
      <c r="BK56" s="119">
        <v>0.999</v>
      </c>
      <c r="BL56" s="118" t="s">
        <v>166</v>
      </c>
      <c r="BM56" s="119">
        <v>0.996</v>
      </c>
      <c r="BN56" s="118" t="s">
        <v>166</v>
      </c>
      <c r="BO56" s="118" t="s">
        <v>166</v>
      </c>
      <c r="BP56" s="118" t="s">
        <v>166</v>
      </c>
      <c r="BQ56" s="118" t="s">
        <v>166</v>
      </c>
      <c r="BR56" s="118" t="s">
        <v>166</v>
      </c>
      <c r="BS56" s="118" t="s">
        <v>166</v>
      </c>
      <c r="BT56" s="118" t="s">
        <v>166</v>
      </c>
      <c r="BU56" s="118" t="s">
        <v>166</v>
      </c>
      <c r="BV56" s="99"/>
    </row>
    <row r="57" spans="2:74" x14ac:dyDescent="0.25">
      <c r="B57" s="120" t="s">
        <v>173</v>
      </c>
      <c r="C57" s="121">
        <v>41836</v>
      </c>
      <c r="D57" s="119">
        <v>86.3</v>
      </c>
      <c r="E57" s="119">
        <v>88.9</v>
      </c>
      <c r="F57" s="119">
        <v>82</v>
      </c>
      <c r="G57" s="119">
        <v>88</v>
      </c>
      <c r="H57" s="119">
        <v>80.2</v>
      </c>
      <c r="I57" s="119">
        <v>86.6</v>
      </c>
      <c r="J57" s="119">
        <v>84.9</v>
      </c>
      <c r="K57" s="119">
        <v>85.7</v>
      </c>
      <c r="L57" s="119">
        <v>85.8</v>
      </c>
      <c r="M57" s="119">
        <v>84.2</v>
      </c>
      <c r="N57" s="119">
        <v>82.4</v>
      </c>
      <c r="O57" s="118" t="s">
        <v>166</v>
      </c>
      <c r="P57" s="119">
        <v>82.3</v>
      </c>
      <c r="Q57" s="118" t="s">
        <v>166</v>
      </c>
      <c r="R57" s="119">
        <v>85.9</v>
      </c>
      <c r="S57" s="118" t="s">
        <v>166</v>
      </c>
      <c r="T57" s="119">
        <v>119</v>
      </c>
      <c r="U57" s="119">
        <v>99.1</v>
      </c>
      <c r="V57" s="119">
        <v>118.2</v>
      </c>
      <c r="W57" s="118" t="s">
        <v>166</v>
      </c>
      <c r="X57" s="119">
        <v>84.9</v>
      </c>
      <c r="Y57" s="123" t="s">
        <v>166</v>
      </c>
      <c r="Z57" s="118" t="s">
        <v>166</v>
      </c>
      <c r="AA57" s="119">
        <v>92.4</v>
      </c>
      <c r="AB57" s="119">
        <v>81.5</v>
      </c>
      <c r="AC57" s="119">
        <v>80.900000000000006</v>
      </c>
      <c r="AD57" s="118" t="s">
        <v>166</v>
      </c>
      <c r="AE57" s="119">
        <v>80.900000000000006</v>
      </c>
      <c r="AF57" s="118" t="s">
        <v>166</v>
      </c>
      <c r="AG57" s="119">
        <v>87.1</v>
      </c>
      <c r="AH57" s="118" t="s">
        <v>166</v>
      </c>
      <c r="AI57" s="119">
        <v>86.1</v>
      </c>
      <c r="AJ57" s="118" t="s">
        <v>166</v>
      </c>
      <c r="AK57" s="119">
        <v>83.4</v>
      </c>
      <c r="AL57" s="119">
        <v>89</v>
      </c>
      <c r="AM57" s="119">
        <v>88.3</v>
      </c>
      <c r="AN57" s="119">
        <v>90.2</v>
      </c>
      <c r="AO57" s="118" t="s">
        <v>166</v>
      </c>
      <c r="AP57" s="118" t="s">
        <v>166</v>
      </c>
      <c r="AQ57" s="118" t="s">
        <v>166</v>
      </c>
      <c r="AR57" s="118" t="s">
        <v>166</v>
      </c>
      <c r="AS57" s="119">
        <v>91</v>
      </c>
      <c r="AT57" s="119">
        <v>80.3</v>
      </c>
      <c r="AU57" s="118" t="s">
        <v>166</v>
      </c>
      <c r="AV57" s="118" t="s">
        <v>166</v>
      </c>
      <c r="AW57" s="118" t="s">
        <v>166</v>
      </c>
      <c r="AX57" s="119">
        <v>92.6</v>
      </c>
      <c r="AY57" s="118" t="s">
        <v>166</v>
      </c>
      <c r="AZ57" s="118" t="s">
        <v>166</v>
      </c>
      <c r="BA57" s="118" t="s">
        <v>166</v>
      </c>
      <c r="BB57" s="118" t="s">
        <v>166</v>
      </c>
      <c r="BC57" s="119">
        <v>80.8</v>
      </c>
      <c r="BD57" s="118" t="s">
        <v>166</v>
      </c>
      <c r="BE57" s="118" t="s">
        <v>166</v>
      </c>
      <c r="BF57" s="119">
        <v>85.9</v>
      </c>
      <c r="BG57" s="119">
        <v>85</v>
      </c>
      <c r="BH57" s="119">
        <v>82.8</v>
      </c>
      <c r="BI57" s="118" t="s">
        <v>166</v>
      </c>
      <c r="BJ57" s="118" t="s">
        <v>166</v>
      </c>
      <c r="BK57" s="119">
        <v>87.4</v>
      </c>
      <c r="BL57" s="118" t="s">
        <v>166</v>
      </c>
      <c r="BM57" s="119">
        <v>81.900000000000006</v>
      </c>
      <c r="BN57" s="118" t="s">
        <v>166</v>
      </c>
      <c r="BO57" s="118" t="s">
        <v>166</v>
      </c>
      <c r="BP57" s="118" t="s">
        <v>166</v>
      </c>
      <c r="BQ57" s="118" t="s">
        <v>166</v>
      </c>
      <c r="BR57" s="118" t="s">
        <v>166</v>
      </c>
      <c r="BS57" s="118" t="s">
        <v>166</v>
      </c>
      <c r="BT57" s="118" t="s">
        <v>166</v>
      </c>
      <c r="BU57" s="118" t="s">
        <v>166</v>
      </c>
      <c r="BV57" s="99"/>
    </row>
    <row r="58" spans="2:74" x14ac:dyDescent="0.25">
      <c r="B58" s="120" t="s">
        <v>170</v>
      </c>
      <c r="C58" s="121">
        <v>41836</v>
      </c>
      <c r="D58" s="119" t="s">
        <v>169</v>
      </c>
      <c r="E58" s="119" t="s">
        <v>169</v>
      </c>
      <c r="F58" s="119" t="s">
        <v>169</v>
      </c>
      <c r="G58" s="119" t="s">
        <v>169</v>
      </c>
      <c r="H58" s="119" t="s">
        <v>169</v>
      </c>
      <c r="I58" s="119" t="s">
        <v>169</v>
      </c>
      <c r="J58" s="119" t="s">
        <v>169</v>
      </c>
      <c r="K58" s="119" t="s">
        <v>169</v>
      </c>
      <c r="L58" s="119" t="s">
        <v>169</v>
      </c>
      <c r="M58" s="119" t="s">
        <v>169</v>
      </c>
      <c r="N58" s="119" t="s">
        <v>169</v>
      </c>
      <c r="O58" s="118" t="s">
        <v>166</v>
      </c>
      <c r="P58" s="119" t="s">
        <v>169</v>
      </c>
      <c r="Q58" s="118" t="s">
        <v>166</v>
      </c>
      <c r="R58" s="119" t="s">
        <v>169</v>
      </c>
      <c r="S58" s="118" t="s">
        <v>166</v>
      </c>
      <c r="T58" s="119" t="s">
        <v>169</v>
      </c>
      <c r="U58" s="119" t="s">
        <v>169</v>
      </c>
      <c r="V58" s="119" t="s">
        <v>169</v>
      </c>
      <c r="W58" s="118" t="s">
        <v>166</v>
      </c>
      <c r="X58" s="119" t="s">
        <v>169</v>
      </c>
      <c r="Y58" s="119" t="s">
        <v>169</v>
      </c>
      <c r="Z58" s="119" t="s">
        <v>169</v>
      </c>
      <c r="AA58" s="119" t="s">
        <v>169</v>
      </c>
      <c r="AB58" s="119" t="s">
        <v>169</v>
      </c>
      <c r="AC58" s="119" t="s">
        <v>169</v>
      </c>
      <c r="AD58" s="118" t="s">
        <v>166</v>
      </c>
      <c r="AE58" s="119" t="s">
        <v>169</v>
      </c>
      <c r="AF58" s="118" t="s">
        <v>166</v>
      </c>
      <c r="AG58" s="119" t="s">
        <v>169</v>
      </c>
      <c r="AH58" s="118" t="s">
        <v>166</v>
      </c>
      <c r="AI58" s="119" t="s">
        <v>169</v>
      </c>
      <c r="AJ58" s="118" t="s">
        <v>166</v>
      </c>
      <c r="AK58" s="119" t="s">
        <v>169</v>
      </c>
      <c r="AL58" s="119" t="s">
        <v>169</v>
      </c>
      <c r="AM58" s="119" t="s">
        <v>169</v>
      </c>
      <c r="AN58" s="119" t="s">
        <v>169</v>
      </c>
      <c r="AO58" s="118" t="s">
        <v>166</v>
      </c>
      <c r="AP58" s="118" t="s">
        <v>166</v>
      </c>
      <c r="AQ58" s="118" t="s">
        <v>166</v>
      </c>
      <c r="AR58" s="118" t="s">
        <v>166</v>
      </c>
      <c r="AS58" s="119" t="s">
        <v>169</v>
      </c>
      <c r="AT58" s="119" t="s">
        <v>169</v>
      </c>
      <c r="AU58" s="118" t="s">
        <v>166</v>
      </c>
      <c r="AV58" s="118" t="s">
        <v>166</v>
      </c>
      <c r="AW58" s="118" t="s">
        <v>166</v>
      </c>
      <c r="AX58" s="119" t="s">
        <v>169</v>
      </c>
      <c r="AY58" s="118" t="s">
        <v>166</v>
      </c>
      <c r="AZ58" s="118" t="s">
        <v>166</v>
      </c>
      <c r="BA58" s="118" t="s">
        <v>166</v>
      </c>
      <c r="BB58" s="118" t="s">
        <v>166</v>
      </c>
      <c r="BC58" s="119" t="s">
        <v>169</v>
      </c>
      <c r="BD58" s="118" t="s">
        <v>166</v>
      </c>
      <c r="BE58" s="118" t="s">
        <v>166</v>
      </c>
      <c r="BF58" s="119" t="s">
        <v>169</v>
      </c>
      <c r="BG58" s="119" t="s">
        <v>169</v>
      </c>
      <c r="BH58" s="119" t="s">
        <v>169</v>
      </c>
      <c r="BI58" s="118" t="s">
        <v>166</v>
      </c>
      <c r="BJ58" s="118" t="s">
        <v>166</v>
      </c>
      <c r="BK58" s="119" t="s">
        <v>169</v>
      </c>
      <c r="BL58" s="118" t="s">
        <v>166</v>
      </c>
      <c r="BM58" s="119" t="s">
        <v>169</v>
      </c>
      <c r="BN58" s="118" t="s">
        <v>166</v>
      </c>
      <c r="BO58" s="123" t="s">
        <v>169</v>
      </c>
      <c r="BP58" s="123" t="s">
        <v>169</v>
      </c>
      <c r="BQ58" s="123" t="s">
        <v>169</v>
      </c>
      <c r="BR58" s="123" t="s">
        <v>169</v>
      </c>
      <c r="BS58" s="123" t="s">
        <v>169</v>
      </c>
      <c r="BT58" s="123" t="s">
        <v>169</v>
      </c>
      <c r="BU58" s="123" t="s">
        <v>169</v>
      </c>
      <c r="BV58" s="99"/>
    </row>
    <row r="59" spans="2:74" s="156" customFormat="1" x14ac:dyDescent="0.25">
      <c r="B59" s="160" t="s">
        <v>207</v>
      </c>
      <c r="C59" s="161">
        <v>41836</v>
      </c>
      <c r="D59" s="159" t="s">
        <v>175</v>
      </c>
      <c r="E59" s="159">
        <v>15.312764615725921</v>
      </c>
      <c r="F59" s="159">
        <v>9.7319969353575431</v>
      </c>
      <c r="G59" s="159">
        <v>10.205572835858057</v>
      </c>
      <c r="H59" s="159">
        <v>10.32441797889167</v>
      </c>
      <c r="I59" s="159">
        <v>17.901437498393516</v>
      </c>
      <c r="J59" s="159" t="s">
        <v>175</v>
      </c>
      <c r="K59" s="159" t="s">
        <v>175</v>
      </c>
      <c r="L59" s="159" t="s">
        <v>175</v>
      </c>
      <c r="M59" s="159" t="s">
        <v>175</v>
      </c>
      <c r="N59" s="159" t="s">
        <v>175</v>
      </c>
      <c r="O59" s="159" t="s">
        <v>175</v>
      </c>
      <c r="P59" s="159" t="s">
        <v>175</v>
      </c>
      <c r="Q59" s="159" t="s">
        <v>175</v>
      </c>
      <c r="R59" s="159" t="s">
        <v>175</v>
      </c>
      <c r="S59" s="159" t="s">
        <v>175</v>
      </c>
      <c r="T59" s="159" t="s">
        <v>175</v>
      </c>
      <c r="U59" s="159" t="s">
        <v>175</v>
      </c>
      <c r="V59" s="159" t="s">
        <v>175</v>
      </c>
      <c r="W59" s="159" t="s">
        <v>175</v>
      </c>
      <c r="X59" s="159" t="s">
        <v>175</v>
      </c>
      <c r="Y59" s="159" t="s">
        <v>175</v>
      </c>
      <c r="Z59" s="159" t="s">
        <v>175</v>
      </c>
      <c r="AA59" s="159" t="s">
        <v>175</v>
      </c>
      <c r="AB59" s="159">
        <v>22.153939420214861</v>
      </c>
      <c r="AC59" s="159" t="s">
        <v>175</v>
      </c>
      <c r="AD59" s="159" t="s">
        <v>175</v>
      </c>
      <c r="AE59" s="159">
        <v>25.117010123238458</v>
      </c>
      <c r="AF59" s="159" t="s">
        <v>175</v>
      </c>
      <c r="AG59" s="159">
        <v>11.290255744640016</v>
      </c>
      <c r="AH59" s="159" t="s">
        <v>175</v>
      </c>
      <c r="AI59" s="159">
        <v>4.8765984909417002</v>
      </c>
      <c r="AJ59" s="159" t="s">
        <v>175</v>
      </c>
      <c r="AK59" s="159" t="s">
        <v>175</v>
      </c>
      <c r="AL59" s="159" t="s">
        <v>175</v>
      </c>
      <c r="AM59" s="159">
        <v>6.7604086414949656</v>
      </c>
      <c r="AN59" s="159" t="s">
        <v>175</v>
      </c>
      <c r="AO59" s="159" t="s">
        <v>175</v>
      </c>
      <c r="AP59" s="159" t="s">
        <v>175</v>
      </c>
      <c r="AQ59" s="159" t="s">
        <v>175</v>
      </c>
      <c r="AR59" s="159" t="s">
        <v>175</v>
      </c>
      <c r="AS59" s="159" t="s">
        <v>175</v>
      </c>
      <c r="AT59" s="159">
        <v>29.592405737624258</v>
      </c>
      <c r="AU59" s="159" t="s">
        <v>175</v>
      </c>
      <c r="AV59" s="159" t="s">
        <v>175</v>
      </c>
      <c r="AW59" s="159" t="s">
        <v>175</v>
      </c>
      <c r="AX59" s="159" t="s">
        <v>175</v>
      </c>
      <c r="AY59" s="159" t="s">
        <v>175</v>
      </c>
      <c r="AZ59" s="159" t="s">
        <v>175</v>
      </c>
      <c r="BA59" s="159" t="s">
        <v>175</v>
      </c>
      <c r="BB59" s="159" t="s">
        <v>175</v>
      </c>
      <c r="BC59" s="159" t="s">
        <v>175</v>
      </c>
      <c r="BD59" s="159" t="s">
        <v>175</v>
      </c>
      <c r="BE59" s="159" t="s">
        <v>175</v>
      </c>
      <c r="BF59" s="159" t="s">
        <v>175</v>
      </c>
      <c r="BG59" s="159" t="s">
        <v>175</v>
      </c>
      <c r="BH59" s="159" t="s">
        <v>175</v>
      </c>
      <c r="BI59" s="159" t="s">
        <v>175</v>
      </c>
      <c r="BJ59" s="159" t="s">
        <v>175</v>
      </c>
      <c r="BK59" s="159">
        <v>66.558094033954063</v>
      </c>
      <c r="BL59" s="159">
        <v>83.721442892487232</v>
      </c>
      <c r="BM59" s="159">
        <v>58.813781861917079</v>
      </c>
      <c r="BN59" s="159" t="s">
        <v>175</v>
      </c>
      <c r="BO59" s="159" t="s">
        <v>175</v>
      </c>
      <c r="BP59" s="159" t="s">
        <v>175</v>
      </c>
      <c r="BQ59" s="159" t="s">
        <v>175</v>
      </c>
      <c r="BR59" s="159" t="s">
        <v>175</v>
      </c>
      <c r="BS59" s="159" t="s">
        <v>175</v>
      </c>
      <c r="BT59" s="159" t="s">
        <v>175</v>
      </c>
      <c r="BU59" s="159" t="s">
        <v>175</v>
      </c>
    </row>
    <row r="61" spans="2:74" x14ac:dyDescent="0.25">
      <c r="B61" s="125" t="s">
        <v>163</v>
      </c>
      <c r="C61" s="128">
        <v>41864</v>
      </c>
      <c r="D61" s="123" t="s">
        <v>157</v>
      </c>
      <c r="E61" s="123" t="s">
        <v>157</v>
      </c>
      <c r="F61" s="123" t="s">
        <v>157</v>
      </c>
      <c r="G61" s="123" t="s">
        <v>157</v>
      </c>
      <c r="H61" s="123" t="s">
        <v>157</v>
      </c>
      <c r="I61" s="123" t="s">
        <v>157</v>
      </c>
      <c r="J61" s="123" t="s">
        <v>157</v>
      </c>
      <c r="K61" s="123" t="s">
        <v>157</v>
      </c>
      <c r="L61" s="123" t="s">
        <v>157</v>
      </c>
      <c r="M61" s="123" t="s">
        <v>157</v>
      </c>
      <c r="N61" s="123" t="s">
        <v>157</v>
      </c>
      <c r="O61" s="123" t="s">
        <v>157</v>
      </c>
      <c r="P61" s="123" t="s">
        <v>157</v>
      </c>
      <c r="Q61" s="123" t="s">
        <v>157</v>
      </c>
      <c r="R61" s="123" t="s">
        <v>157</v>
      </c>
      <c r="S61" s="123" t="s">
        <v>157</v>
      </c>
      <c r="T61" s="123" t="s">
        <v>157</v>
      </c>
      <c r="U61" s="123" t="s">
        <v>157</v>
      </c>
      <c r="V61" s="123" t="s">
        <v>157</v>
      </c>
      <c r="W61" s="123" t="s">
        <v>157</v>
      </c>
      <c r="X61" s="123" t="s">
        <v>157</v>
      </c>
      <c r="Y61" s="123" t="s">
        <v>157</v>
      </c>
      <c r="Z61" s="123" t="s">
        <v>157</v>
      </c>
      <c r="AA61" s="123" t="s">
        <v>157</v>
      </c>
      <c r="AB61" s="123" t="s">
        <v>157</v>
      </c>
      <c r="AC61" s="123" t="s">
        <v>157</v>
      </c>
      <c r="AD61" s="123" t="s">
        <v>157</v>
      </c>
      <c r="AE61" s="123" t="s">
        <v>157</v>
      </c>
      <c r="AF61" s="123" t="s">
        <v>157</v>
      </c>
      <c r="AG61" s="123" t="s">
        <v>157</v>
      </c>
      <c r="AH61" s="123" t="s">
        <v>157</v>
      </c>
      <c r="AI61" s="123" t="s">
        <v>157</v>
      </c>
      <c r="AJ61" s="123" t="s">
        <v>157</v>
      </c>
      <c r="AK61" s="123" t="s">
        <v>157</v>
      </c>
      <c r="AL61" s="123" t="s">
        <v>157</v>
      </c>
      <c r="AM61" s="123" t="s">
        <v>157</v>
      </c>
      <c r="AN61" s="123" t="s">
        <v>157</v>
      </c>
      <c r="AO61" s="123" t="s">
        <v>157</v>
      </c>
      <c r="AP61" s="123" t="s">
        <v>157</v>
      </c>
      <c r="AQ61" s="123" t="s">
        <v>157</v>
      </c>
      <c r="AR61" s="123" t="s">
        <v>157</v>
      </c>
      <c r="AS61" s="123" t="s">
        <v>157</v>
      </c>
      <c r="AT61" s="123" t="s">
        <v>157</v>
      </c>
      <c r="AU61" s="123" t="s">
        <v>157</v>
      </c>
      <c r="AV61" s="123" t="s">
        <v>157</v>
      </c>
      <c r="AW61" s="123" t="s">
        <v>157</v>
      </c>
      <c r="AX61" s="123" t="s">
        <v>157</v>
      </c>
      <c r="AY61" s="123" t="s">
        <v>157</v>
      </c>
      <c r="AZ61" s="123" t="s">
        <v>157</v>
      </c>
      <c r="BA61" s="123" t="s">
        <v>157</v>
      </c>
      <c r="BB61" s="123" t="s">
        <v>157</v>
      </c>
      <c r="BC61" s="123" t="s">
        <v>157</v>
      </c>
      <c r="BD61" s="123" t="s">
        <v>157</v>
      </c>
      <c r="BE61" s="123" t="s">
        <v>157</v>
      </c>
      <c r="BF61" s="123" t="s">
        <v>157</v>
      </c>
      <c r="BG61" s="123" t="s">
        <v>157</v>
      </c>
      <c r="BH61" s="123" t="s">
        <v>157</v>
      </c>
      <c r="BI61" s="123" t="s">
        <v>157</v>
      </c>
      <c r="BJ61" s="123" t="s">
        <v>157</v>
      </c>
      <c r="BK61" s="123" t="s">
        <v>157</v>
      </c>
      <c r="BL61" s="123" t="s">
        <v>157</v>
      </c>
      <c r="BM61" s="123" t="s">
        <v>157</v>
      </c>
      <c r="BN61" s="123" t="s">
        <v>157</v>
      </c>
      <c r="BO61" s="123" t="s">
        <v>157</v>
      </c>
      <c r="BP61" s="123" t="s">
        <v>157</v>
      </c>
      <c r="BQ61" s="123" t="s">
        <v>157</v>
      </c>
      <c r="BR61" s="123" t="s">
        <v>157</v>
      </c>
      <c r="BS61" s="123" t="s">
        <v>157</v>
      </c>
      <c r="BT61" s="123" t="s">
        <v>157</v>
      </c>
      <c r="BU61" s="123" t="s">
        <v>157</v>
      </c>
      <c r="BV61" s="99"/>
    </row>
    <row r="62" spans="2:74" x14ac:dyDescent="0.25">
      <c r="B62" s="125" t="s">
        <v>164</v>
      </c>
      <c r="C62" s="128">
        <v>41864</v>
      </c>
      <c r="D62" s="123" t="s">
        <v>157</v>
      </c>
      <c r="E62" s="123" t="s">
        <v>157</v>
      </c>
      <c r="F62" s="123" t="s">
        <v>157</v>
      </c>
      <c r="G62" s="123" t="s">
        <v>157</v>
      </c>
      <c r="H62" s="123" t="s">
        <v>157</v>
      </c>
      <c r="I62" s="123" t="s">
        <v>157</v>
      </c>
      <c r="J62" s="123" t="s">
        <v>157</v>
      </c>
      <c r="K62" s="123" t="s">
        <v>157</v>
      </c>
      <c r="L62" s="123" t="s">
        <v>157</v>
      </c>
      <c r="M62" s="123" t="s">
        <v>157</v>
      </c>
      <c r="N62" s="123" t="s">
        <v>157</v>
      </c>
      <c r="O62" s="123" t="s">
        <v>157</v>
      </c>
      <c r="P62" s="123" t="s">
        <v>157</v>
      </c>
      <c r="Q62" s="123" t="s">
        <v>157</v>
      </c>
      <c r="R62" s="123" t="s">
        <v>157</v>
      </c>
      <c r="S62" s="123" t="s">
        <v>157</v>
      </c>
      <c r="T62" s="123" t="s">
        <v>157</v>
      </c>
      <c r="U62" s="123" t="s">
        <v>157</v>
      </c>
      <c r="V62" s="123" t="s">
        <v>157</v>
      </c>
      <c r="W62" s="123" t="s">
        <v>157</v>
      </c>
      <c r="X62" s="123" t="s">
        <v>157</v>
      </c>
      <c r="Y62" s="123" t="s">
        <v>157</v>
      </c>
      <c r="Z62" s="123" t="s">
        <v>157</v>
      </c>
      <c r="AA62" s="123" t="s">
        <v>157</v>
      </c>
      <c r="AB62" s="123" t="s">
        <v>157</v>
      </c>
      <c r="AC62" s="123" t="s">
        <v>157</v>
      </c>
      <c r="AD62" s="123" t="s">
        <v>157</v>
      </c>
      <c r="AE62" s="123" t="s">
        <v>157</v>
      </c>
      <c r="AF62" s="123" t="s">
        <v>157</v>
      </c>
      <c r="AG62" s="123" t="s">
        <v>157</v>
      </c>
      <c r="AH62" s="123" t="s">
        <v>157</v>
      </c>
      <c r="AI62" s="123" t="s">
        <v>157</v>
      </c>
      <c r="AJ62" s="123" t="s">
        <v>157</v>
      </c>
      <c r="AK62" s="123" t="s">
        <v>157</v>
      </c>
      <c r="AL62" s="123" t="s">
        <v>157</v>
      </c>
      <c r="AM62" s="123" t="s">
        <v>157</v>
      </c>
      <c r="AN62" s="123" t="s">
        <v>157</v>
      </c>
      <c r="AO62" s="123" t="s">
        <v>157</v>
      </c>
      <c r="AP62" s="123" t="s">
        <v>157</v>
      </c>
      <c r="AQ62" s="123" t="s">
        <v>157</v>
      </c>
      <c r="AR62" s="123" t="s">
        <v>157</v>
      </c>
      <c r="AS62" s="123" t="s">
        <v>157</v>
      </c>
      <c r="AT62" s="123" t="s">
        <v>157</v>
      </c>
      <c r="AU62" s="123" t="s">
        <v>157</v>
      </c>
      <c r="AV62" s="123" t="s">
        <v>157</v>
      </c>
      <c r="AW62" s="123" t="s">
        <v>157</v>
      </c>
      <c r="AX62" s="123" t="s">
        <v>157</v>
      </c>
      <c r="AY62" s="123" t="s">
        <v>157</v>
      </c>
      <c r="AZ62" s="123" t="s">
        <v>157</v>
      </c>
      <c r="BA62" s="123" t="s">
        <v>157</v>
      </c>
      <c r="BB62" s="123" t="s">
        <v>157</v>
      </c>
      <c r="BC62" s="123" t="s">
        <v>157</v>
      </c>
      <c r="BD62" s="123" t="s">
        <v>157</v>
      </c>
      <c r="BE62" s="123" t="s">
        <v>157</v>
      </c>
      <c r="BF62" s="123" t="s">
        <v>157</v>
      </c>
      <c r="BG62" s="123" t="s">
        <v>157</v>
      </c>
      <c r="BH62" s="123" t="s">
        <v>157</v>
      </c>
      <c r="BI62" s="123" t="s">
        <v>157</v>
      </c>
      <c r="BJ62" s="123" t="s">
        <v>157</v>
      </c>
      <c r="BK62" s="123" t="s">
        <v>157</v>
      </c>
      <c r="BL62" s="123" t="s">
        <v>157</v>
      </c>
      <c r="BM62" s="123" t="s">
        <v>157</v>
      </c>
      <c r="BN62" s="123" t="s">
        <v>157</v>
      </c>
      <c r="BO62" s="123" t="s">
        <v>157</v>
      </c>
      <c r="BP62" s="123" t="s">
        <v>157</v>
      </c>
      <c r="BQ62" s="123" t="s">
        <v>157</v>
      </c>
      <c r="BR62" s="123" t="s">
        <v>157</v>
      </c>
      <c r="BS62" s="123" t="s">
        <v>157</v>
      </c>
      <c r="BT62" s="123" t="s">
        <v>157</v>
      </c>
      <c r="BU62" s="123" t="s">
        <v>157</v>
      </c>
      <c r="BV62" s="99"/>
    </row>
    <row r="63" spans="2:74" x14ac:dyDescent="0.25">
      <c r="B63" s="125" t="s">
        <v>165</v>
      </c>
      <c r="C63" s="128">
        <v>41864</v>
      </c>
      <c r="D63" s="123">
        <v>88.266666666666666</v>
      </c>
      <c r="E63" s="123">
        <v>95.716666666666654</v>
      </c>
      <c r="F63" s="123">
        <v>90.949999999999989</v>
      </c>
      <c r="G63" s="123">
        <v>96.75</v>
      </c>
      <c r="H63" s="123">
        <v>92.766666666666666</v>
      </c>
      <c r="I63" s="123">
        <v>93.683333333333337</v>
      </c>
      <c r="J63" s="123">
        <v>93.916666666666671</v>
      </c>
      <c r="K63" s="123">
        <v>93.25</v>
      </c>
      <c r="L63" s="123">
        <v>91.350000000000009</v>
      </c>
      <c r="M63" s="123">
        <v>92.916666666666671</v>
      </c>
      <c r="N63" s="123">
        <v>94.850000000000009</v>
      </c>
      <c r="O63" s="122" t="s">
        <v>166</v>
      </c>
      <c r="P63" s="123">
        <v>85.283333333333346</v>
      </c>
      <c r="Q63" s="122" t="s">
        <v>166</v>
      </c>
      <c r="R63" s="123">
        <v>94.05</v>
      </c>
      <c r="S63" s="122" t="s">
        <v>166</v>
      </c>
      <c r="T63" s="123">
        <v>102.58333333333333</v>
      </c>
      <c r="U63" s="123">
        <v>91.516666666666652</v>
      </c>
      <c r="V63" s="123">
        <v>101.56666666666666</v>
      </c>
      <c r="W63" s="122" t="s">
        <v>166</v>
      </c>
      <c r="X63" s="123">
        <v>92.5</v>
      </c>
      <c r="Y63" s="123">
        <v>81.016666666666666</v>
      </c>
      <c r="Z63" s="122" t="s">
        <v>166</v>
      </c>
      <c r="AA63" s="122" t="s">
        <v>166</v>
      </c>
      <c r="AB63" s="123">
        <v>89.333333333333329</v>
      </c>
      <c r="AC63" s="123">
        <v>79</v>
      </c>
      <c r="AD63" s="122" t="s">
        <v>166</v>
      </c>
      <c r="AE63" s="123">
        <v>83.750000000000014</v>
      </c>
      <c r="AF63" s="122" t="s">
        <v>166</v>
      </c>
      <c r="AG63" s="123">
        <v>83.1</v>
      </c>
      <c r="AH63" s="122" t="s">
        <v>166</v>
      </c>
      <c r="AI63" s="123">
        <v>87.333333333333329</v>
      </c>
      <c r="AJ63" s="122" t="s">
        <v>166</v>
      </c>
      <c r="AK63" s="123">
        <v>95.933333333333323</v>
      </c>
      <c r="AL63" s="123">
        <v>99.133333333333326</v>
      </c>
      <c r="AM63" s="123">
        <v>95.8</v>
      </c>
      <c r="AN63" s="123">
        <v>96.266666666666652</v>
      </c>
      <c r="AO63" s="122" t="s">
        <v>166</v>
      </c>
      <c r="AP63" s="122" t="s">
        <v>166</v>
      </c>
      <c r="AQ63" s="122" t="s">
        <v>166</v>
      </c>
      <c r="AR63" s="122" t="s">
        <v>166</v>
      </c>
      <c r="AS63" s="123">
        <v>85.600000000000009</v>
      </c>
      <c r="AT63" s="123">
        <v>82.283333333333346</v>
      </c>
      <c r="AU63" s="122" t="s">
        <v>166</v>
      </c>
      <c r="AV63" s="122" t="s">
        <v>166</v>
      </c>
      <c r="AW63" s="122" t="s">
        <v>166</v>
      </c>
      <c r="AX63" s="123">
        <v>92.466666666666654</v>
      </c>
      <c r="AY63" s="122" t="s">
        <v>166</v>
      </c>
      <c r="AZ63" s="122" t="s">
        <v>166</v>
      </c>
      <c r="BA63" s="122" t="s">
        <v>166</v>
      </c>
      <c r="BB63" s="122" t="s">
        <v>166</v>
      </c>
      <c r="BC63" s="123">
        <v>91.533333333333317</v>
      </c>
      <c r="BD63" s="122" t="s">
        <v>166</v>
      </c>
      <c r="BE63" s="122" t="s">
        <v>166</v>
      </c>
      <c r="BF63" s="123">
        <v>90.933333333333337</v>
      </c>
      <c r="BG63" s="123">
        <v>84.983333333333334</v>
      </c>
      <c r="BH63" s="123">
        <v>84.233333333333334</v>
      </c>
      <c r="BI63" s="122" t="s">
        <v>166</v>
      </c>
      <c r="BJ63" s="122" t="s">
        <v>166</v>
      </c>
      <c r="BK63" s="123">
        <v>89.483333333333334</v>
      </c>
      <c r="BL63" s="122" t="s">
        <v>166</v>
      </c>
      <c r="BM63" s="123">
        <v>87.233333333333334</v>
      </c>
      <c r="BN63" s="122" t="s">
        <v>166</v>
      </c>
      <c r="BO63" s="122" t="s">
        <v>166</v>
      </c>
      <c r="BP63" s="122" t="s">
        <v>166</v>
      </c>
      <c r="BQ63" s="122" t="s">
        <v>166</v>
      </c>
      <c r="BR63" s="122" t="s">
        <v>166</v>
      </c>
      <c r="BS63" s="122" t="s">
        <v>166</v>
      </c>
      <c r="BT63" s="122" t="s">
        <v>166</v>
      </c>
      <c r="BU63" s="122" t="s">
        <v>166</v>
      </c>
      <c r="BV63" s="99"/>
    </row>
    <row r="64" spans="2:74" x14ac:dyDescent="0.25">
      <c r="B64" s="125" t="s">
        <v>172</v>
      </c>
      <c r="C64" s="128">
        <v>41864</v>
      </c>
      <c r="D64" s="123">
        <v>0.999</v>
      </c>
      <c r="E64" s="123">
        <v>0.998</v>
      </c>
      <c r="F64" s="123">
        <v>0.999</v>
      </c>
      <c r="G64" s="123">
        <v>0.999</v>
      </c>
      <c r="H64" s="123">
        <v>1</v>
      </c>
      <c r="I64" s="123">
        <v>0.999</v>
      </c>
      <c r="J64" s="123">
        <v>0.999</v>
      </c>
      <c r="K64" s="123">
        <v>0.999</v>
      </c>
      <c r="L64" s="123">
        <v>0.999</v>
      </c>
      <c r="M64" s="123">
        <v>0.999</v>
      </c>
      <c r="N64" s="123">
        <v>0.999</v>
      </c>
      <c r="O64" s="122" t="s">
        <v>166</v>
      </c>
      <c r="P64" s="123">
        <v>0.998</v>
      </c>
      <c r="Q64" s="122" t="s">
        <v>166</v>
      </c>
      <c r="R64" s="123">
        <v>0.998</v>
      </c>
      <c r="S64" s="122" t="s">
        <v>166</v>
      </c>
      <c r="T64" s="123">
        <v>0.998</v>
      </c>
      <c r="U64" s="123">
        <v>0.98399999999999999</v>
      </c>
      <c r="V64" s="123">
        <v>0.99</v>
      </c>
      <c r="W64" s="122" t="s">
        <v>166</v>
      </c>
      <c r="X64" s="123">
        <v>0.998</v>
      </c>
      <c r="Y64" s="123">
        <v>0.999</v>
      </c>
      <c r="Z64" s="122" t="s">
        <v>166</v>
      </c>
      <c r="AA64" s="123">
        <v>0.99199999999999999</v>
      </c>
      <c r="AB64" s="123">
        <v>1</v>
      </c>
      <c r="AC64" s="123">
        <v>0.998</v>
      </c>
      <c r="AD64" s="122" t="s">
        <v>166</v>
      </c>
      <c r="AE64" s="123">
        <v>0.995</v>
      </c>
      <c r="AF64" s="122" t="s">
        <v>166</v>
      </c>
      <c r="AG64" s="123">
        <v>0.999</v>
      </c>
      <c r="AH64" s="122" t="s">
        <v>166</v>
      </c>
      <c r="AI64" s="123">
        <v>0.999</v>
      </c>
      <c r="AJ64" s="122" t="s">
        <v>166</v>
      </c>
      <c r="AK64" s="123">
        <v>1</v>
      </c>
      <c r="AL64" s="123">
        <v>0.99199999999999999</v>
      </c>
      <c r="AM64" s="123">
        <v>0.99399999999999999</v>
      </c>
      <c r="AN64" s="123">
        <v>0.996</v>
      </c>
      <c r="AO64" s="122" t="s">
        <v>166</v>
      </c>
      <c r="AP64" s="122" t="s">
        <v>166</v>
      </c>
      <c r="AQ64" s="122" t="s">
        <v>166</v>
      </c>
      <c r="AR64" s="122" t="s">
        <v>166</v>
      </c>
      <c r="AS64" s="123">
        <v>0.99399999999999999</v>
      </c>
      <c r="AT64" s="123">
        <v>0.997</v>
      </c>
      <c r="AU64" s="122" t="s">
        <v>166</v>
      </c>
      <c r="AV64" s="122" t="s">
        <v>166</v>
      </c>
      <c r="AW64" s="122" t="s">
        <v>166</v>
      </c>
      <c r="AX64" s="123">
        <v>0.998</v>
      </c>
      <c r="AY64" s="122" t="s">
        <v>166</v>
      </c>
      <c r="AZ64" s="122" t="s">
        <v>166</v>
      </c>
      <c r="BA64" s="122" t="s">
        <v>166</v>
      </c>
      <c r="BB64" s="122" t="s">
        <v>166</v>
      </c>
      <c r="BC64" s="123">
        <v>0.998</v>
      </c>
      <c r="BD64" s="122" t="s">
        <v>166</v>
      </c>
      <c r="BE64" s="122" t="s">
        <v>166</v>
      </c>
      <c r="BF64" s="123">
        <v>0.999</v>
      </c>
      <c r="BG64" s="123">
        <v>0.999</v>
      </c>
      <c r="BH64" s="123">
        <v>0.999</v>
      </c>
      <c r="BI64" s="122" t="s">
        <v>166</v>
      </c>
      <c r="BJ64" s="122" t="s">
        <v>166</v>
      </c>
      <c r="BK64" s="123">
        <v>0.998</v>
      </c>
      <c r="BL64" s="122" t="s">
        <v>166</v>
      </c>
      <c r="BM64" s="123">
        <v>0.997</v>
      </c>
      <c r="BN64" s="122" t="s">
        <v>166</v>
      </c>
      <c r="BO64" s="122" t="s">
        <v>166</v>
      </c>
      <c r="BP64" s="122" t="s">
        <v>166</v>
      </c>
      <c r="BQ64" s="122" t="s">
        <v>166</v>
      </c>
      <c r="BR64" s="122" t="s">
        <v>166</v>
      </c>
      <c r="BS64" s="122" t="s">
        <v>166</v>
      </c>
      <c r="BT64" s="122" t="s">
        <v>166</v>
      </c>
      <c r="BU64" s="122" t="s">
        <v>166</v>
      </c>
      <c r="BV64" s="99"/>
    </row>
    <row r="65" spans="2:74" x14ac:dyDescent="0.25">
      <c r="B65" s="125" t="s">
        <v>173</v>
      </c>
      <c r="C65" s="128">
        <v>41864</v>
      </c>
      <c r="D65" s="123">
        <v>92.5</v>
      </c>
      <c r="E65" s="123">
        <v>92.5</v>
      </c>
      <c r="F65" s="123">
        <v>91.5</v>
      </c>
      <c r="G65" s="123">
        <v>93.8</v>
      </c>
      <c r="H65" s="123">
        <v>92.2</v>
      </c>
      <c r="I65" s="123">
        <v>93.9</v>
      </c>
      <c r="J65" s="123">
        <v>98.1</v>
      </c>
      <c r="K65" s="123">
        <v>91.6</v>
      </c>
      <c r="L65" s="123">
        <v>94.5</v>
      </c>
      <c r="M65" s="123">
        <v>88.5</v>
      </c>
      <c r="N65" s="123">
        <v>92.3</v>
      </c>
      <c r="O65" s="122" t="s">
        <v>166</v>
      </c>
      <c r="P65" s="123">
        <v>98.2</v>
      </c>
      <c r="Q65" s="122" t="s">
        <v>166</v>
      </c>
      <c r="R65" s="123">
        <v>95.9</v>
      </c>
      <c r="S65" s="122" t="s">
        <v>166</v>
      </c>
      <c r="T65" s="123">
        <v>113.3</v>
      </c>
      <c r="U65" s="123">
        <v>80.900000000000006</v>
      </c>
      <c r="V65" s="123">
        <v>107.9</v>
      </c>
      <c r="W65" s="122" t="s">
        <v>166</v>
      </c>
      <c r="X65" s="123">
        <v>93.1</v>
      </c>
      <c r="Y65" s="123">
        <v>86</v>
      </c>
      <c r="Z65" s="122" t="s">
        <v>166</v>
      </c>
      <c r="AA65" s="123">
        <v>118.8</v>
      </c>
      <c r="AB65" s="123">
        <v>88.3</v>
      </c>
      <c r="AC65" s="123">
        <v>85.2</v>
      </c>
      <c r="AD65" s="122" t="s">
        <v>166</v>
      </c>
      <c r="AE65" s="123">
        <v>91.7</v>
      </c>
      <c r="AF65" s="122" t="s">
        <v>166</v>
      </c>
      <c r="AG65" s="123">
        <v>90.3</v>
      </c>
      <c r="AH65" s="122" t="s">
        <v>166</v>
      </c>
      <c r="AI65" s="123">
        <v>95.4</v>
      </c>
      <c r="AJ65" s="122" t="s">
        <v>166</v>
      </c>
      <c r="AK65" s="123">
        <v>94.5</v>
      </c>
      <c r="AL65" s="123">
        <v>106.6</v>
      </c>
      <c r="AM65" s="123">
        <v>96.4</v>
      </c>
      <c r="AN65" s="123">
        <v>99</v>
      </c>
      <c r="AO65" s="122" t="s">
        <v>166</v>
      </c>
      <c r="AP65" s="122" t="s">
        <v>166</v>
      </c>
      <c r="AQ65" s="122" t="s">
        <v>166</v>
      </c>
      <c r="AR65" s="122" t="s">
        <v>166</v>
      </c>
      <c r="AS65" s="123">
        <v>87.1</v>
      </c>
      <c r="AT65" s="123">
        <v>96</v>
      </c>
      <c r="AU65" s="122" t="s">
        <v>166</v>
      </c>
      <c r="AV65" s="122" t="s">
        <v>166</v>
      </c>
      <c r="AW65" s="122" t="s">
        <v>166</v>
      </c>
      <c r="AX65" s="123">
        <v>92.9</v>
      </c>
      <c r="AY65" s="122" t="s">
        <v>166</v>
      </c>
      <c r="AZ65" s="122" t="s">
        <v>166</v>
      </c>
      <c r="BA65" s="122" t="s">
        <v>166</v>
      </c>
      <c r="BB65" s="122" t="s">
        <v>166</v>
      </c>
      <c r="BC65" s="123">
        <v>90.8</v>
      </c>
      <c r="BD65" s="122" t="s">
        <v>166</v>
      </c>
      <c r="BE65" s="122" t="s">
        <v>166</v>
      </c>
      <c r="BF65" s="123">
        <v>91.4</v>
      </c>
      <c r="BG65" s="123">
        <v>88.3</v>
      </c>
      <c r="BH65" s="123">
        <v>85</v>
      </c>
      <c r="BI65" s="122" t="s">
        <v>166</v>
      </c>
      <c r="BJ65" s="122" t="s">
        <v>166</v>
      </c>
      <c r="BK65" s="123">
        <v>96.3</v>
      </c>
      <c r="BL65" s="122" t="s">
        <v>166</v>
      </c>
      <c r="BM65" s="123">
        <v>105.6</v>
      </c>
      <c r="BN65" s="122" t="s">
        <v>166</v>
      </c>
      <c r="BO65" s="122" t="s">
        <v>166</v>
      </c>
      <c r="BP65" s="122" t="s">
        <v>166</v>
      </c>
      <c r="BQ65" s="122" t="s">
        <v>166</v>
      </c>
      <c r="BR65" s="122" t="s">
        <v>166</v>
      </c>
      <c r="BS65" s="122" t="s">
        <v>166</v>
      </c>
      <c r="BT65" s="122" t="s">
        <v>166</v>
      </c>
      <c r="BU65" s="122" t="s">
        <v>166</v>
      </c>
      <c r="BV65" s="99"/>
    </row>
    <row r="66" spans="2:74" x14ac:dyDescent="0.25">
      <c r="B66" s="125" t="s">
        <v>170</v>
      </c>
      <c r="C66" s="128">
        <v>41864</v>
      </c>
      <c r="D66" s="123" t="s">
        <v>169</v>
      </c>
      <c r="E66" s="123" t="s">
        <v>169</v>
      </c>
      <c r="F66" s="123" t="s">
        <v>169</v>
      </c>
      <c r="G66" s="123" t="s">
        <v>169</v>
      </c>
      <c r="H66" s="123" t="s">
        <v>169</v>
      </c>
      <c r="I66" s="123" t="s">
        <v>169</v>
      </c>
      <c r="J66" s="123" t="s">
        <v>169</v>
      </c>
      <c r="K66" s="123" t="s">
        <v>169</v>
      </c>
      <c r="L66" s="123" t="s">
        <v>169</v>
      </c>
      <c r="M66" s="123" t="s">
        <v>169</v>
      </c>
      <c r="N66" s="123" t="s">
        <v>169</v>
      </c>
      <c r="O66" s="122" t="s">
        <v>166</v>
      </c>
      <c r="P66" s="123" t="s">
        <v>169</v>
      </c>
      <c r="Q66" s="122" t="s">
        <v>166</v>
      </c>
      <c r="R66" s="123" t="s">
        <v>169</v>
      </c>
      <c r="S66" s="122" t="s">
        <v>166</v>
      </c>
      <c r="T66" s="123" t="s">
        <v>169</v>
      </c>
      <c r="U66" s="123" t="s">
        <v>169</v>
      </c>
      <c r="V66" s="123" t="s">
        <v>169</v>
      </c>
      <c r="W66" s="122" t="s">
        <v>166</v>
      </c>
      <c r="X66" s="123" t="s">
        <v>169</v>
      </c>
      <c r="Y66" s="123" t="s">
        <v>169</v>
      </c>
      <c r="Z66" s="123" t="s">
        <v>169</v>
      </c>
      <c r="AA66" s="123" t="s">
        <v>169</v>
      </c>
      <c r="AB66" s="123" t="s">
        <v>169</v>
      </c>
      <c r="AC66" s="123" t="s">
        <v>169</v>
      </c>
      <c r="AD66" s="122" t="s">
        <v>166</v>
      </c>
      <c r="AE66" s="123" t="s">
        <v>169</v>
      </c>
      <c r="AF66" s="122" t="s">
        <v>166</v>
      </c>
      <c r="AG66" s="123" t="s">
        <v>169</v>
      </c>
      <c r="AH66" s="122" t="s">
        <v>166</v>
      </c>
      <c r="AI66" s="123" t="s">
        <v>169</v>
      </c>
      <c r="AJ66" s="122" t="s">
        <v>166</v>
      </c>
      <c r="AK66" s="123" t="s">
        <v>169</v>
      </c>
      <c r="AL66" s="123" t="s">
        <v>169</v>
      </c>
      <c r="AM66" s="123" t="s">
        <v>169</v>
      </c>
      <c r="AN66" s="123" t="s">
        <v>169</v>
      </c>
      <c r="AO66" s="122" t="s">
        <v>166</v>
      </c>
      <c r="AP66" s="122" t="s">
        <v>166</v>
      </c>
      <c r="AQ66" s="122" t="s">
        <v>166</v>
      </c>
      <c r="AR66" s="122" t="s">
        <v>166</v>
      </c>
      <c r="AS66" s="123" t="s">
        <v>169</v>
      </c>
      <c r="AT66" s="123" t="s">
        <v>169</v>
      </c>
      <c r="AU66" s="122" t="s">
        <v>166</v>
      </c>
      <c r="AV66" s="122" t="s">
        <v>166</v>
      </c>
      <c r="AW66" s="122" t="s">
        <v>166</v>
      </c>
      <c r="AX66" s="123" t="s">
        <v>169</v>
      </c>
      <c r="AY66" s="122" t="s">
        <v>166</v>
      </c>
      <c r="AZ66" s="122" t="s">
        <v>166</v>
      </c>
      <c r="BA66" s="122" t="s">
        <v>166</v>
      </c>
      <c r="BB66" s="122" t="s">
        <v>166</v>
      </c>
      <c r="BC66" s="123" t="s">
        <v>169</v>
      </c>
      <c r="BD66" s="122" t="s">
        <v>166</v>
      </c>
      <c r="BE66" s="122" t="s">
        <v>166</v>
      </c>
      <c r="BF66" s="123" t="s">
        <v>169</v>
      </c>
      <c r="BG66" s="123" t="s">
        <v>169</v>
      </c>
      <c r="BH66" s="123" t="s">
        <v>169</v>
      </c>
      <c r="BI66" s="122" t="s">
        <v>166</v>
      </c>
      <c r="BJ66" s="122" t="s">
        <v>166</v>
      </c>
      <c r="BK66" s="123" t="s">
        <v>169</v>
      </c>
      <c r="BL66" s="122" t="s">
        <v>166</v>
      </c>
      <c r="BM66" s="123" t="s">
        <v>169</v>
      </c>
      <c r="BN66" s="122" t="s">
        <v>166</v>
      </c>
      <c r="BO66" s="123" t="s">
        <v>169</v>
      </c>
      <c r="BP66" s="123" t="s">
        <v>169</v>
      </c>
      <c r="BQ66" s="123" t="s">
        <v>169</v>
      </c>
      <c r="BR66" s="123" t="s">
        <v>169</v>
      </c>
      <c r="BS66" s="123" t="s">
        <v>169</v>
      </c>
      <c r="BT66" s="123" t="s">
        <v>169</v>
      </c>
      <c r="BU66" s="123" t="s">
        <v>169</v>
      </c>
      <c r="BV66" s="9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workbookViewId="0">
      <selection activeCell="H16" sqref="H16"/>
    </sheetView>
  </sheetViews>
  <sheetFormatPr defaultRowHeight="12.75" x14ac:dyDescent="0.2"/>
  <cols>
    <col min="1" max="1" width="18.85546875" style="163" customWidth="1"/>
    <col min="2" max="2" width="9.42578125" style="163" bestFit="1" customWidth="1"/>
    <col min="3" max="3" width="13.7109375" style="163" customWidth="1"/>
    <col min="4" max="16384" width="9.140625" style="163"/>
  </cols>
  <sheetData>
    <row r="1" spans="1:14" x14ac:dyDescent="0.2">
      <c r="C1" s="164" t="s">
        <v>208</v>
      </c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x14ac:dyDescent="0.2">
      <c r="B2" s="164" t="s">
        <v>209</v>
      </c>
      <c r="C2" s="164" t="s">
        <v>210</v>
      </c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</row>
    <row r="3" spans="1:14" x14ac:dyDescent="0.2">
      <c r="A3" s="164" t="s">
        <v>211</v>
      </c>
      <c r="B3" s="164" t="s">
        <v>212</v>
      </c>
      <c r="C3" s="164" t="s">
        <v>213</v>
      </c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</row>
    <row r="4" spans="1:14" x14ac:dyDescent="0.2">
      <c r="A4" s="165" t="s">
        <v>151</v>
      </c>
      <c r="B4" s="166"/>
      <c r="C4" s="166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</row>
    <row r="5" spans="1:14" x14ac:dyDescent="0.2">
      <c r="A5" s="167">
        <v>41291.625</v>
      </c>
      <c r="B5" s="163">
        <v>0</v>
      </c>
      <c r="C5" s="168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</row>
    <row r="6" spans="1:14" x14ac:dyDescent="0.2">
      <c r="A6" s="167">
        <v>41295.416666666664</v>
      </c>
      <c r="B6" s="169">
        <v>3.7916666666642413</v>
      </c>
      <c r="C6" s="169">
        <v>0</v>
      </c>
      <c r="D6" s="170"/>
      <c r="E6" s="170"/>
      <c r="F6" s="170"/>
      <c r="G6" s="137"/>
      <c r="H6" s="137"/>
      <c r="I6" s="137"/>
      <c r="J6" s="137"/>
      <c r="K6" s="137"/>
      <c r="L6" s="137"/>
      <c r="M6" s="137"/>
      <c r="N6" s="137"/>
    </row>
    <row r="7" spans="1:14" x14ac:dyDescent="0.2">
      <c r="A7" s="167">
        <v>41304.375</v>
      </c>
      <c r="B7" s="169">
        <v>12.75</v>
      </c>
      <c r="C7" s="169">
        <v>0</v>
      </c>
      <c r="D7" s="170"/>
      <c r="E7" s="170"/>
      <c r="F7" s="170"/>
      <c r="G7" s="137"/>
      <c r="H7" s="170"/>
      <c r="I7" s="170"/>
      <c r="J7" s="137"/>
      <c r="K7" s="137"/>
      <c r="L7" s="137"/>
      <c r="M7" s="137"/>
      <c r="N7" s="137"/>
    </row>
    <row r="8" spans="1:14" x14ac:dyDescent="0.2">
      <c r="A8" s="167">
        <v>41317.416666666664</v>
      </c>
      <c r="B8" s="169">
        <v>25.791666666664241</v>
      </c>
      <c r="C8" s="169">
        <v>4.1358551409471714E-2</v>
      </c>
      <c r="D8" s="170"/>
      <c r="E8" s="170"/>
      <c r="F8" s="170"/>
      <c r="G8" s="137"/>
      <c r="H8" s="170"/>
      <c r="I8" s="170"/>
      <c r="J8" s="137"/>
      <c r="K8" s="137"/>
      <c r="L8" s="137"/>
      <c r="M8" s="137"/>
      <c r="N8" s="137"/>
    </row>
    <row r="9" spans="1:14" x14ac:dyDescent="0.2">
      <c r="A9" s="167">
        <v>41325.385416666664</v>
      </c>
      <c r="B9" s="169">
        <v>33.760416666664241</v>
      </c>
      <c r="C9" s="169">
        <v>0.20563760403532641</v>
      </c>
      <c r="D9" s="170"/>
      <c r="E9" s="170"/>
      <c r="F9" s="170"/>
      <c r="G9" s="137"/>
      <c r="H9" s="170"/>
      <c r="I9" s="170"/>
      <c r="J9" s="137"/>
      <c r="K9" s="137"/>
      <c r="L9" s="137"/>
      <c r="M9" s="137"/>
      <c r="N9" s="137"/>
    </row>
    <row r="10" spans="1:14" x14ac:dyDescent="0.2">
      <c r="A10" s="167">
        <v>41331.46875</v>
      </c>
      <c r="B10" s="169">
        <v>39.84375</v>
      </c>
      <c r="C10" s="169">
        <v>0.17563106322914102</v>
      </c>
      <c r="D10" s="170"/>
      <c r="E10" s="170"/>
      <c r="F10" s="170"/>
      <c r="G10" s="137"/>
      <c r="H10" s="137"/>
      <c r="I10" s="137"/>
      <c r="J10" s="137"/>
      <c r="K10" s="137"/>
      <c r="L10" s="137"/>
      <c r="M10" s="137"/>
      <c r="N10" s="137"/>
    </row>
    <row r="11" spans="1:14" x14ac:dyDescent="0.2">
      <c r="A11" s="167">
        <v>41339.458333333336</v>
      </c>
      <c r="B11" s="169">
        <v>47.833333333335759</v>
      </c>
      <c r="C11" s="169">
        <v>0.18685798125773978</v>
      </c>
      <c r="D11" s="170"/>
      <c r="E11" s="170"/>
      <c r="F11" s="170"/>
      <c r="G11" s="137"/>
      <c r="H11" s="137"/>
      <c r="I11" s="137"/>
      <c r="J11" s="137"/>
      <c r="K11" s="137"/>
      <c r="L11" s="137"/>
      <c r="M11" s="137"/>
      <c r="N11" s="137"/>
    </row>
    <row r="12" spans="1:14" x14ac:dyDescent="0.2">
      <c r="A12" s="167">
        <v>41345.541666666664</v>
      </c>
      <c r="B12" s="169">
        <v>53.916666666664241</v>
      </c>
      <c r="C12" s="169">
        <v>9.3240073866740478E-2</v>
      </c>
      <c r="D12" s="170"/>
      <c r="E12" s="170"/>
      <c r="F12" s="170"/>
      <c r="G12" s="137"/>
      <c r="H12" s="170"/>
      <c r="I12" s="170"/>
      <c r="J12" s="137"/>
      <c r="K12" s="137"/>
      <c r="L12" s="137"/>
      <c r="M12" s="137"/>
      <c r="N12" s="137"/>
    </row>
    <row r="13" spans="1:14" x14ac:dyDescent="0.2">
      <c r="A13" s="167">
        <v>41353.375</v>
      </c>
      <c r="B13" s="169">
        <v>61.75</v>
      </c>
      <c r="C13" s="169">
        <v>0.21454030734416568</v>
      </c>
      <c r="D13" s="170"/>
      <c r="E13" s="171"/>
      <c r="F13" s="170"/>
      <c r="G13" s="137"/>
      <c r="H13" s="170"/>
      <c r="I13" s="170"/>
      <c r="J13" s="137"/>
      <c r="K13" s="137"/>
      <c r="L13" s="137"/>
      <c r="M13" s="137"/>
      <c r="N13" s="137"/>
    </row>
    <row r="14" spans="1:14" ht="13.5" customHeight="1" x14ac:dyDescent="0.2">
      <c r="A14" s="167">
        <v>41360.375</v>
      </c>
      <c r="B14" s="169">
        <v>68.75</v>
      </c>
      <c r="C14" s="169">
        <v>0.48674431928170669</v>
      </c>
      <c r="D14" s="170"/>
      <c r="E14" s="171"/>
      <c r="F14" s="170"/>
      <c r="G14" s="137"/>
      <c r="H14" s="137"/>
      <c r="I14" s="137"/>
      <c r="J14" s="137"/>
      <c r="K14" s="137"/>
      <c r="L14" s="137"/>
      <c r="M14" s="137"/>
      <c r="N14" s="137"/>
    </row>
    <row r="15" spans="1:14" x14ac:dyDescent="0.2">
      <c r="A15" s="167">
        <v>41367.375</v>
      </c>
      <c r="B15" s="169">
        <v>75.75</v>
      </c>
      <c r="C15" s="169">
        <v>1.0141022567659008</v>
      </c>
      <c r="D15" s="170"/>
      <c r="E15" s="170"/>
      <c r="F15" s="170"/>
      <c r="G15" s="170"/>
      <c r="H15" s="170"/>
      <c r="I15" s="170"/>
      <c r="J15" s="170"/>
      <c r="K15" s="137"/>
      <c r="L15" s="137"/>
      <c r="M15" s="137"/>
      <c r="N15" s="137"/>
    </row>
    <row r="16" spans="1:14" x14ac:dyDescent="0.2">
      <c r="A16" s="167">
        <v>41374.375</v>
      </c>
      <c r="B16" s="169">
        <v>82.75</v>
      </c>
      <c r="C16" s="169">
        <v>1.710715338370256</v>
      </c>
      <c r="D16" s="170"/>
      <c r="E16" s="170"/>
      <c r="F16" s="170"/>
      <c r="G16" s="170"/>
      <c r="H16" s="170"/>
      <c r="I16" s="170"/>
      <c r="J16" s="170"/>
      <c r="K16" s="137"/>
      <c r="L16" s="137"/>
      <c r="M16" s="137"/>
      <c r="N16" s="137"/>
    </row>
    <row r="17" spans="1:14" x14ac:dyDescent="0.2">
      <c r="A17" s="167">
        <v>41379</v>
      </c>
      <c r="B17" s="169">
        <v>87.375</v>
      </c>
      <c r="C17" s="169">
        <v>2.3031106017918752</v>
      </c>
      <c r="D17" s="170"/>
      <c r="E17" s="170"/>
      <c r="F17" s="170"/>
      <c r="G17" s="170"/>
      <c r="H17" s="170"/>
      <c r="I17" s="170"/>
      <c r="J17" s="170"/>
      <c r="K17" s="137"/>
      <c r="L17" s="137"/>
      <c r="M17" s="137"/>
      <c r="N17" s="137"/>
    </row>
    <row r="18" spans="1:14" x14ac:dyDescent="0.2">
      <c r="A18" s="167">
        <v>41388.375</v>
      </c>
      <c r="B18" s="169">
        <v>96.75</v>
      </c>
      <c r="C18" s="169">
        <v>1.8297163164878265</v>
      </c>
      <c r="D18" s="170"/>
      <c r="E18" s="170"/>
      <c r="F18" s="170"/>
      <c r="G18" s="170"/>
      <c r="H18" s="170"/>
      <c r="I18" s="170"/>
      <c r="J18" s="170"/>
      <c r="K18" s="137"/>
      <c r="L18" s="137"/>
      <c r="M18" s="137"/>
      <c r="N18" s="137"/>
    </row>
    <row r="19" spans="1:14" x14ac:dyDescent="0.2">
      <c r="A19" s="167">
        <v>41395.354166666664</v>
      </c>
      <c r="B19" s="169">
        <v>103.72916666666424</v>
      </c>
      <c r="C19" s="169">
        <v>1.5883490960295819</v>
      </c>
      <c r="D19" s="170"/>
      <c r="E19" s="170"/>
      <c r="F19" s="170"/>
      <c r="G19" s="170"/>
      <c r="H19" s="170"/>
      <c r="I19" s="170"/>
      <c r="J19" s="170"/>
      <c r="K19" s="137"/>
      <c r="L19" s="137"/>
      <c r="M19" s="137"/>
      <c r="N19" s="137"/>
    </row>
    <row r="20" spans="1:14" x14ac:dyDescent="0.2">
      <c r="A20" s="167">
        <v>41403.375</v>
      </c>
      <c r="B20" s="169">
        <v>111.75</v>
      </c>
      <c r="C20" s="169">
        <v>1.4285589117516171</v>
      </c>
      <c r="D20" s="170"/>
      <c r="E20" s="170"/>
      <c r="F20" s="170"/>
      <c r="G20" s="170"/>
      <c r="H20" s="170"/>
      <c r="I20" s="170"/>
      <c r="J20" s="170"/>
      <c r="K20" s="137"/>
      <c r="L20" s="137"/>
      <c r="M20" s="137"/>
      <c r="N20" s="137"/>
    </row>
    <row r="21" spans="1:14" x14ac:dyDescent="0.2">
      <c r="A21" s="167">
        <v>41410.375</v>
      </c>
      <c r="B21" s="169">
        <v>118.75</v>
      </c>
      <c r="C21" s="169">
        <v>1.428078847859515</v>
      </c>
      <c r="D21" s="170"/>
      <c r="E21" s="170"/>
      <c r="F21" s="170"/>
      <c r="G21" s="170"/>
      <c r="H21" s="170"/>
      <c r="I21" s="170"/>
      <c r="J21" s="170"/>
      <c r="K21" s="137"/>
      <c r="L21" s="137"/>
      <c r="M21" s="137"/>
      <c r="N21" s="137"/>
    </row>
    <row r="22" spans="1:14" x14ac:dyDescent="0.2">
      <c r="A22" s="167">
        <v>41416.5</v>
      </c>
      <c r="B22" s="169">
        <v>124.875</v>
      </c>
      <c r="C22" s="169">
        <v>1.403900442770877</v>
      </c>
      <c r="D22" s="170"/>
      <c r="E22" s="170"/>
      <c r="F22" s="170"/>
      <c r="G22" s="170"/>
      <c r="H22" s="170"/>
      <c r="I22" s="170"/>
      <c r="J22" s="170"/>
      <c r="K22" s="137"/>
      <c r="L22" s="137"/>
      <c r="M22" s="137"/>
      <c r="N22" s="137"/>
    </row>
    <row r="23" spans="1:14" x14ac:dyDescent="0.2">
      <c r="A23" s="167">
        <v>41423.375</v>
      </c>
      <c r="B23" s="169">
        <v>131.75</v>
      </c>
      <c r="C23" s="169">
        <v>1.2350574602044686</v>
      </c>
      <c r="D23" s="170"/>
      <c r="E23" s="170"/>
      <c r="F23" s="170"/>
      <c r="G23" s="170"/>
      <c r="H23" s="170"/>
      <c r="I23" s="170"/>
      <c r="J23" s="170"/>
      <c r="K23" s="137"/>
      <c r="L23" s="137"/>
      <c r="M23" s="137"/>
      <c r="N23" s="137"/>
    </row>
    <row r="24" spans="1:14" x14ac:dyDescent="0.2">
      <c r="A24" s="167">
        <v>41429</v>
      </c>
      <c r="B24" s="169">
        <v>137.375</v>
      </c>
      <c r="C24" s="169">
        <v>1.0893552684023382</v>
      </c>
      <c r="D24" s="170"/>
      <c r="E24" s="170"/>
      <c r="F24" s="170"/>
      <c r="G24" s="170"/>
      <c r="H24" s="170"/>
      <c r="I24" s="170"/>
      <c r="J24" s="170"/>
      <c r="K24" s="137"/>
      <c r="L24" s="137"/>
      <c r="M24" s="137"/>
      <c r="N24" s="137"/>
    </row>
    <row r="25" spans="1:14" x14ac:dyDescent="0.2">
      <c r="A25" s="167">
        <v>41436.375</v>
      </c>
      <c r="B25" s="169">
        <v>144.75</v>
      </c>
      <c r="C25" s="169">
        <v>0.505723696432965</v>
      </c>
      <c r="D25" s="170"/>
      <c r="E25" s="170"/>
      <c r="F25" s="170"/>
      <c r="G25" s="170"/>
      <c r="H25" s="170"/>
      <c r="I25" s="170"/>
      <c r="J25" s="170"/>
      <c r="K25" s="137"/>
      <c r="L25" s="137"/>
      <c r="M25" s="137"/>
      <c r="N25" s="137"/>
    </row>
    <row r="26" spans="1:14" x14ac:dyDescent="0.2">
      <c r="A26" s="167">
        <v>41443.375</v>
      </c>
      <c r="B26" s="169">
        <v>151.75</v>
      </c>
      <c r="C26" s="169">
        <v>0.59399536123326935</v>
      </c>
      <c r="D26" s="170"/>
      <c r="E26" s="170"/>
      <c r="F26" s="170"/>
      <c r="G26" s="170"/>
      <c r="H26" s="170"/>
      <c r="I26" s="170"/>
      <c r="J26" s="170"/>
      <c r="K26" s="137"/>
      <c r="L26" s="137"/>
      <c r="M26" s="137"/>
      <c r="N26" s="137"/>
    </row>
    <row r="27" spans="1:14" x14ac:dyDescent="0.2">
      <c r="A27" s="167">
        <v>41450.416666666664</v>
      </c>
      <c r="B27" s="169">
        <v>158.79166666666424</v>
      </c>
      <c r="C27" s="169">
        <v>0.45390079334659533</v>
      </c>
      <c r="D27" s="170"/>
      <c r="E27" s="170"/>
      <c r="F27" s="170"/>
      <c r="G27" s="170"/>
      <c r="H27" s="170"/>
      <c r="I27" s="170"/>
      <c r="J27" s="170"/>
      <c r="K27" s="137"/>
      <c r="L27" s="137"/>
      <c r="M27" s="137"/>
      <c r="N27" s="137"/>
    </row>
    <row r="28" spans="1:14" x14ac:dyDescent="0.2">
      <c r="A28" s="167">
        <v>41458.375</v>
      </c>
      <c r="B28" s="169">
        <v>166.75</v>
      </c>
      <c r="C28" s="169">
        <v>0.35344711359942882</v>
      </c>
      <c r="D28" s="170"/>
      <c r="E28" s="170"/>
      <c r="F28" s="170"/>
      <c r="G28" s="170"/>
      <c r="H28" s="170"/>
      <c r="I28" s="170"/>
      <c r="J28" s="170"/>
      <c r="K28" s="137"/>
      <c r="L28" s="137"/>
      <c r="M28" s="137"/>
      <c r="N28" s="137"/>
    </row>
    <row r="29" spans="1:14" x14ac:dyDescent="0.2">
      <c r="A29" s="167">
        <v>41471.75</v>
      </c>
      <c r="B29" s="169">
        <v>180.125</v>
      </c>
      <c r="C29" s="169">
        <v>0.28520017898168143</v>
      </c>
      <c r="D29" s="170"/>
      <c r="E29" s="170"/>
      <c r="F29" s="170"/>
      <c r="G29" s="170"/>
      <c r="H29" s="170"/>
      <c r="I29" s="170"/>
      <c r="J29" s="170"/>
      <c r="K29" s="137"/>
      <c r="L29" s="137"/>
      <c r="M29" s="137"/>
      <c r="N29" s="137"/>
    </row>
    <row r="30" spans="1:14" x14ac:dyDescent="0.2">
      <c r="A30" s="167">
        <v>41484.416666666664</v>
      </c>
      <c r="B30" s="169">
        <v>192.79166666666424</v>
      </c>
      <c r="C30" s="169">
        <v>0.19931025408556155</v>
      </c>
      <c r="D30" s="170"/>
      <c r="E30" s="170"/>
      <c r="F30" s="170"/>
      <c r="G30" s="170"/>
      <c r="H30" s="170"/>
      <c r="I30" s="170"/>
      <c r="J30" s="170"/>
      <c r="K30" s="137"/>
      <c r="L30" s="137"/>
      <c r="M30" s="137"/>
      <c r="N30" s="137"/>
    </row>
    <row r="31" spans="1:14" x14ac:dyDescent="0.2">
      <c r="A31" s="167">
        <v>41500.520833333336</v>
      </c>
      <c r="B31" s="169">
        <v>208.89583333333576</v>
      </c>
      <c r="C31" s="169">
        <v>0.1354548128062093</v>
      </c>
      <c r="D31" s="170"/>
      <c r="E31" s="170"/>
      <c r="F31" s="170"/>
      <c r="G31" s="170"/>
      <c r="H31" s="170"/>
      <c r="I31" s="170"/>
      <c r="J31" s="170"/>
      <c r="K31" s="137"/>
      <c r="L31" s="137"/>
      <c r="M31" s="137"/>
      <c r="N31" s="137"/>
    </row>
    <row r="32" spans="1:14" x14ac:dyDescent="0.2">
      <c r="A32" s="167">
        <v>41534.416666666664</v>
      </c>
      <c r="B32" s="169">
        <v>242.79166666666424</v>
      </c>
      <c r="C32" s="169">
        <v>7.1443972374995626E-2</v>
      </c>
      <c r="D32" s="170"/>
      <c r="E32" s="170"/>
      <c r="F32" s="170"/>
      <c r="G32" s="170"/>
      <c r="H32" s="170"/>
      <c r="I32" s="170"/>
      <c r="J32" s="170"/>
      <c r="K32" s="137"/>
      <c r="L32" s="137"/>
      <c r="M32" s="137"/>
      <c r="N32" s="137"/>
    </row>
    <row r="33" spans="1:14" x14ac:dyDescent="0.2">
      <c r="A33" s="172">
        <v>41569.458333333336</v>
      </c>
      <c r="B33" s="169">
        <v>277.83333333333576</v>
      </c>
      <c r="C33" s="169">
        <v>2.2424264184151492E-2</v>
      </c>
      <c r="D33" s="170"/>
      <c r="E33" s="170"/>
      <c r="F33" s="170"/>
      <c r="G33" s="170"/>
      <c r="H33" s="170"/>
      <c r="I33" s="170"/>
      <c r="J33" s="170"/>
      <c r="K33" s="137"/>
      <c r="L33" s="137"/>
      <c r="M33" s="137"/>
      <c r="N33" s="137"/>
    </row>
    <row r="34" spans="1:14" x14ac:dyDescent="0.2">
      <c r="A34" s="167"/>
      <c r="B34" s="169"/>
      <c r="C34" s="169"/>
      <c r="D34" s="170"/>
      <c r="E34" s="170"/>
      <c r="F34" s="170"/>
      <c r="G34" s="170"/>
      <c r="H34" s="170"/>
      <c r="I34" s="170"/>
      <c r="J34" s="170"/>
      <c r="K34" s="137"/>
      <c r="L34" s="137"/>
      <c r="M34" s="137"/>
      <c r="N34" s="137"/>
    </row>
    <row r="35" spans="1:14" x14ac:dyDescent="0.2">
      <c r="C35" s="16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37"/>
    </row>
    <row r="36" spans="1:14" x14ac:dyDescent="0.2">
      <c r="A36" s="165" t="s">
        <v>152</v>
      </c>
      <c r="B36" s="166"/>
      <c r="C36" s="166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</row>
    <row r="37" spans="1:14" x14ac:dyDescent="0.2">
      <c r="A37" s="167">
        <v>41291.625</v>
      </c>
      <c r="B37" s="163">
        <v>0</v>
      </c>
      <c r="C37" s="168"/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</row>
    <row r="38" spans="1:14" x14ac:dyDescent="0.2">
      <c r="A38" s="167">
        <v>41295.416666666664</v>
      </c>
      <c r="B38" s="169">
        <v>3.7916666666642413</v>
      </c>
      <c r="C38" s="169">
        <v>0</v>
      </c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</row>
    <row r="39" spans="1:14" x14ac:dyDescent="0.2">
      <c r="A39" s="167">
        <v>41304.375</v>
      </c>
      <c r="B39" s="169">
        <v>12.75</v>
      </c>
      <c r="C39" s="169">
        <v>0</v>
      </c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</row>
    <row r="40" spans="1:14" x14ac:dyDescent="0.2">
      <c r="A40" s="167">
        <v>41311.364583333336</v>
      </c>
      <c r="B40" s="169">
        <v>19.739583333335759</v>
      </c>
      <c r="C40" s="169">
        <v>4.3176194172151079E-2</v>
      </c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</row>
    <row r="41" spans="1:14" x14ac:dyDescent="0.2">
      <c r="A41" s="167">
        <v>41317.416666666664</v>
      </c>
      <c r="B41" s="169">
        <v>25.791666666664241</v>
      </c>
      <c r="C41" s="169">
        <v>1.1935074237968308</v>
      </c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</row>
    <row r="42" spans="1:14" x14ac:dyDescent="0.2">
      <c r="A42" s="167">
        <v>41320.625</v>
      </c>
      <c r="B42" s="169">
        <v>29</v>
      </c>
      <c r="C42" s="169">
        <v>3.7777757373544172</v>
      </c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</row>
    <row r="43" spans="1:14" x14ac:dyDescent="0.2">
      <c r="A43" s="167">
        <v>41325.385416666664</v>
      </c>
      <c r="B43" s="169">
        <v>33.760416666664241</v>
      </c>
      <c r="C43" s="169">
        <v>1.7710917306625606</v>
      </c>
      <c r="D43" s="137"/>
      <c r="E43" s="137"/>
      <c r="F43" s="137"/>
      <c r="G43" s="137"/>
      <c r="H43" s="137"/>
      <c r="I43" s="137"/>
      <c r="J43" s="137"/>
      <c r="K43" s="137"/>
      <c r="L43" s="137"/>
      <c r="M43" s="137"/>
      <c r="N43" s="137"/>
    </row>
    <row r="44" spans="1:14" x14ac:dyDescent="0.2">
      <c r="A44" s="167">
        <v>41327.4375</v>
      </c>
      <c r="B44" s="169">
        <v>35.8125</v>
      </c>
      <c r="C44" s="169">
        <v>5.819733266910343</v>
      </c>
      <c r="D44" s="137"/>
      <c r="E44" s="137"/>
      <c r="F44" s="137"/>
      <c r="G44" s="137"/>
      <c r="H44" s="137"/>
      <c r="I44" s="137"/>
      <c r="J44" s="137"/>
      <c r="K44" s="137"/>
      <c r="L44" s="137"/>
      <c r="M44" s="137"/>
      <c r="N44" s="137"/>
    </row>
    <row r="45" spans="1:14" x14ac:dyDescent="0.2">
      <c r="A45" s="167">
        <v>41330.520833333336</v>
      </c>
      <c r="B45" s="169">
        <v>38.895833333335759</v>
      </c>
      <c r="C45" s="169">
        <v>4.7622527365926146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</row>
    <row r="46" spans="1:14" x14ac:dyDescent="0.2">
      <c r="A46" s="167">
        <v>41331.46875</v>
      </c>
      <c r="B46" s="169">
        <v>39.84375</v>
      </c>
      <c r="C46" s="169">
        <v>3.5631562623865616</v>
      </c>
      <c r="D46" s="137"/>
      <c r="E46" s="137"/>
      <c r="F46" s="137"/>
      <c r="G46" s="137"/>
      <c r="H46" s="137"/>
      <c r="I46" s="137"/>
      <c r="J46" s="137"/>
      <c r="K46" s="137"/>
      <c r="L46" s="137"/>
      <c r="M46" s="137"/>
      <c r="N46" s="137"/>
    </row>
    <row r="47" spans="1:14" x14ac:dyDescent="0.2">
      <c r="A47" s="167">
        <v>41335.333333333336</v>
      </c>
      <c r="B47" s="169">
        <v>43.708333333335759</v>
      </c>
      <c r="C47" s="169">
        <v>2.1232383173640135</v>
      </c>
    </row>
    <row r="48" spans="1:14" x14ac:dyDescent="0.2">
      <c r="A48" s="167">
        <v>41339.458333333336</v>
      </c>
      <c r="B48" s="169">
        <v>47.833333333335759</v>
      </c>
      <c r="C48" s="169">
        <v>1.8220777265433503</v>
      </c>
    </row>
    <row r="49" spans="1:3" x14ac:dyDescent="0.2">
      <c r="A49" s="167">
        <v>41345.541666666664</v>
      </c>
      <c r="B49" s="169">
        <v>53.916666666664241</v>
      </c>
      <c r="C49" s="169">
        <v>2.0822922041938456</v>
      </c>
    </row>
    <row r="50" spans="1:3" x14ac:dyDescent="0.2">
      <c r="A50" s="167">
        <v>41353.375</v>
      </c>
      <c r="B50" s="169">
        <v>61.75</v>
      </c>
      <c r="C50" s="169">
        <v>1.6331377652859147</v>
      </c>
    </row>
    <row r="51" spans="1:3" x14ac:dyDescent="0.2">
      <c r="A51" s="167">
        <v>41360.375</v>
      </c>
      <c r="B51" s="169">
        <v>68.75</v>
      </c>
      <c r="C51" s="169">
        <v>0.9033868482972921</v>
      </c>
    </row>
    <row r="52" spans="1:3" x14ac:dyDescent="0.2">
      <c r="A52" s="167">
        <v>41367.375</v>
      </c>
      <c r="B52" s="169">
        <v>75.75</v>
      </c>
      <c r="C52" s="169">
        <v>0.84509525294447585</v>
      </c>
    </row>
    <row r="53" spans="1:3" x14ac:dyDescent="0.2">
      <c r="A53" s="167">
        <v>41374.375</v>
      </c>
      <c r="B53" s="169">
        <v>82.75</v>
      </c>
      <c r="C53" s="169">
        <v>0.89190554190124516</v>
      </c>
    </row>
    <row r="54" spans="1:3" x14ac:dyDescent="0.2">
      <c r="A54" s="167">
        <v>41379</v>
      </c>
      <c r="B54" s="169">
        <v>87.375</v>
      </c>
      <c r="C54" s="169">
        <v>0.85974570792239657</v>
      </c>
    </row>
    <row r="55" spans="1:3" x14ac:dyDescent="0.2">
      <c r="A55" s="167">
        <v>41388.375</v>
      </c>
      <c r="B55" s="169">
        <v>96.75</v>
      </c>
      <c r="C55" s="169">
        <v>0.58023434330205548</v>
      </c>
    </row>
    <row r="56" spans="1:3" x14ac:dyDescent="0.2">
      <c r="A56" s="167">
        <v>41395.354166666664</v>
      </c>
      <c r="B56" s="169">
        <v>103.72916666666424</v>
      </c>
      <c r="C56" s="169">
        <v>0.36816075913527718</v>
      </c>
    </row>
    <row r="57" spans="1:3" x14ac:dyDescent="0.2">
      <c r="A57" s="167">
        <v>41403.375</v>
      </c>
      <c r="B57" s="169">
        <v>111.75</v>
      </c>
      <c r="C57" s="169">
        <v>0.2423219054799737</v>
      </c>
    </row>
    <row r="58" spans="1:3" x14ac:dyDescent="0.2">
      <c r="A58" s="167">
        <v>41423.375</v>
      </c>
      <c r="B58" s="169">
        <v>131.75</v>
      </c>
      <c r="C58" s="169">
        <v>0.12894221502321862</v>
      </c>
    </row>
    <row r="59" spans="1:3" x14ac:dyDescent="0.2">
      <c r="A59" s="167">
        <v>41436.375</v>
      </c>
      <c r="B59" s="169">
        <v>144.75</v>
      </c>
      <c r="C59" s="169">
        <v>6.3244705125523132E-2</v>
      </c>
    </row>
    <row r="60" spans="1:3" x14ac:dyDescent="0.2">
      <c r="A60" s="167">
        <v>41458.375</v>
      </c>
      <c r="B60" s="169">
        <v>166.75</v>
      </c>
      <c r="C60" s="169">
        <v>4.1811811814566634E-2</v>
      </c>
    </row>
    <row r="61" spans="1:3" x14ac:dyDescent="0.2">
      <c r="A61" s="167">
        <v>41484.416666666664</v>
      </c>
      <c r="B61" s="169">
        <v>192.79166666666424</v>
      </c>
      <c r="C61" s="169">
        <v>2.6019340569756005E-2</v>
      </c>
    </row>
    <row r="62" spans="1:3" x14ac:dyDescent="0.2">
      <c r="A62" s="167">
        <v>41500.520833333336</v>
      </c>
      <c r="B62" s="169">
        <v>208.89583333333576</v>
      </c>
      <c r="C62" s="169">
        <v>1.9178875425772655E-2</v>
      </c>
    </row>
    <row r="63" spans="1:3" x14ac:dyDescent="0.2">
      <c r="A63" s="167">
        <v>41541.416666666664</v>
      </c>
      <c r="B63" s="169">
        <v>249.79166666666424</v>
      </c>
      <c r="C63" s="169">
        <v>1.1165255044934609E-2</v>
      </c>
    </row>
    <row r="64" spans="1:3" x14ac:dyDescent="0.2">
      <c r="A64" s="172">
        <v>41569.458333333336</v>
      </c>
      <c r="B64" s="169">
        <v>277.83333333333576</v>
      </c>
      <c r="C64" s="169">
        <v>8.0013158385904918E-5</v>
      </c>
    </row>
    <row r="65" spans="1:3" x14ac:dyDescent="0.2">
      <c r="A65" s="167"/>
      <c r="B65" s="169"/>
      <c r="C65" s="1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"/>
  <sheetViews>
    <sheetView workbookViewId="0">
      <selection activeCell="I17" sqref="I17"/>
    </sheetView>
  </sheetViews>
  <sheetFormatPr defaultRowHeight="15" x14ac:dyDescent="0.25"/>
  <cols>
    <col min="1" max="1" width="9.140625" style="99"/>
    <col min="2" max="2" width="10" style="99" bestFit="1" customWidth="1"/>
    <col min="3" max="16384" width="9.140625" style="99"/>
  </cols>
  <sheetData>
    <row r="1" spans="1:71" ht="24" x14ac:dyDescent="0.25">
      <c r="B1" s="131" t="s">
        <v>15</v>
      </c>
      <c r="C1" s="131" t="s">
        <v>16</v>
      </c>
      <c r="D1" s="131" t="s">
        <v>17</v>
      </c>
      <c r="E1" s="131" t="s">
        <v>18</v>
      </c>
      <c r="F1" s="131" t="s">
        <v>19</v>
      </c>
      <c r="G1" s="131" t="s">
        <v>20</v>
      </c>
      <c r="H1" s="131" t="s">
        <v>21</v>
      </c>
      <c r="I1" s="131" t="s">
        <v>22</v>
      </c>
      <c r="J1" s="131" t="s">
        <v>23</v>
      </c>
      <c r="K1" s="131" t="s">
        <v>24</v>
      </c>
      <c r="L1" s="131" t="s">
        <v>25</v>
      </c>
      <c r="M1" s="131" t="s">
        <v>26</v>
      </c>
      <c r="N1" s="131" t="s">
        <v>27</v>
      </c>
      <c r="O1" s="131" t="s">
        <v>28</v>
      </c>
      <c r="P1" s="131" t="s">
        <v>29</v>
      </c>
      <c r="Q1" s="132" t="s">
        <v>30</v>
      </c>
      <c r="R1" s="131" t="s">
        <v>31</v>
      </c>
      <c r="S1" s="131" t="s">
        <v>32</v>
      </c>
      <c r="T1" s="131" t="s">
        <v>33</v>
      </c>
      <c r="U1" s="133" t="s">
        <v>34</v>
      </c>
      <c r="V1" s="131" t="s">
        <v>35</v>
      </c>
      <c r="W1" s="131" t="s">
        <v>36</v>
      </c>
      <c r="X1" s="131" t="s">
        <v>37</v>
      </c>
      <c r="Y1" s="133" t="s">
        <v>38</v>
      </c>
      <c r="Z1" s="134" t="s">
        <v>39</v>
      </c>
      <c r="AA1" s="134" t="s">
        <v>40</v>
      </c>
      <c r="AB1" s="134" t="s">
        <v>41</v>
      </c>
      <c r="AC1" s="132" t="s">
        <v>42</v>
      </c>
      <c r="AD1" s="131" t="s">
        <v>43</v>
      </c>
      <c r="AE1" s="131" t="s">
        <v>44</v>
      </c>
      <c r="AF1" s="131" t="s">
        <v>45</v>
      </c>
      <c r="AG1" s="131" t="s">
        <v>46</v>
      </c>
      <c r="AH1" s="131" t="s">
        <v>47</v>
      </c>
      <c r="AI1" s="131" t="s">
        <v>48</v>
      </c>
      <c r="AJ1" s="124" t="s">
        <v>190</v>
      </c>
      <c r="AK1" s="124" t="s">
        <v>191</v>
      </c>
      <c r="AL1" s="124" t="s">
        <v>192</v>
      </c>
      <c r="AM1" s="124" t="s">
        <v>49</v>
      </c>
      <c r="AN1" s="124" t="s">
        <v>50</v>
      </c>
      <c r="AO1" s="124" t="s">
        <v>51</v>
      </c>
      <c r="AP1" s="124" t="s">
        <v>52</v>
      </c>
      <c r="AQ1" s="124" t="s">
        <v>53</v>
      </c>
      <c r="AR1" s="124" t="s">
        <v>54</v>
      </c>
      <c r="AS1" s="124" t="s">
        <v>55</v>
      </c>
      <c r="AT1" s="124" t="s">
        <v>56</v>
      </c>
      <c r="AU1" s="124" t="s">
        <v>57</v>
      </c>
      <c r="AV1" s="124" t="s">
        <v>58</v>
      </c>
      <c r="AW1" s="124" t="s">
        <v>59</v>
      </c>
      <c r="AX1" s="124" t="s">
        <v>60</v>
      </c>
      <c r="AY1" s="124" t="s">
        <v>61</v>
      </c>
      <c r="AZ1" s="124" t="s">
        <v>62</v>
      </c>
      <c r="BA1" s="124" t="s">
        <v>63</v>
      </c>
      <c r="BB1" s="124" t="s">
        <v>193</v>
      </c>
      <c r="BC1" s="124" t="s">
        <v>194</v>
      </c>
      <c r="BD1" s="124" t="s">
        <v>195</v>
      </c>
      <c r="BE1" s="124" t="s">
        <v>196</v>
      </c>
      <c r="BF1" s="124" t="s">
        <v>197</v>
      </c>
      <c r="BG1" s="132" t="s">
        <v>64</v>
      </c>
      <c r="BH1" s="131" t="s">
        <v>65</v>
      </c>
      <c r="BI1" s="131" t="s">
        <v>66</v>
      </c>
      <c r="BJ1" s="131" t="s">
        <v>67</v>
      </c>
      <c r="BK1" s="131" t="s">
        <v>68</v>
      </c>
      <c r="BL1" s="131" t="s">
        <v>69</v>
      </c>
      <c r="BM1" s="131" t="s">
        <v>70</v>
      </c>
      <c r="BN1" s="133" t="s">
        <v>71</v>
      </c>
      <c r="BO1" s="134" t="s">
        <v>72</v>
      </c>
      <c r="BP1" s="134" t="s">
        <v>73</v>
      </c>
      <c r="BQ1" s="134" t="s">
        <v>74</v>
      </c>
      <c r="BR1" s="134" t="s">
        <v>75</v>
      </c>
      <c r="BS1" s="133" t="s">
        <v>76</v>
      </c>
    </row>
    <row r="2" spans="1:71" x14ac:dyDescent="0.25">
      <c r="A2" s="99" t="s">
        <v>162</v>
      </c>
      <c r="B2" s="131" t="e">
        <f>#REF!*2</f>
        <v>#REF!</v>
      </c>
      <c r="C2" s="131" t="e">
        <f>#REF!*2</f>
        <v>#REF!</v>
      </c>
      <c r="D2" s="131" t="e">
        <f>#REF!*2</f>
        <v>#REF!</v>
      </c>
      <c r="E2" s="131" t="e">
        <f>#REF!*2</f>
        <v>#REF!</v>
      </c>
      <c r="F2" s="131" t="e">
        <f>#REF!*2</f>
        <v>#REF!</v>
      </c>
      <c r="G2" s="131" t="e">
        <f>#REF!*2</f>
        <v>#REF!</v>
      </c>
      <c r="H2" s="131" t="e">
        <f>#REF!*2</f>
        <v>#REF!</v>
      </c>
      <c r="I2" s="131" t="e">
        <f>#REF!*2</f>
        <v>#REF!</v>
      </c>
      <c r="J2" s="131" t="e">
        <f>#REF!*2</f>
        <v>#REF!</v>
      </c>
      <c r="K2" s="131" t="e">
        <f>#REF!*2</f>
        <v>#REF!</v>
      </c>
      <c r="L2" s="131" t="e">
        <f>#REF!*2</f>
        <v>#REF!</v>
      </c>
      <c r="M2" s="131" t="e">
        <f>#REF!*2</f>
        <v>#REF!</v>
      </c>
      <c r="N2" s="131" t="e">
        <f>#REF!*2</f>
        <v>#REF!</v>
      </c>
      <c r="O2" s="131" t="e">
        <f>#REF!*2</f>
        <v>#REF!</v>
      </c>
      <c r="P2" s="131" t="e">
        <f>#REF!*2</f>
        <v>#REF!</v>
      </c>
      <c r="Q2" s="131" t="e">
        <f>#REF!*2</f>
        <v>#REF!</v>
      </c>
      <c r="R2" s="131" t="e">
        <f>#REF!*2</f>
        <v>#REF!</v>
      </c>
      <c r="S2" s="131" t="e">
        <f>#REF!*2</f>
        <v>#REF!</v>
      </c>
      <c r="T2" s="131" t="e">
        <f>#REF!*2</f>
        <v>#REF!</v>
      </c>
      <c r="U2" s="131" t="e">
        <f>#REF!*2</f>
        <v>#REF!</v>
      </c>
      <c r="V2" s="131" t="e">
        <f>#REF!*2</f>
        <v>#REF!</v>
      </c>
      <c r="W2" s="131" t="e">
        <f>#REF!*2</f>
        <v>#REF!</v>
      </c>
      <c r="X2" s="131" t="e">
        <f>#REF!*2</f>
        <v>#REF!</v>
      </c>
      <c r="Y2" s="131" t="e">
        <f>#REF!*2</f>
        <v>#REF!</v>
      </c>
      <c r="Z2" s="131" t="e">
        <f>#REF!*2</f>
        <v>#REF!</v>
      </c>
      <c r="AA2" s="131" t="e">
        <f>#REF!*2</f>
        <v>#REF!</v>
      </c>
      <c r="AB2" s="131" t="e">
        <f>#REF!*2</f>
        <v>#REF!</v>
      </c>
      <c r="AC2" s="131" t="e">
        <f>#REF!*2</f>
        <v>#REF!</v>
      </c>
      <c r="AD2" s="131" t="e">
        <f>#REF!*2</f>
        <v>#REF!</v>
      </c>
      <c r="AE2" s="131" t="e">
        <f>#REF!*2</f>
        <v>#REF!</v>
      </c>
      <c r="AF2" s="131" t="e">
        <f>#REF!*2</f>
        <v>#REF!</v>
      </c>
      <c r="AG2" s="131" t="e">
        <f>#REF!*2</f>
        <v>#REF!</v>
      </c>
      <c r="AH2" s="131" t="e">
        <f>#REF!*2</f>
        <v>#REF!</v>
      </c>
      <c r="AI2" s="131" t="e">
        <f>#REF!*2</f>
        <v>#REF!</v>
      </c>
      <c r="AJ2" s="131" t="e">
        <f>#REF!*2</f>
        <v>#REF!</v>
      </c>
      <c r="AK2" s="131" t="e">
        <f>#REF!*2</f>
        <v>#REF!</v>
      </c>
      <c r="AL2" s="131" t="e">
        <f>#REF!*2</f>
        <v>#REF!</v>
      </c>
      <c r="AM2" s="131" t="e">
        <f>#REF!*2</f>
        <v>#REF!</v>
      </c>
      <c r="AN2" s="131" t="e">
        <f>#REF!*2</f>
        <v>#REF!</v>
      </c>
      <c r="AO2" s="131" t="e">
        <f>#REF!*2</f>
        <v>#REF!</v>
      </c>
      <c r="AP2" s="131" t="e">
        <f>#REF!*2</f>
        <v>#REF!</v>
      </c>
      <c r="AQ2" s="131" t="e">
        <f>#REF!*2</f>
        <v>#REF!</v>
      </c>
      <c r="AR2" s="131" t="e">
        <f>#REF!*2</f>
        <v>#REF!</v>
      </c>
      <c r="AS2" s="131" t="e">
        <f>#REF!*2</f>
        <v>#REF!</v>
      </c>
      <c r="AT2" s="131" t="e">
        <f>#REF!*2</f>
        <v>#REF!</v>
      </c>
      <c r="AU2" s="131" t="e">
        <f>#REF!*2</f>
        <v>#REF!</v>
      </c>
      <c r="AV2" s="131" t="e">
        <f>#REF!*2</f>
        <v>#REF!</v>
      </c>
      <c r="AW2" s="131" t="e">
        <f>#REF!*2</f>
        <v>#REF!</v>
      </c>
      <c r="AX2" s="131" t="e">
        <f>#REF!*2</f>
        <v>#REF!</v>
      </c>
      <c r="AY2" s="131" t="e">
        <f>#REF!*2</f>
        <v>#REF!</v>
      </c>
      <c r="AZ2" s="131" t="e">
        <f>#REF!*2</f>
        <v>#REF!</v>
      </c>
      <c r="BA2" s="131" t="e">
        <f>#REF!*2</f>
        <v>#REF!</v>
      </c>
      <c r="BB2" s="131" t="e">
        <f>#REF!*2</f>
        <v>#REF!</v>
      </c>
      <c r="BC2" s="131" t="e">
        <f>#REF!*2</f>
        <v>#REF!</v>
      </c>
      <c r="BD2" s="131" t="e">
        <f>#REF!*2</f>
        <v>#REF!</v>
      </c>
      <c r="BE2" s="131" t="e">
        <f>#REF!*2</f>
        <v>#REF!</v>
      </c>
      <c r="BF2" s="131" t="e">
        <f>#REF!*2</f>
        <v>#REF!</v>
      </c>
      <c r="BG2" s="131" t="e">
        <f>#REF!*2</f>
        <v>#REF!</v>
      </c>
      <c r="BH2" s="131" t="e">
        <f>#REF!*2</f>
        <v>#REF!</v>
      </c>
      <c r="BI2" s="131" t="e">
        <f>#REF!*2</f>
        <v>#REF!</v>
      </c>
      <c r="BJ2" s="131" t="e">
        <f>#REF!*2</f>
        <v>#REF!</v>
      </c>
      <c r="BK2" s="131" t="e">
        <f>#REF!*2</f>
        <v>#REF!</v>
      </c>
      <c r="BL2" s="131" t="e">
        <f>#REF!*2</f>
        <v>#REF!</v>
      </c>
      <c r="BM2" s="131" t="e">
        <f>#REF!*2</f>
        <v>#REF!</v>
      </c>
      <c r="BN2" s="131" t="e">
        <f>#REF!*2</f>
        <v>#REF!</v>
      </c>
      <c r="BO2" s="131" t="e">
        <f>#REF!*2</f>
        <v>#REF!</v>
      </c>
      <c r="BP2" s="131" t="e">
        <f>#REF!*2</f>
        <v>#REF!</v>
      </c>
      <c r="BQ2" s="131" t="e">
        <f>#REF!*2</f>
        <v>#REF!</v>
      </c>
      <c r="BR2" s="131" t="e">
        <f>#REF!*2</f>
        <v>#REF!</v>
      </c>
      <c r="BS2" s="131" t="e">
        <f>#REF!*2</f>
        <v>#REF!</v>
      </c>
    </row>
    <row r="5" spans="1:71" x14ac:dyDescent="0.25">
      <c r="Q5" s="99">
        <f>30*1.2/3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abSelected="1" zoomScaleNormal="100" workbookViewId="0">
      <pane xSplit="3" topLeftCell="D1" activePane="topRight" state="frozenSplit"/>
      <selection activeCell="A144" sqref="A144"/>
      <selection pane="topRight" activeCell="D14" sqref="D14"/>
    </sheetView>
  </sheetViews>
  <sheetFormatPr defaultRowHeight="12.75" x14ac:dyDescent="0.2"/>
  <cols>
    <col min="1" max="1" width="15.5703125" style="175" customWidth="1"/>
    <col min="2" max="2" width="15.140625" style="175" customWidth="1"/>
    <col min="3" max="3" width="14.140625" style="175" bestFit="1" customWidth="1"/>
    <col min="4" max="5" width="14.140625" style="175" customWidth="1"/>
    <col min="6" max="6" width="13.140625" style="175" customWidth="1"/>
    <col min="7" max="16" width="10.140625" style="175" bestFit="1" customWidth="1"/>
    <col min="17" max="17" width="10.7109375" style="175" customWidth="1"/>
    <col min="18" max="19" width="10.140625" style="175" bestFit="1" customWidth="1"/>
    <col min="20" max="20" width="10.5703125" style="175" customWidth="1"/>
    <col min="21" max="21" width="12.28515625" style="175" customWidth="1"/>
    <col min="22" max="24" width="10.140625" style="175" bestFit="1" customWidth="1"/>
    <col min="25" max="25" width="11.42578125" style="175" customWidth="1"/>
    <col min="26" max="26" width="11.28515625" style="175" customWidth="1"/>
    <col min="27" max="27" width="11.5703125" style="175" customWidth="1"/>
    <col min="28" max="35" width="10.140625" style="175" bestFit="1" customWidth="1"/>
    <col min="36" max="36" width="9.140625" style="175"/>
    <col min="37" max="40" width="10.140625" style="175" bestFit="1" customWidth="1"/>
    <col min="41" max="41" width="9.140625" style="175"/>
    <col min="42" max="44" width="10.140625" style="175" bestFit="1" customWidth="1"/>
    <col min="45" max="54" width="9.140625" style="175"/>
    <col min="55" max="56" width="10.140625" style="175" bestFit="1" customWidth="1"/>
    <col min="57" max="60" width="9.140625" style="175"/>
    <col min="61" max="65" width="10.140625" style="175" bestFit="1" customWidth="1"/>
    <col min="66" max="68" width="9.140625" style="175"/>
    <col min="69" max="73" width="10.140625" style="175" bestFit="1" customWidth="1"/>
    <col min="74" max="16384" width="9.140625" style="175"/>
  </cols>
  <sheetData>
    <row r="1" spans="1:37" x14ac:dyDescent="0.2">
      <c r="A1" s="173" t="s">
        <v>214</v>
      </c>
      <c r="B1" s="174">
        <v>41291</v>
      </c>
    </row>
    <row r="2" spans="1:37" x14ac:dyDescent="0.2">
      <c r="A2" s="176"/>
      <c r="C2" s="173" t="s">
        <v>77</v>
      </c>
      <c r="D2" s="173"/>
      <c r="E2" s="173"/>
      <c r="F2" s="177">
        <v>41297</v>
      </c>
      <c r="G2" s="180">
        <v>41302</v>
      </c>
      <c r="H2" s="178">
        <v>41304</v>
      </c>
      <c r="I2" s="180">
        <v>41309</v>
      </c>
      <c r="J2" s="179">
        <v>41311</v>
      </c>
      <c r="K2" s="179">
        <v>41317</v>
      </c>
      <c r="L2" s="179">
        <v>41318</v>
      </c>
      <c r="M2" s="179">
        <v>41325</v>
      </c>
      <c r="N2" s="179">
        <v>41330</v>
      </c>
      <c r="O2" s="179">
        <v>41331</v>
      </c>
      <c r="P2" s="179">
        <v>41332</v>
      </c>
      <c r="Q2" s="180">
        <v>41339</v>
      </c>
      <c r="R2" s="180">
        <v>41340</v>
      </c>
      <c r="S2" s="180">
        <v>41345</v>
      </c>
      <c r="T2" s="180">
        <v>41346</v>
      </c>
      <c r="U2" s="180">
        <v>41348</v>
      </c>
      <c r="V2" s="180">
        <v>41361</v>
      </c>
      <c r="W2" s="180">
        <v>41373</v>
      </c>
      <c r="X2" s="180">
        <v>41379</v>
      </c>
      <c r="Y2" s="180">
        <v>41387</v>
      </c>
      <c r="Z2" s="180">
        <v>41393</v>
      </c>
      <c r="AA2" s="180">
        <v>41400</v>
      </c>
      <c r="AB2" s="180">
        <v>41408</v>
      </c>
      <c r="AC2" s="180">
        <v>41414</v>
      </c>
      <c r="AD2" s="180">
        <v>41423</v>
      </c>
      <c r="AE2" s="180">
        <v>41430</v>
      </c>
      <c r="AF2" s="180">
        <v>41437</v>
      </c>
      <c r="AG2" s="180">
        <v>41458</v>
      </c>
      <c r="AH2" s="180">
        <v>41491</v>
      </c>
      <c r="AI2" s="180">
        <v>41521</v>
      </c>
      <c r="AJ2" s="180">
        <v>41551</v>
      </c>
      <c r="AK2" s="180">
        <v>41564</v>
      </c>
    </row>
    <row r="3" spans="1:37" ht="13.5" thickBot="1" x14ac:dyDescent="0.25">
      <c r="C3" s="181" t="s">
        <v>1</v>
      </c>
      <c r="D3" s="181"/>
      <c r="E3" s="181"/>
      <c r="F3" s="181">
        <f t="shared" ref="F3:AF3" si="0">F2-$B$1</f>
        <v>6</v>
      </c>
      <c r="G3" s="181">
        <f t="shared" si="0"/>
        <v>11</v>
      </c>
      <c r="H3" s="181">
        <f t="shared" si="0"/>
        <v>13</v>
      </c>
      <c r="I3" s="181">
        <f t="shared" si="0"/>
        <v>18</v>
      </c>
      <c r="J3" s="181">
        <f t="shared" si="0"/>
        <v>20</v>
      </c>
      <c r="K3" s="181">
        <f t="shared" si="0"/>
        <v>26</v>
      </c>
      <c r="L3" s="181">
        <f t="shared" si="0"/>
        <v>27</v>
      </c>
      <c r="M3" s="181">
        <f t="shared" si="0"/>
        <v>34</v>
      </c>
      <c r="N3" s="181">
        <f t="shared" si="0"/>
        <v>39</v>
      </c>
      <c r="O3" s="181">
        <f t="shared" si="0"/>
        <v>40</v>
      </c>
      <c r="P3" s="181">
        <f t="shared" si="0"/>
        <v>41</v>
      </c>
      <c r="Q3" s="181">
        <f t="shared" si="0"/>
        <v>48</v>
      </c>
      <c r="R3" s="181">
        <f t="shared" si="0"/>
        <v>49</v>
      </c>
      <c r="S3" s="181">
        <f t="shared" si="0"/>
        <v>54</v>
      </c>
      <c r="T3" s="181">
        <f t="shared" si="0"/>
        <v>55</v>
      </c>
      <c r="U3" s="181">
        <f t="shared" si="0"/>
        <v>57</v>
      </c>
      <c r="V3" s="181">
        <f t="shared" si="0"/>
        <v>70</v>
      </c>
      <c r="W3" s="181">
        <f t="shared" si="0"/>
        <v>82</v>
      </c>
      <c r="X3" s="181">
        <f t="shared" si="0"/>
        <v>88</v>
      </c>
      <c r="Y3" s="181">
        <f t="shared" si="0"/>
        <v>96</v>
      </c>
      <c r="Z3" s="181">
        <f t="shared" si="0"/>
        <v>102</v>
      </c>
      <c r="AA3" s="181">
        <f t="shared" si="0"/>
        <v>109</v>
      </c>
      <c r="AB3" s="181">
        <f t="shared" si="0"/>
        <v>117</v>
      </c>
      <c r="AC3" s="181">
        <f t="shared" si="0"/>
        <v>123</v>
      </c>
      <c r="AD3" s="181">
        <f t="shared" si="0"/>
        <v>132</v>
      </c>
      <c r="AE3" s="181">
        <f t="shared" si="0"/>
        <v>139</v>
      </c>
      <c r="AF3" s="181">
        <f t="shared" si="0"/>
        <v>146</v>
      </c>
      <c r="AG3" s="181">
        <f>AG2-$B$1</f>
        <v>167</v>
      </c>
      <c r="AH3" s="181">
        <f>AH2-$B$1</f>
        <v>200</v>
      </c>
      <c r="AI3" s="181">
        <f>AI2-$B$1</f>
        <v>230</v>
      </c>
      <c r="AJ3" s="181">
        <f>AJ2-$B$1</f>
        <v>260</v>
      </c>
      <c r="AK3" s="181">
        <f>AK2-$B$1</f>
        <v>273</v>
      </c>
    </row>
    <row r="4" spans="1:37" ht="26.25" thickBot="1" x14ac:dyDescent="0.25">
      <c r="A4" s="182" t="s">
        <v>215</v>
      </c>
      <c r="B4" s="183" t="s">
        <v>216</v>
      </c>
      <c r="C4" s="184" t="s">
        <v>217</v>
      </c>
      <c r="D4" s="184"/>
      <c r="E4" s="184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</row>
    <row r="5" spans="1:37" ht="14.25" x14ac:dyDescent="0.2">
      <c r="A5" s="188" t="s">
        <v>223</v>
      </c>
      <c r="B5" s="186" t="s">
        <v>4</v>
      </c>
      <c r="C5" s="189" t="s">
        <v>151</v>
      </c>
      <c r="D5" s="189"/>
      <c r="E5" s="189"/>
      <c r="F5" s="190">
        <v>5.37</v>
      </c>
      <c r="G5" s="190">
        <v>5.64</v>
      </c>
      <c r="H5" s="190">
        <v>6</v>
      </c>
      <c r="I5" s="190">
        <v>6</v>
      </c>
      <c r="J5" s="191">
        <v>6.35</v>
      </c>
      <c r="K5" s="191">
        <v>5.72</v>
      </c>
      <c r="L5" s="191">
        <v>6.34</v>
      </c>
      <c r="M5" s="191">
        <v>5.77</v>
      </c>
      <c r="N5" s="192">
        <v>5.9</v>
      </c>
      <c r="O5" s="192">
        <v>6.26</v>
      </c>
      <c r="P5" s="192">
        <v>6.37</v>
      </c>
      <c r="Q5" s="187">
        <v>6.31</v>
      </c>
      <c r="R5" s="187">
        <v>6.08</v>
      </c>
      <c r="S5" s="187">
        <v>6.18</v>
      </c>
      <c r="T5" s="187">
        <v>6.8</v>
      </c>
      <c r="U5" s="187">
        <v>6.83</v>
      </c>
      <c r="V5" s="187">
        <v>7.46</v>
      </c>
      <c r="W5" s="187">
        <v>8.08</v>
      </c>
      <c r="X5" s="187">
        <v>7.55</v>
      </c>
      <c r="Y5" s="187">
        <v>8.16</v>
      </c>
      <c r="Z5" s="187">
        <v>8.42</v>
      </c>
      <c r="AA5" s="187">
        <v>8.4</v>
      </c>
      <c r="AB5" s="187">
        <v>8.3699999999999992</v>
      </c>
      <c r="AC5" s="187">
        <v>8.32</v>
      </c>
      <c r="AD5" s="187">
        <v>8.1999999999999993</v>
      </c>
      <c r="AE5" s="187">
        <v>8.4600000000000009</v>
      </c>
      <c r="AF5" s="187"/>
      <c r="AG5" s="187">
        <v>8.44</v>
      </c>
      <c r="AH5" s="187">
        <v>8.44</v>
      </c>
      <c r="AI5" s="187">
        <v>8.34</v>
      </c>
      <c r="AJ5" s="187">
        <v>8.3699999999999992</v>
      </c>
      <c r="AK5" s="187">
        <v>8.3800000000000008</v>
      </c>
    </row>
    <row r="6" spans="1:37" ht="14.25" x14ac:dyDescent="0.2">
      <c r="A6" s="188" t="s">
        <v>223</v>
      </c>
      <c r="B6" s="195" t="s">
        <v>4</v>
      </c>
      <c r="C6" s="189" t="s">
        <v>152</v>
      </c>
      <c r="D6" s="189"/>
      <c r="E6" s="189"/>
      <c r="F6" s="190">
        <v>5.15</v>
      </c>
      <c r="G6" s="190">
        <v>5.45</v>
      </c>
      <c r="H6" s="190">
        <v>6.17</v>
      </c>
      <c r="I6" s="190">
        <v>5.84</v>
      </c>
      <c r="J6" s="191">
        <v>6.17</v>
      </c>
      <c r="K6" s="191">
        <v>6.33</v>
      </c>
      <c r="L6" s="191">
        <v>7.13</v>
      </c>
      <c r="M6" s="191">
        <v>7.67</v>
      </c>
      <c r="N6" s="192">
        <v>7.89</v>
      </c>
      <c r="O6" s="192"/>
      <c r="P6" s="192">
        <v>7.62</v>
      </c>
      <c r="Q6" s="187"/>
      <c r="R6" s="187"/>
      <c r="S6" s="187">
        <v>8.08</v>
      </c>
      <c r="T6" s="187"/>
      <c r="U6" s="187"/>
      <c r="V6" s="163">
        <v>8.1300000000000008</v>
      </c>
      <c r="W6" s="175">
        <v>8.49</v>
      </c>
      <c r="X6" s="193">
        <v>8.2799999999999994</v>
      </c>
      <c r="Y6" s="193">
        <v>8.3800000000000008</v>
      </c>
      <c r="Z6" s="193">
        <v>8.2799999999999994</v>
      </c>
      <c r="AA6" s="193">
        <v>8.3800000000000008</v>
      </c>
      <c r="AB6" s="193">
        <v>8.2100000000000009</v>
      </c>
      <c r="AC6" s="193">
        <v>8.09</v>
      </c>
      <c r="AD6" s="193">
        <v>8.31</v>
      </c>
      <c r="AE6" s="193">
        <v>8.19</v>
      </c>
      <c r="AF6" s="193"/>
      <c r="AG6" s="193">
        <v>8.43</v>
      </c>
      <c r="AH6" s="193">
        <v>8.32</v>
      </c>
      <c r="AI6" s="193">
        <v>8.32</v>
      </c>
      <c r="AJ6" s="193">
        <v>8.2799999999999994</v>
      </c>
      <c r="AK6" s="193">
        <v>8.4</v>
      </c>
    </row>
    <row r="7" spans="1:37" ht="15.75" customHeight="1" x14ac:dyDescent="0.2">
      <c r="A7" s="188" t="s">
        <v>223</v>
      </c>
      <c r="B7" s="196" t="s">
        <v>149</v>
      </c>
      <c r="C7" s="189" t="s">
        <v>153</v>
      </c>
      <c r="D7" s="189"/>
      <c r="E7" s="189"/>
      <c r="F7" s="190">
        <v>4.6900000000000004</v>
      </c>
      <c r="G7" s="190">
        <v>4.72</v>
      </c>
      <c r="H7" s="190">
        <v>4.78</v>
      </c>
      <c r="I7" s="190">
        <v>5.33</v>
      </c>
      <c r="J7" s="191">
        <v>5.64</v>
      </c>
      <c r="K7" s="191">
        <v>5.49</v>
      </c>
      <c r="L7" s="197"/>
      <c r="M7" s="191">
        <v>5.56</v>
      </c>
      <c r="N7" s="192">
        <v>5.56</v>
      </c>
      <c r="O7" s="192"/>
      <c r="P7" s="192">
        <v>5.55</v>
      </c>
      <c r="R7" s="193"/>
      <c r="S7" s="193">
        <v>5.6</v>
      </c>
      <c r="U7" s="193"/>
      <c r="V7" s="175">
        <v>5.66</v>
      </c>
      <c r="W7" s="193"/>
      <c r="Z7" s="193"/>
      <c r="AA7" s="193">
        <v>5.95</v>
      </c>
      <c r="AD7" s="193"/>
      <c r="AF7" s="193">
        <v>6.05</v>
      </c>
      <c r="AG7" s="193">
        <v>6.24</v>
      </c>
      <c r="AH7" s="193">
        <v>6.11</v>
      </c>
      <c r="AI7" s="193">
        <v>6.5</v>
      </c>
      <c r="AK7" s="193">
        <v>6.36</v>
      </c>
    </row>
    <row r="8" spans="1:37" ht="14.25" customHeight="1" thickBot="1" x14ac:dyDescent="0.25">
      <c r="A8" s="188" t="s">
        <v>223</v>
      </c>
      <c r="B8" s="199" t="s">
        <v>149</v>
      </c>
      <c r="C8" s="189" t="s">
        <v>154</v>
      </c>
      <c r="D8" s="204"/>
      <c r="E8" s="204"/>
      <c r="F8" s="201">
        <v>4.6500000000000004</v>
      </c>
      <c r="G8" s="201">
        <v>4.7300000000000004</v>
      </c>
      <c r="H8" s="201">
        <v>4.75</v>
      </c>
      <c r="I8" s="201">
        <v>4.9800000000000004</v>
      </c>
      <c r="J8" s="202">
        <v>5.31</v>
      </c>
      <c r="K8" s="202">
        <v>5.25</v>
      </c>
      <c r="L8" s="202"/>
      <c r="M8" s="202">
        <v>5.28</v>
      </c>
      <c r="N8" s="203">
        <v>5.25</v>
      </c>
      <c r="O8" s="203"/>
      <c r="P8" s="203">
        <v>5.25</v>
      </c>
      <c r="R8" s="193"/>
      <c r="S8" s="193">
        <v>5.36</v>
      </c>
      <c r="U8" s="193"/>
      <c r="V8" s="193">
        <v>5.45</v>
      </c>
      <c r="W8" s="193"/>
      <c r="Z8" s="193"/>
      <c r="AA8" s="193">
        <v>5.53</v>
      </c>
      <c r="AD8" s="193"/>
      <c r="AF8" s="193">
        <v>5.51</v>
      </c>
      <c r="AG8" s="193">
        <v>5.61</v>
      </c>
      <c r="AH8" s="193">
        <v>5.74</v>
      </c>
      <c r="AI8" s="193">
        <v>5.89</v>
      </c>
      <c r="AJ8" s="193">
        <v>5.85</v>
      </c>
      <c r="AK8" s="193">
        <v>5.96</v>
      </c>
    </row>
    <row r="26" ht="14.25" customHeight="1" x14ac:dyDescent="0.2"/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40"/>
  <sheetViews>
    <sheetView workbookViewId="0">
      <pane xSplit="3" topLeftCell="D1" activePane="topRight" state="frozen"/>
      <selection pane="topRight" activeCell="D42" sqref="D42"/>
    </sheetView>
  </sheetViews>
  <sheetFormatPr defaultRowHeight="12.75" x14ac:dyDescent="0.2"/>
  <cols>
    <col min="1" max="1" width="15.5703125" style="175" customWidth="1"/>
    <col min="2" max="2" width="15.140625" style="175" customWidth="1"/>
    <col min="3" max="3" width="15.28515625" style="175" customWidth="1"/>
    <col min="4" max="4" width="13.140625" style="175" customWidth="1"/>
    <col min="5" max="14" width="10.140625" style="175" bestFit="1" customWidth="1"/>
    <col min="15" max="15" width="9.140625" style="175"/>
    <col min="16" max="17" width="10.140625" style="175" bestFit="1" customWidth="1"/>
    <col min="18" max="18" width="10.5703125" style="175" customWidth="1"/>
    <col min="19" max="19" width="12.28515625" style="175" customWidth="1"/>
    <col min="20" max="21" width="10.140625" style="175" bestFit="1" customWidth="1"/>
    <col min="22" max="28" width="9.140625" style="175"/>
    <col min="29" max="29" width="10.140625" style="175" bestFit="1" customWidth="1"/>
    <col min="30" max="30" width="10.5703125" style="175" customWidth="1"/>
    <col min="31" max="31" width="11.140625" style="175" customWidth="1"/>
    <col min="32" max="32" width="10.140625" style="175" bestFit="1" customWidth="1"/>
    <col min="33" max="16384" width="9.140625" style="175"/>
  </cols>
  <sheetData>
    <row r="2" spans="1:33" x14ac:dyDescent="0.2">
      <c r="A2" s="173" t="s">
        <v>214</v>
      </c>
      <c r="B2" s="174">
        <v>41216</v>
      </c>
    </row>
    <row r="3" spans="1:33" x14ac:dyDescent="0.2">
      <c r="A3" s="176"/>
      <c r="C3" s="173" t="s">
        <v>77</v>
      </c>
      <c r="D3" s="177">
        <v>41221</v>
      </c>
      <c r="E3" s="178">
        <v>41228</v>
      </c>
      <c r="F3" s="178">
        <v>41233</v>
      </c>
      <c r="G3" s="179">
        <v>41242</v>
      </c>
      <c r="H3" s="179">
        <v>41249</v>
      </c>
      <c r="I3" s="179">
        <v>41263</v>
      </c>
      <c r="J3" s="179">
        <v>41276</v>
      </c>
      <c r="K3" s="179">
        <v>41290</v>
      </c>
      <c r="L3" s="179">
        <v>41304</v>
      </c>
      <c r="M3" s="179">
        <v>41318</v>
      </c>
      <c r="N3" s="179">
        <v>41332</v>
      </c>
      <c r="O3" s="179">
        <v>41353</v>
      </c>
      <c r="P3" s="179">
        <v>41367</v>
      </c>
      <c r="Q3" s="179">
        <v>41381</v>
      </c>
      <c r="R3" s="179">
        <v>41395</v>
      </c>
      <c r="S3" s="179">
        <v>41410</v>
      </c>
      <c r="T3" s="179">
        <v>41422</v>
      </c>
      <c r="U3" s="179">
        <v>41436</v>
      </c>
      <c r="V3" s="179">
        <v>41452</v>
      </c>
      <c r="W3" s="180">
        <v>41465</v>
      </c>
      <c r="X3" s="180">
        <v>41479</v>
      </c>
      <c r="Y3" s="180">
        <v>41493</v>
      </c>
      <c r="Z3" s="180">
        <v>41507</v>
      </c>
      <c r="AA3" s="180">
        <v>41535</v>
      </c>
      <c r="AB3" s="180">
        <v>41551</v>
      </c>
      <c r="AC3" s="180">
        <v>41565</v>
      </c>
      <c r="AD3" s="180">
        <v>41600</v>
      </c>
      <c r="AE3" s="180">
        <v>41605</v>
      </c>
      <c r="AF3" s="180">
        <v>41656</v>
      </c>
      <c r="AG3" s="180">
        <v>41745</v>
      </c>
    </row>
    <row r="4" spans="1:33" ht="13.5" thickBot="1" x14ac:dyDescent="0.25">
      <c r="C4" s="181" t="s">
        <v>1</v>
      </c>
      <c r="D4" s="181">
        <f>D3-$B$2</f>
        <v>5</v>
      </c>
      <c r="E4" s="181">
        <f t="shared" ref="E4:AD4" si="0">E3-$B$2</f>
        <v>12</v>
      </c>
      <c r="F4" s="181">
        <f t="shared" si="0"/>
        <v>17</v>
      </c>
      <c r="G4" s="181">
        <f t="shared" si="0"/>
        <v>26</v>
      </c>
      <c r="H4" s="181">
        <f t="shared" si="0"/>
        <v>33</v>
      </c>
      <c r="I4" s="181">
        <f t="shared" si="0"/>
        <v>47</v>
      </c>
      <c r="J4" s="181">
        <f t="shared" si="0"/>
        <v>60</v>
      </c>
      <c r="K4" s="181">
        <f t="shared" si="0"/>
        <v>74</v>
      </c>
      <c r="L4" s="181">
        <f t="shared" si="0"/>
        <v>88</v>
      </c>
      <c r="M4" s="181">
        <f t="shared" si="0"/>
        <v>102</v>
      </c>
      <c r="N4" s="181">
        <f t="shared" si="0"/>
        <v>116</v>
      </c>
      <c r="O4" s="181">
        <f t="shared" si="0"/>
        <v>137</v>
      </c>
      <c r="P4" s="181">
        <f t="shared" si="0"/>
        <v>151</v>
      </c>
      <c r="Q4" s="181">
        <f t="shared" si="0"/>
        <v>165</v>
      </c>
      <c r="R4" s="181">
        <f t="shared" si="0"/>
        <v>179</v>
      </c>
      <c r="S4" s="181">
        <f t="shared" si="0"/>
        <v>194</v>
      </c>
      <c r="T4" s="181">
        <f t="shared" si="0"/>
        <v>206</v>
      </c>
      <c r="U4" s="181">
        <f t="shared" si="0"/>
        <v>220</v>
      </c>
      <c r="V4" s="181">
        <f t="shared" si="0"/>
        <v>236</v>
      </c>
      <c r="W4" s="181">
        <f t="shared" si="0"/>
        <v>249</v>
      </c>
      <c r="X4" s="181">
        <f t="shared" si="0"/>
        <v>263</v>
      </c>
      <c r="Y4" s="181">
        <f t="shared" si="0"/>
        <v>277</v>
      </c>
      <c r="Z4" s="181">
        <f t="shared" si="0"/>
        <v>291</v>
      </c>
      <c r="AA4" s="181">
        <f t="shared" si="0"/>
        <v>319</v>
      </c>
      <c r="AB4" s="181">
        <f t="shared" si="0"/>
        <v>335</v>
      </c>
      <c r="AC4" s="181">
        <f t="shared" si="0"/>
        <v>349</v>
      </c>
      <c r="AD4" s="181">
        <f t="shared" si="0"/>
        <v>384</v>
      </c>
      <c r="AE4" s="181">
        <f>AE3-$B$2</f>
        <v>389</v>
      </c>
      <c r="AF4" s="181">
        <f>AF3-$B$2</f>
        <v>440</v>
      </c>
      <c r="AG4" s="181">
        <f>AG3-$B$2</f>
        <v>529</v>
      </c>
    </row>
    <row r="5" spans="1:33" ht="26.25" thickBot="1" x14ac:dyDescent="0.25">
      <c r="A5" s="182" t="s">
        <v>215</v>
      </c>
      <c r="B5" s="183" t="s">
        <v>216</v>
      </c>
      <c r="C5" s="184" t="s">
        <v>217</v>
      </c>
      <c r="D5" s="207" t="s">
        <v>0</v>
      </c>
      <c r="E5" s="207" t="s">
        <v>0</v>
      </c>
      <c r="F5" s="207" t="s">
        <v>0</v>
      </c>
      <c r="G5" s="207" t="s">
        <v>0</v>
      </c>
      <c r="H5" s="207" t="s">
        <v>0</v>
      </c>
      <c r="I5" s="207" t="s">
        <v>0</v>
      </c>
      <c r="J5" s="207" t="s">
        <v>0</v>
      </c>
      <c r="K5" s="207" t="s">
        <v>0</v>
      </c>
      <c r="L5" s="207" t="s">
        <v>0</v>
      </c>
      <c r="M5" s="207" t="s">
        <v>0</v>
      </c>
      <c r="N5" s="207" t="s">
        <v>0</v>
      </c>
      <c r="O5" s="207" t="s">
        <v>0</v>
      </c>
      <c r="P5" s="207" t="s">
        <v>0</v>
      </c>
      <c r="Q5" s="207" t="s">
        <v>0</v>
      </c>
      <c r="R5" s="207" t="s">
        <v>0</v>
      </c>
      <c r="S5" s="207" t="s">
        <v>0</v>
      </c>
      <c r="T5" s="207" t="s">
        <v>0</v>
      </c>
      <c r="U5" s="207" t="s">
        <v>0</v>
      </c>
      <c r="V5" s="207" t="s">
        <v>0</v>
      </c>
    </row>
    <row r="6" spans="1:33" ht="14.25" x14ac:dyDescent="0.2">
      <c r="A6" s="188" t="s">
        <v>218</v>
      </c>
      <c r="B6" s="186" t="s">
        <v>4</v>
      </c>
      <c r="C6" s="189" t="s">
        <v>219</v>
      </c>
      <c r="D6" s="208">
        <f>368*10*10</f>
        <v>36800</v>
      </c>
      <c r="E6" s="208">
        <v>41900</v>
      </c>
      <c r="F6" s="208">
        <v>41100</v>
      </c>
      <c r="G6" s="208">
        <v>42800</v>
      </c>
      <c r="H6" s="209">
        <f>9230*5</f>
        <v>46150</v>
      </c>
      <c r="I6" s="209">
        <f>9640*5</f>
        <v>48200</v>
      </c>
      <c r="J6" s="209">
        <f>9640*5</f>
        <v>48200</v>
      </c>
      <c r="K6" s="209">
        <f>8290*5</f>
        <v>41450</v>
      </c>
      <c r="L6" s="210">
        <f>7810*5</f>
        <v>39050</v>
      </c>
      <c r="M6" s="210">
        <f>8330*4</f>
        <v>33320</v>
      </c>
      <c r="N6" s="210">
        <f>4820*4</f>
        <v>19280</v>
      </c>
      <c r="O6" s="210">
        <f>4720*4</f>
        <v>18880</v>
      </c>
      <c r="P6" s="210">
        <f>4080*4</f>
        <v>16320</v>
      </c>
      <c r="Q6" s="210">
        <f>1700*5</f>
        <v>8500</v>
      </c>
      <c r="R6" s="210">
        <v>10690</v>
      </c>
      <c r="S6" s="210">
        <v>3390</v>
      </c>
      <c r="T6" s="210">
        <v>3560</v>
      </c>
      <c r="U6" s="210">
        <v>4910</v>
      </c>
      <c r="V6" s="210">
        <v>2440</v>
      </c>
      <c r="W6" s="211">
        <v>2600</v>
      </c>
      <c r="X6" s="211">
        <v>2790</v>
      </c>
      <c r="Y6" s="211">
        <v>2960</v>
      </c>
      <c r="Z6" s="211">
        <v>3230</v>
      </c>
      <c r="AA6" s="211">
        <v>2840</v>
      </c>
      <c r="AB6" s="211">
        <v>4210</v>
      </c>
      <c r="AC6" s="211"/>
      <c r="AE6" s="211">
        <v>2960</v>
      </c>
    </row>
    <row r="7" spans="1:33" ht="14.25" x14ac:dyDescent="0.2">
      <c r="A7" s="194" t="s">
        <v>218</v>
      </c>
      <c r="B7" s="195" t="s">
        <v>4</v>
      </c>
      <c r="C7" s="189" t="s">
        <v>220</v>
      </c>
      <c r="D7" s="208">
        <v>36200</v>
      </c>
      <c r="E7" s="208">
        <v>44300</v>
      </c>
      <c r="F7" s="208">
        <v>41700</v>
      </c>
      <c r="G7" s="208">
        <v>44500</v>
      </c>
      <c r="H7" s="209">
        <f>9450*5</f>
        <v>47250</v>
      </c>
      <c r="I7" s="209">
        <f>9790*5</f>
        <v>48950</v>
      </c>
      <c r="J7" s="209">
        <f>9780*5</f>
        <v>48900</v>
      </c>
      <c r="K7" s="209">
        <f>8680*5</f>
        <v>43400</v>
      </c>
      <c r="L7" s="210">
        <f>8640*5</f>
        <v>43200</v>
      </c>
      <c r="M7" s="210">
        <f>10720*4</f>
        <v>42880</v>
      </c>
      <c r="N7" s="210">
        <f>11260*4</f>
        <v>45040</v>
      </c>
      <c r="O7" s="210">
        <f>11180*4</f>
        <v>44720</v>
      </c>
      <c r="P7" s="210">
        <f>10680*4</f>
        <v>42720</v>
      </c>
      <c r="Q7" s="210">
        <f>9310*5</f>
        <v>46550</v>
      </c>
      <c r="R7" s="210">
        <f>9140*5</f>
        <v>45700</v>
      </c>
      <c r="S7" s="210">
        <f>8050*5</f>
        <v>40250</v>
      </c>
      <c r="T7" s="210">
        <f>8450*5</f>
        <v>42250</v>
      </c>
      <c r="U7" s="210">
        <f>8800*5</f>
        <v>44000</v>
      </c>
      <c r="V7" s="210">
        <f>5*6890</f>
        <v>34450</v>
      </c>
      <c r="W7" s="175">
        <f>5*7850</f>
        <v>39250</v>
      </c>
      <c r="X7" s="175">
        <f>5*8760</f>
        <v>43800</v>
      </c>
      <c r="Y7" s="175">
        <f>5*8210</f>
        <v>41050</v>
      </c>
      <c r="Z7" s="175">
        <f>7660*5</f>
        <v>38300</v>
      </c>
      <c r="AA7" s="175">
        <f>6710*5</f>
        <v>33550</v>
      </c>
      <c r="AC7" s="175">
        <f>3600*5</f>
        <v>18000</v>
      </c>
    </row>
    <row r="8" spans="1:33" ht="15.75" customHeight="1" x14ac:dyDescent="0.2">
      <c r="A8" s="194" t="s">
        <v>218</v>
      </c>
      <c r="B8" s="196" t="s">
        <v>149</v>
      </c>
      <c r="C8" s="189" t="s">
        <v>221</v>
      </c>
      <c r="D8" s="208">
        <v>40600</v>
      </c>
      <c r="E8" s="208">
        <v>46000</v>
      </c>
      <c r="F8" s="208">
        <v>39100</v>
      </c>
      <c r="G8" s="208">
        <v>51300</v>
      </c>
      <c r="H8" s="209">
        <f>8990*5</f>
        <v>44950</v>
      </c>
      <c r="I8" s="209">
        <f>10140*5</f>
        <v>50700</v>
      </c>
      <c r="J8" s="208">
        <f>10390*5</f>
        <v>51950</v>
      </c>
      <c r="K8" s="209">
        <f>9970*5</f>
        <v>49850</v>
      </c>
      <c r="L8" s="210">
        <f>11250*5</f>
        <v>56250</v>
      </c>
      <c r="M8" s="210">
        <f>13390*4</f>
        <v>53560</v>
      </c>
      <c r="N8" s="210">
        <f>13810*4</f>
        <v>55240</v>
      </c>
      <c r="O8" s="210">
        <f>13880*4</f>
        <v>55520</v>
      </c>
      <c r="P8" s="210">
        <f>13600*4</f>
        <v>54400</v>
      </c>
      <c r="Q8" s="210">
        <f>11780*5</f>
        <v>58900</v>
      </c>
      <c r="R8" s="210">
        <f>8700*5</f>
        <v>43500</v>
      </c>
      <c r="S8" s="210">
        <f>10270*5</f>
        <v>51350</v>
      </c>
      <c r="T8" s="210">
        <f>9110*5</f>
        <v>45550</v>
      </c>
      <c r="U8" s="210">
        <f>9900*5</f>
        <v>49500</v>
      </c>
      <c r="V8" s="210">
        <f>5*6630</f>
        <v>33150</v>
      </c>
      <c r="W8" s="175">
        <f>5*7410</f>
        <v>37050</v>
      </c>
      <c r="X8" s="175">
        <f>5*7560</f>
        <v>37800</v>
      </c>
      <c r="Y8" s="175">
        <f>5*7400</f>
        <v>37000</v>
      </c>
      <c r="AA8" s="175">
        <f>10970*5</f>
        <v>54850</v>
      </c>
      <c r="AE8" s="175">
        <f>9700*5</f>
        <v>48500</v>
      </c>
    </row>
    <row r="9" spans="1:33" ht="14.25" customHeight="1" thickBot="1" x14ac:dyDescent="0.25">
      <c r="A9" s="198" t="s">
        <v>218</v>
      </c>
      <c r="B9" s="199" t="s">
        <v>149</v>
      </c>
      <c r="C9" s="200" t="s">
        <v>222</v>
      </c>
      <c r="D9" s="212">
        <v>34800</v>
      </c>
      <c r="E9" s="212">
        <v>38500</v>
      </c>
      <c r="F9" s="212">
        <v>48400</v>
      </c>
      <c r="G9" s="212">
        <v>48100</v>
      </c>
      <c r="H9" s="213">
        <f>7070*5</f>
        <v>35350</v>
      </c>
      <c r="I9" s="213">
        <f>9070*5</f>
        <v>45350</v>
      </c>
      <c r="J9" s="213">
        <f>8970*5</f>
        <v>44850</v>
      </c>
      <c r="K9" s="213">
        <f>9130*5</f>
        <v>45650</v>
      </c>
      <c r="L9" s="214">
        <f>9170*5</f>
        <v>45850</v>
      </c>
      <c r="M9" s="214">
        <f>11320*4</f>
        <v>45280</v>
      </c>
      <c r="N9" s="214">
        <f>10530*4</f>
        <v>42120</v>
      </c>
      <c r="O9" s="214">
        <f>11680*4</f>
        <v>46720</v>
      </c>
      <c r="P9" s="214">
        <f>10210*4</f>
        <v>40840</v>
      </c>
      <c r="Q9" s="214">
        <f>9410*5</f>
        <v>47050</v>
      </c>
      <c r="R9" s="214">
        <f>7880*5</f>
        <v>39400</v>
      </c>
      <c r="S9" s="214">
        <f>6890*5</f>
        <v>34450</v>
      </c>
      <c r="T9" s="214">
        <f>6570*5</f>
        <v>32850</v>
      </c>
      <c r="U9" s="214">
        <f>6620*5</f>
        <v>33100</v>
      </c>
      <c r="V9" s="214">
        <f>5*5250</f>
        <v>26250</v>
      </c>
      <c r="W9" s="175">
        <f>5*5390</f>
        <v>26950</v>
      </c>
      <c r="X9" s="175">
        <f>5*5870</f>
        <v>29350</v>
      </c>
      <c r="Y9" s="175">
        <f>5*6000</f>
        <v>30000</v>
      </c>
      <c r="Z9" s="175">
        <f>6640*5</f>
        <v>33200</v>
      </c>
      <c r="AA9" s="175">
        <f>7250*5</f>
        <v>36250</v>
      </c>
    </row>
    <row r="10" spans="1:33" ht="14.25" customHeight="1" thickBot="1" x14ac:dyDescent="0.25">
      <c r="A10" s="215"/>
      <c r="B10" s="216"/>
      <c r="C10" s="215"/>
      <c r="D10" s="217"/>
      <c r="E10" s="217"/>
      <c r="F10" s="217"/>
      <c r="G10" s="217"/>
      <c r="H10" s="218"/>
      <c r="I10" s="218"/>
      <c r="J10" s="218"/>
      <c r="K10" s="218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</row>
    <row r="11" spans="1:33" ht="26.25" thickBot="1" x14ac:dyDescent="0.25">
      <c r="A11" s="182" t="s">
        <v>215</v>
      </c>
      <c r="B11" s="183" t="s">
        <v>216</v>
      </c>
      <c r="C11" s="184" t="s">
        <v>217</v>
      </c>
      <c r="D11" s="207" t="s">
        <v>242</v>
      </c>
      <c r="E11" s="207" t="s">
        <v>242</v>
      </c>
      <c r="F11" s="207" t="s">
        <v>242</v>
      </c>
      <c r="G11" s="207" t="s">
        <v>242</v>
      </c>
      <c r="H11" s="207" t="s">
        <v>242</v>
      </c>
      <c r="I11" s="207" t="s">
        <v>242</v>
      </c>
      <c r="J11" s="207" t="s">
        <v>242</v>
      </c>
      <c r="K11" s="207" t="s">
        <v>242</v>
      </c>
      <c r="L11" s="207" t="s">
        <v>242</v>
      </c>
      <c r="M11" s="207" t="s">
        <v>242</v>
      </c>
      <c r="N11" s="207" t="s">
        <v>242</v>
      </c>
      <c r="O11" s="207" t="s">
        <v>242</v>
      </c>
      <c r="P11" s="207" t="s">
        <v>242</v>
      </c>
      <c r="Q11" s="207" t="s">
        <v>242</v>
      </c>
      <c r="R11" s="207" t="s">
        <v>242</v>
      </c>
      <c r="S11" s="207" t="s">
        <v>242</v>
      </c>
      <c r="T11" s="207" t="s">
        <v>242</v>
      </c>
      <c r="U11" s="207" t="s">
        <v>242</v>
      </c>
      <c r="V11" s="207" t="s">
        <v>242</v>
      </c>
      <c r="W11" s="207" t="s">
        <v>242</v>
      </c>
      <c r="X11" s="207" t="s">
        <v>242</v>
      </c>
      <c r="Y11" s="207" t="s">
        <v>242</v>
      </c>
      <c r="Z11" s="207" t="s">
        <v>242</v>
      </c>
      <c r="AA11" s="207" t="s">
        <v>242</v>
      </c>
      <c r="AB11" s="207" t="s">
        <v>242</v>
      </c>
      <c r="AC11" s="207" t="s">
        <v>242</v>
      </c>
    </row>
    <row r="12" spans="1:33" ht="14.25" x14ac:dyDescent="0.2">
      <c r="A12" s="188" t="s">
        <v>218</v>
      </c>
      <c r="B12" s="186" t="s">
        <v>4</v>
      </c>
      <c r="C12" s="189" t="s">
        <v>219</v>
      </c>
      <c r="D12" s="220">
        <f>D6/1000</f>
        <v>36.799999999999997</v>
      </c>
      <c r="E12" s="220">
        <f t="shared" ref="E12:Z15" si="1">E6/1000</f>
        <v>41.9</v>
      </c>
      <c r="F12" s="220">
        <f t="shared" si="1"/>
        <v>41.1</v>
      </c>
      <c r="G12" s="220">
        <f t="shared" si="1"/>
        <v>42.8</v>
      </c>
      <c r="H12" s="220">
        <f t="shared" si="1"/>
        <v>46.15</v>
      </c>
      <c r="I12" s="220">
        <f t="shared" si="1"/>
        <v>48.2</v>
      </c>
      <c r="J12" s="220">
        <f t="shared" si="1"/>
        <v>48.2</v>
      </c>
      <c r="K12" s="220">
        <f t="shared" si="1"/>
        <v>41.45</v>
      </c>
      <c r="L12" s="220">
        <f t="shared" si="1"/>
        <v>39.049999999999997</v>
      </c>
      <c r="M12" s="220">
        <f t="shared" si="1"/>
        <v>33.32</v>
      </c>
      <c r="N12" s="220">
        <f t="shared" si="1"/>
        <v>19.28</v>
      </c>
      <c r="O12" s="220">
        <f t="shared" si="1"/>
        <v>18.88</v>
      </c>
      <c r="P12" s="220">
        <f t="shared" si="1"/>
        <v>16.32</v>
      </c>
      <c r="Q12" s="220">
        <f t="shared" si="1"/>
        <v>8.5</v>
      </c>
      <c r="R12" s="220">
        <f t="shared" si="1"/>
        <v>10.69</v>
      </c>
      <c r="S12" s="220">
        <f t="shared" si="1"/>
        <v>3.39</v>
      </c>
      <c r="T12" s="220">
        <f t="shared" si="1"/>
        <v>3.56</v>
      </c>
      <c r="U12" s="220">
        <f t="shared" si="1"/>
        <v>4.91</v>
      </c>
      <c r="V12" s="220">
        <f t="shared" si="1"/>
        <v>2.44</v>
      </c>
      <c r="W12" s="220">
        <f t="shared" si="1"/>
        <v>2.6</v>
      </c>
      <c r="X12" s="220">
        <f t="shared" si="1"/>
        <v>2.79</v>
      </c>
      <c r="Y12" s="220">
        <f t="shared" si="1"/>
        <v>2.96</v>
      </c>
      <c r="Z12" s="220">
        <f t="shared" si="1"/>
        <v>3.23</v>
      </c>
    </row>
    <row r="13" spans="1:33" ht="14.25" x14ac:dyDescent="0.2">
      <c r="A13" s="194" t="s">
        <v>218</v>
      </c>
      <c r="B13" s="195" t="s">
        <v>4</v>
      </c>
      <c r="C13" s="189" t="s">
        <v>220</v>
      </c>
      <c r="D13" s="220">
        <f t="shared" ref="D13:S15" si="2">D7/1000</f>
        <v>36.200000000000003</v>
      </c>
      <c r="E13" s="220">
        <f t="shared" si="2"/>
        <v>44.3</v>
      </c>
      <c r="F13" s="220">
        <f t="shared" si="2"/>
        <v>41.7</v>
      </c>
      <c r="G13" s="220">
        <f t="shared" si="2"/>
        <v>44.5</v>
      </c>
      <c r="H13" s="220">
        <f t="shared" si="2"/>
        <v>47.25</v>
      </c>
      <c r="I13" s="220">
        <f t="shared" si="2"/>
        <v>48.95</v>
      </c>
      <c r="J13" s="220">
        <f t="shared" si="2"/>
        <v>48.9</v>
      </c>
      <c r="K13" s="220">
        <f t="shared" si="2"/>
        <v>43.4</v>
      </c>
      <c r="L13" s="220">
        <f t="shared" si="2"/>
        <v>43.2</v>
      </c>
      <c r="M13" s="220">
        <f t="shared" si="2"/>
        <v>42.88</v>
      </c>
      <c r="N13" s="220">
        <f t="shared" si="2"/>
        <v>45.04</v>
      </c>
      <c r="O13" s="220">
        <f t="shared" si="2"/>
        <v>44.72</v>
      </c>
      <c r="P13" s="220">
        <f t="shared" si="2"/>
        <v>42.72</v>
      </c>
      <c r="Q13" s="220">
        <f t="shared" si="2"/>
        <v>46.55</v>
      </c>
      <c r="R13" s="220">
        <f t="shared" si="2"/>
        <v>45.7</v>
      </c>
      <c r="S13" s="220">
        <f t="shared" si="2"/>
        <v>40.25</v>
      </c>
      <c r="T13" s="220">
        <f t="shared" si="1"/>
        <v>42.25</v>
      </c>
      <c r="U13" s="220">
        <f t="shared" si="1"/>
        <v>44</v>
      </c>
      <c r="V13" s="220">
        <f t="shared" si="1"/>
        <v>34.450000000000003</v>
      </c>
      <c r="W13" s="220">
        <f t="shared" si="1"/>
        <v>39.25</v>
      </c>
      <c r="X13" s="220">
        <f t="shared" si="1"/>
        <v>43.8</v>
      </c>
      <c r="Y13" s="220">
        <f t="shared" si="1"/>
        <v>41.05</v>
      </c>
      <c r="Z13" s="220">
        <f t="shared" si="1"/>
        <v>38.299999999999997</v>
      </c>
    </row>
    <row r="14" spans="1:33" ht="15.75" customHeight="1" x14ac:dyDescent="0.2">
      <c r="A14" s="194" t="s">
        <v>218</v>
      </c>
      <c r="B14" s="196" t="s">
        <v>149</v>
      </c>
      <c r="C14" s="189" t="s">
        <v>221</v>
      </c>
      <c r="D14" s="220">
        <f t="shared" si="2"/>
        <v>40.6</v>
      </c>
      <c r="E14" s="220">
        <f t="shared" si="1"/>
        <v>46</v>
      </c>
      <c r="F14" s="220">
        <f t="shared" si="1"/>
        <v>39.1</v>
      </c>
      <c r="G14" s="220">
        <f t="shared" si="1"/>
        <v>51.3</v>
      </c>
      <c r="H14" s="220">
        <f t="shared" si="1"/>
        <v>44.95</v>
      </c>
      <c r="I14" s="220">
        <f t="shared" si="1"/>
        <v>50.7</v>
      </c>
      <c r="J14" s="220">
        <f t="shared" si="1"/>
        <v>51.95</v>
      </c>
      <c r="K14" s="220">
        <f t="shared" si="1"/>
        <v>49.85</v>
      </c>
      <c r="L14" s="220">
        <f t="shared" si="1"/>
        <v>56.25</v>
      </c>
      <c r="M14" s="220">
        <f t="shared" si="1"/>
        <v>53.56</v>
      </c>
      <c r="N14" s="220">
        <f t="shared" si="1"/>
        <v>55.24</v>
      </c>
      <c r="O14" s="220">
        <f t="shared" si="1"/>
        <v>55.52</v>
      </c>
      <c r="P14" s="220">
        <f t="shared" si="1"/>
        <v>54.4</v>
      </c>
      <c r="Q14" s="220">
        <f t="shared" si="1"/>
        <v>58.9</v>
      </c>
      <c r="R14" s="220">
        <f t="shared" si="1"/>
        <v>43.5</v>
      </c>
      <c r="S14" s="220">
        <f t="shared" si="1"/>
        <v>51.35</v>
      </c>
      <c r="T14" s="220">
        <f t="shared" si="1"/>
        <v>45.55</v>
      </c>
      <c r="U14" s="220">
        <f t="shared" si="1"/>
        <v>49.5</v>
      </c>
      <c r="V14" s="220">
        <f t="shared" si="1"/>
        <v>33.15</v>
      </c>
      <c r="W14" s="220">
        <f t="shared" si="1"/>
        <v>37.049999999999997</v>
      </c>
      <c r="X14" s="220">
        <f t="shared" si="1"/>
        <v>37.799999999999997</v>
      </c>
      <c r="Y14" s="220">
        <f t="shared" si="1"/>
        <v>37</v>
      </c>
      <c r="Z14" s="220"/>
    </row>
    <row r="15" spans="1:33" ht="14.25" customHeight="1" thickBot="1" x14ac:dyDescent="0.25">
      <c r="A15" s="198" t="s">
        <v>218</v>
      </c>
      <c r="B15" s="199" t="s">
        <v>149</v>
      </c>
      <c r="C15" s="200" t="s">
        <v>222</v>
      </c>
      <c r="D15" s="220">
        <f t="shared" si="2"/>
        <v>34.799999999999997</v>
      </c>
      <c r="E15" s="220">
        <f t="shared" si="1"/>
        <v>38.5</v>
      </c>
      <c r="F15" s="220">
        <f t="shared" si="1"/>
        <v>48.4</v>
      </c>
      <c r="G15" s="220">
        <f t="shared" si="1"/>
        <v>48.1</v>
      </c>
      <c r="H15" s="220">
        <f t="shared" si="1"/>
        <v>35.35</v>
      </c>
      <c r="I15" s="220">
        <f t="shared" si="1"/>
        <v>45.35</v>
      </c>
      <c r="J15" s="220">
        <f t="shared" si="1"/>
        <v>44.85</v>
      </c>
      <c r="K15" s="220">
        <f t="shared" si="1"/>
        <v>45.65</v>
      </c>
      <c r="L15" s="220">
        <f t="shared" si="1"/>
        <v>45.85</v>
      </c>
      <c r="M15" s="220">
        <f t="shared" si="1"/>
        <v>45.28</v>
      </c>
      <c r="N15" s="220">
        <f t="shared" si="1"/>
        <v>42.12</v>
      </c>
      <c r="O15" s="220">
        <f t="shared" si="1"/>
        <v>46.72</v>
      </c>
      <c r="P15" s="220">
        <f t="shared" si="1"/>
        <v>40.840000000000003</v>
      </c>
      <c r="Q15" s="220">
        <f t="shared" si="1"/>
        <v>47.05</v>
      </c>
      <c r="R15" s="220">
        <f t="shared" si="1"/>
        <v>39.4</v>
      </c>
      <c r="S15" s="220">
        <f t="shared" si="1"/>
        <v>34.450000000000003</v>
      </c>
      <c r="T15" s="220">
        <f t="shared" si="1"/>
        <v>32.85</v>
      </c>
      <c r="U15" s="220">
        <f t="shared" si="1"/>
        <v>33.1</v>
      </c>
      <c r="V15" s="220">
        <f t="shared" si="1"/>
        <v>26.25</v>
      </c>
      <c r="W15" s="220">
        <f t="shared" si="1"/>
        <v>26.95</v>
      </c>
      <c r="X15" s="220">
        <f t="shared" si="1"/>
        <v>29.35</v>
      </c>
      <c r="Y15" s="220">
        <f t="shared" si="1"/>
        <v>30</v>
      </c>
      <c r="Z15" s="220">
        <f t="shared" si="1"/>
        <v>33.200000000000003</v>
      </c>
    </row>
    <row r="32" spans="1:2" x14ac:dyDescent="0.2">
      <c r="A32" s="173" t="s">
        <v>214</v>
      </c>
      <c r="B32" s="174">
        <v>41291</v>
      </c>
    </row>
    <row r="33" spans="1:23" x14ac:dyDescent="0.2">
      <c r="A33" s="176"/>
      <c r="C33" s="173" t="s">
        <v>77</v>
      </c>
      <c r="D33" s="177">
        <v>41291</v>
      </c>
      <c r="E33" s="177">
        <v>41298</v>
      </c>
      <c r="F33" s="178">
        <v>41305</v>
      </c>
      <c r="G33" s="179">
        <v>41311</v>
      </c>
      <c r="H33" s="179">
        <v>41318</v>
      </c>
      <c r="I33" s="179">
        <v>41326</v>
      </c>
      <c r="J33" s="179">
        <v>41332</v>
      </c>
      <c r="K33" s="179">
        <v>41339</v>
      </c>
      <c r="L33" s="179">
        <v>41353</v>
      </c>
      <c r="M33" s="179">
        <v>41367</v>
      </c>
      <c r="N33" s="179">
        <v>41381</v>
      </c>
      <c r="O33" s="179">
        <v>41395</v>
      </c>
      <c r="P33" s="179">
        <v>41410</v>
      </c>
      <c r="Q33" s="180">
        <v>41424</v>
      </c>
      <c r="R33" s="180">
        <v>41436</v>
      </c>
      <c r="S33" s="180">
        <v>41452</v>
      </c>
      <c r="T33" s="180">
        <v>41465</v>
      </c>
      <c r="U33" s="180">
        <v>41493</v>
      </c>
      <c r="V33" s="180">
        <v>41521</v>
      </c>
      <c r="W33" s="180">
        <v>41551</v>
      </c>
    </row>
    <row r="34" spans="1:23" ht="13.5" thickBot="1" x14ac:dyDescent="0.25">
      <c r="C34" s="181" t="s">
        <v>1</v>
      </c>
      <c r="D34" s="181">
        <f>D33-$B$32</f>
        <v>0</v>
      </c>
      <c r="E34" s="181">
        <f>E33-$B$32</f>
        <v>7</v>
      </c>
      <c r="F34" s="181">
        <f t="shared" ref="F34:W34" si="3">F33-$B$32</f>
        <v>14</v>
      </c>
      <c r="G34" s="181">
        <f t="shared" si="3"/>
        <v>20</v>
      </c>
      <c r="H34" s="181">
        <f t="shared" si="3"/>
        <v>27</v>
      </c>
      <c r="I34" s="181">
        <f t="shared" si="3"/>
        <v>35</v>
      </c>
      <c r="J34" s="181">
        <f t="shared" si="3"/>
        <v>41</v>
      </c>
      <c r="K34" s="181">
        <f t="shared" si="3"/>
        <v>48</v>
      </c>
      <c r="L34" s="181">
        <f t="shared" si="3"/>
        <v>62</v>
      </c>
      <c r="M34" s="181">
        <f t="shared" si="3"/>
        <v>76</v>
      </c>
      <c r="N34" s="181">
        <f t="shared" si="3"/>
        <v>90</v>
      </c>
      <c r="O34" s="181">
        <f t="shared" si="3"/>
        <v>104</v>
      </c>
      <c r="P34" s="181">
        <f t="shared" si="3"/>
        <v>119</v>
      </c>
      <c r="Q34" s="181">
        <f t="shared" si="3"/>
        <v>133</v>
      </c>
      <c r="R34" s="181">
        <f t="shared" si="3"/>
        <v>145</v>
      </c>
      <c r="S34" s="181">
        <f t="shared" si="3"/>
        <v>161</v>
      </c>
      <c r="T34" s="181">
        <f t="shared" si="3"/>
        <v>174</v>
      </c>
      <c r="U34" s="181">
        <f t="shared" si="3"/>
        <v>202</v>
      </c>
      <c r="V34" s="181">
        <f t="shared" si="3"/>
        <v>230</v>
      </c>
      <c r="W34" s="181">
        <f t="shared" si="3"/>
        <v>260</v>
      </c>
    </row>
    <row r="35" spans="1:23" ht="26.25" thickBot="1" x14ac:dyDescent="0.25">
      <c r="A35" s="182" t="s">
        <v>215</v>
      </c>
      <c r="B35" s="183" t="s">
        <v>216</v>
      </c>
      <c r="C35" s="184" t="s">
        <v>217</v>
      </c>
      <c r="D35" s="207" t="s">
        <v>0</v>
      </c>
      <c r="E35" s="207" t="s">
        <v>0</v>
      </c>
      <c r="F35" s="207" t="s">
        <v>0</v>
      </c>
      <c r="G35" s="207" t="s">
        <v>0</v>
      </c>
      <c r="H35" s="207" t="s">
        <v>0</v>
      </c>
      <c r="I35" s="207" t="s">
        <v>0</v>
      </c>
      <c r="J35" s="207" t="s">
        <v>0</v>
      </c>
      <c r="K35" s="207" t="s">
        <v>0</v>
      </c>
      <c r="L35" s="207" t="s">
        <v>0</v>
      </c>
      <c r="M35" s="207" t="s">
        <v>0</v>
      </c>
      <c r="N35" s="207" t="s">
        <v>0</v>
      </c>
      <c r="O35" s="207" t="s">
        <v>0</v>
      </c>
      <c r="P35" s="207" t="s">
        <v>0</v>
      </c>
    </row>
    <row r="36" spans="1:23" ht="14.25" x14ac:dyDescent="0.2">
      <c r="A36" s="221" t="s">
        <v>223</v>
      </c>
      <c r="B36" s="186" t="s">
        <v>4</v>
      </c>
      <c r="C36" s="197" t="s">
        <v>151</v>
      </c>
      <c r="D36" s="208">
        <f>1910*5</f>
        <v>9550</v>
      </c>
      <c r="E36" s="208">
        <f>15100*2</f>
        <v>30200</v>
      </c>
      <c r="F36" s="208">
        <f>6960*5</f>
        <v>34800</v>
      </c>
      <c r="G36" s="208">
        <f>7530*5</f>
        <v>37650</v>
      </c>
      <c r="H36" s="209">
        <f>9270*5</f>
        <v>46350</v>
      </c>
      <c r="I36" s="209">
        <f>9800*5</f>
        <v>49000</v>
      </c>
      <c r="J36" s="209">
        <f>10670*5</f>
        <v>53350</v>
      </c>
      <c r="K36" s="209">
        <f>10930*5</f>
        <v>54650</v>
      </c>
      <c r="L36" s="210">
        <f>15800*4</f>
        <v>63200</v>
      </c>
      <c r="M36" s="210"/>
      <c r="N36" s="210">
        <f>5*7140</f>
        <v>35700</v>
      </c>
      <c r="O36" s="210">
        <f>5*5340</f>
        <v>26700</v>
      </c>
      <c r="P36" s="210">
        <f>3*6600</f>
        <v>19800</v>
      </c>
      <c r="Q36" s="175">
        <f>3*6630</f>
        <v>19890</v>
      </c>
      <c r="R36" s="175">
        <f>8700*2</f>
        <v>17400</v>
      </c>
      <c r="S36" s="175">
        <f>8670*2</f>
        <v>17340</v>
      </c>
      <c r="T36" s="175">
        <f>7610*2</f>
        <v>15220</v>
      </c>
      <c r="U36" s="175">
        <f>6090*2</f>
        <v>12180</v>
      </c>
      <c r="V36" s="175">
        <f>3960*2</f>
        <v>7920</v>
      </c>
    </row>
    <row r="37" spans="1:23" ht="14.25" x14ac:dyDescent="0.2">
      <c r="A37" s="221" t="s">
        <v>223</v>
      </c>
      <c r="B37" s="195" t="s">
        <v>4</v>
      </c>
      <c r="C37" s="197" t="s">
        <v>243</v>
      </c>
      <c r="D37" s="208">
        <f>1060*5</f>
        <v>5300</v>
      </c>
      <c r="E37" s="208">
        <f>11890*2</f>
        <v>23780</v>
      </c>
      <c r="F37" s="208">
        <f>5780*5</f>
        <v>28900</v>
      </c>
      <c r="G37" s="208">
        <f>6380*5</f>
        <v>31900</v>
      </c>
      <c r="H37" s="209">
        <f>8670*4</f>
        <v>34680</v>
      </c>
      <c r="I37" s="209">
        <f>7320*4</f>
        <v>29280</v>
      </c>
      <c r="J37" s="209">
        <f>6370*3</f>
        <v>19110</v>
      </c>
      <c r="K37" s="209">
        <f>12200*2</f>
        <v>24400</v>
      </c>
      <c r="L37" s="210">
        <f>7550*2</f>
        <v>15100</v>
      </c>
      <c r="M37" s="210">
        <f>6700*2</f>
        <v>13400</v>
      </c>
      <c r="N37" s="210">
        <v>8950</v>
      </c>
      <c r="O37" s="210">
        <v>7480</v>
      </c>
      <c r="P37" s="210">
        <v>6590</v>
      </c>
      <c r="Q37" s="211">
        <v>6620</v>
      </c>
      <c r="R37" s="175">
        <f>6980</f>
        <v>6980</v>
      </c>
      <c r="S37" s="175">
        <f>7070</f>
        <v>7070</v>
      </c>
      <c r="T37" s="175">
        <f>5390</f>
        <v>5390</v>
      </c>
      <c r="U37" s="175">
        <v>5270</v>
      </c>
      <c r="V37" s="175">
        <v>4990</v>
      </c>
      <c r="W37" s="175">
        <f>4450</f>
        <v>4450</v>
      </c>
    </row>
    <row r="38" spans="1:23" ht="15.75" customHeight="1" x14ac:dyDescent="0.2">
      <c r="A38" s="221" t="s">
        <v>223</v>
      </c>
      <c r="B38" s="197" t="s">
        <v>149</v>
      </c>
      <c r="C38" s="197" t="s">
        <v>244</v>
      </c>
      <c r="D38" s="208">
        <f>1830*5</f>
        <v>9150</v>
      </c>
      <c r="E38" s="208">
        <f>15580*2</f>
        <v>31160</v>
      </c>
      <c r="F38" s="208">
        <f>6900*5</f>
        <v>34500</v>
      </c>
      <c r="G38" s="208">
        <f>6740*5</f>
        <v>33700</v>
      </c>
      <c r="H38" s="209">
        <f>7870*5</f>
        <v>39350</v>
      </c>
      <c r="I38" s="209">
        <f>8080*5</f>
        <v>40400</v>
      </c>
      <c r="J38" s="208">
        <f>8470*5</f>
        <v>42350</v>
      </c>
      <c r="K38" s="209">
        <f>9030*5</f>
        <v>45150</v>
      </c>
      <c r="L38" s="210">
        <f>8730*5</f>
        <v>43650</v>
      </c>
      <c r="M38" s="210">
        <f>9440*5</f>
        <v>47200</v>
      </c>
      <c r="N38" s="210">
        <f>5*8660</f>
        <v>43300</v>
      </c>
      <c r="O38" s="210">
        <f>5*7890</f>
        <v>39450</v>
      </c>
      <c r="P38" s="210">
        <f>5*8690</f>
        <v>43450</v>
      </c>
      <c r="Q38" s="175">
        <f>5*8050</f>
        <v>40250</v>
      </c>
      <c r="R38" s="175">
        <f>7680*5</f>
        <v>38400</v>
      </c>
      <c r="S38" s="175">
        <f>7600*5</f>
        <v>38000</v>
      </c>
      <c r="T38" s="175">
        <f>8790*5</f>
        <v>43950</v>
      </c>
      <c r="V38" s="175">
        <f>8910*5</f>
        <v>44550</v>
      </c>
    </row>
    <row r="39" spans="1:23" ht="14.25" customHeight="1" thickBot="1" x14ac:dyDescent="0.25">
      <c r="A39" s="221" t="s">
        <v>223</v>
      </c>
      <c r="B39" s="222" t="s">
        <v>149</v>
      </c>
      <c r="C39" s="222" t="s">
        <v>245</v>
      </c>
      <c r="D39" s="212">
        <f>1520*5</f>
        <v>7600</v>
      </c>
      <c r="E39" s="212">
        <f>13720*2</f>
        <v>27440</v>
      </c>
      <c r="F39" s="212">
        <f>5740*5</f>
        <v>28700</v>
      </c>
      <c r="G39" s="212">
        <f>4680*5</f>
        <v>23400</v>
      </c>
      <c r="H39" s="213">
        <f>6850*5</f>
        <v>34250</v>
      </c>
      <c r="I39" s="213">
        <f>6540*5</f>
        <v>32700</v>
      </c>
      <c r="J39" s="213">
        <f>6360*5</f>
        <v>31800</v>
      </c>
      <c r="K39" s="213">
        <f>7530*5</f>
        <v>37650</v>
      </c>
      <c r="L39" s="214">
        <f>6660*5</f>
        <v>33300</v>
      </c>
      <c r="M39" s="214">
        <f>7240*5</f>
        <v>36200</v>
      </c>
      <c r="N39" s="214">
        <f>5*6440</f>
        <v>32200</v>
      </c>
      <c r="O39" s="214">
        <f>5*5160</f>
        <v>25800</v>
      </c>
      <c r="P39" s="214">
        <f>5*7510</f>
        <v>37550</v>
      </c>
      <c r="Q39" s="175">
        <f>5*6440</f>
        <v>32200</v>
      </c>
      <c r="R39" s="175">
        <f>6660*5</f>
        <v>33300</v>
      </c>
      <c r="S39" s="175">
        <f>6760*5</f>
        <v>33800</v>
      </c>
      <c r="T39" s="175">
        <f>7870*5</f>
        <v>39350</v>
      </c>
      <c r="V39" s="175">
        <f>7350*5</f>
        <v>36750</v>
      </c>
      <c r="W39" s="175">
        <f>8460*5</f>
        <v>42300</v>
      </c>
    </row>
    <row r="56" spans="1:31" x14ac:dyDescent="0.2">
      <c r="A56" s="173" t="s">
        <v>214</v>
      </c>
      <c r="B56" s="174">
        <v>41354</v>
      </c>
    </row>
    <row r="57" spans="1:31" x14ac:dyDescent="0.2">
      <c r="A57" s="176"/>
      <c r="C57" s="173" t="s">
        <v>77</v>
      </c>
      <c r="D57" s="177">
        <v>41354</v>
      </c>
      <c r="E57" s="180">
        <v>41360</v>
      </c>
      <c r="F57" s="180">
        <v>41367</v>
      </c>
      <c r="G57" s="180">
        <v>41374</v>
      </c>
      <c r="H57" s="180">
        <v>41381</v>
      </c>
      <c r="I57" s="179">
        <v>41388</v>
      </c>
      <c r="J57" s="179">
        <v>41410</v>
      </c>
      <c r="K57" s="179">
        <v>41436</v>
      </c>
      <c r="L57" s="179">
        <v>41465</v>
      </c>
      <c r="M57" s="179">
        <v>41493</v>
      </c>
      <c r="N57" s="179">
        <v>41521</v>
      </c>
      <c r="O57" s="180">
        <v>41551</v>
      </c>
      <c r="P57" s="180">
        <v>41565</v>
      </c>
      <c r="Q57" s="180">
        <v>41605</v>
      </c>
      <c r="R57" s="180">
        <v>41630</v>
      </c>
      <c r="S57" s="180">
        <v>41656</v>
      </c>
      <c r="T57" s="180">
        <v>41711</v>
      </c>
      <c r="U57" s="180">
        <v>41745</v>
      </c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</row>
    <row r="58" spans="1:31" ht="13.5" thickBot="1" x14ac:dyDescent="0.25">
      <c r="C58" s="181" t="s">
        <v>1</v>
      </c>
      <c r="D58" s="181">
        <f t="shared" ref="D58:U58" si="4">D57-$B$56</f>
        <v>0</v>
      </c>
      <c r="E58" s="181">
        <f t="shared" si="4"/>
        <v>6</v>
      </c>
      <c r="F58" s="181">
        <f t="shared" si="4"/>
        <v>13</v>
      </c>
      <c r="G58" s="181">
        <f t="shared" si="4"/>
        <v>20</v>
      </c>
      <c r="H58" s="181">
        <f t="shared" si="4"/>
        <v>27</v>
      </c>
      <c r="I58" s="181">
        <f t="shared" si="4"/>
        <v>34</v>
      </c>
      <c r="J58" s="181">
        <f t="shared" si="4"/>
        <v>56</v>
      </c>
      <c r="K58" s="181">
        <f t="shared" si="4"/>
        <v>82</v>
      </c>
      <c r="L58" s="181">
        <f t="shared" si="4"/>
        <v>111</v>
      </c>
      <c r="M58" s="181">
        <f t="shared" si="4"/>
        <v>139</v>
      </c>
      <c r="N58" s="181">
        <f t="shared" si="4"/>
        <v>167</v>
      </c>
      <c r="O58" s="181">
        <f t="shared" si="4"/>
        <v>197</v>
      </c>
      <c r="P58" s="181">
        <f t="shared" si="4"/>
        <v>211</v>
      </c>
      <c r="Q58" s="181">
        <f t="shared" si="4"/>
        <v>251</v>
      </c>
      <c r="R58" s="181">
        <f t="shared" si="4"/>
        <v>276</v>
      </c>
      <c r="S58" s="181">
        <f t="shared" si="4"/>
        <v>302</v>
      </c>
      <c r="T58" s="181">
        <f t="shared" si="4"/>
        <v>357</v>
      </c>
      <c r="U58" s="181">
        <f t="shared" si="4"/>
        <v>391</v>
      </c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</row>
    <row r="59" spans="1:31" ht="26.25" thickBot="1" x14ac:dyDescent="0.25">
      <c r="A59" s="182" t="s">
        <v>215</v>
      </c>
      <c r="B59" s="183" t="s">
        <v>216</v>
      </c>
      <c r="C59" s="184" t="s">
        <v>217</v>
      </c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</row>
    <row r="60" spans="1:31" ht="14.25" x14ac:dyDescent="0.2">
      <c r="A60" s="188" t="s">
        <v>224</v>
      </c>
      <c r="B60" s="186" t="s">
        <v>4</v>
      </c>
      <c r="C60" s="189" t="s">
        <v>225</v>
      </c>
      <c r="D60" s="190">
        <f>880*3</f>
        <v>2640</v>
      </c>
      <c r="E60" s="190">
        <f>4010*3</f>
        <v>12030</v>
      </c>
      <c r="F60" s="190">
        <f>4970*3</f>
        <v>14910</v>
      </c>
      <c r="G60" s="190"/>
      <c r="H60" s="190">
        <f>5850*3</f>
        <v>17550</v>
      </c>
      <c r="I60" s="191">
        <f>5120*3</f>
        <v>15360</v>
      </c>
      <c r="J60" s="191">
        <f>1380*3</f>
        <v>4140</v>
      </c>
      <c r="K60" s="191"/>
      <c r="L60" s="192"/>
      <c r="M60" s="192"/>
      <c r="N60" s="192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</row>
    <row r="61" spans="1:31" ht="14.25" x14ac:dyDescent="0.2">
      <c r="A61" s="188" t="s">
        <v>224</v>
      </c>
      <c r="B61" s="195" t="s">
        <v>4</v>
      </c>
      <c r="C61" s="189" t="s">
        <v>226</v>
      </c>
      <c r="D61" s="190">
        <f>980*3</f>
        <v>2940</v>
      </c>
      <c r="E61" s="190">
        <f>2560*3</f>
        <v>7680</v>
      </c>
      <c r="F61" s="190">
        <f>4030*3</f>
        <v>12090</v>
      </c>
      <c r="G61" s="190"/>
      <c r="H61" s="190">
        <f>3390*3</f>
        <v>10170</v>
      </c>
      <c r="I61" s="191">
        <f>3580*2</f>
        <v>7160</v>
      </c>
      <c r="J61" s="191">
        <f>240*2</f>
        <v>480</v>
      </c>
      <c r="K61" s="191"/>
      <c r="L61" s="192"/>
      <c r="M61" s="192"/>
      <c r="N61" s="192"/>
      <c r="O61" s="187"/>
      <c r="P61" s="187"/>
      <c r="Q61" s="187"/>
      <c r="R61" s="187"/>
      <c r="S61" s="187"/>
      <c r="T61" s="187"/>
      <c r="U61" s="187"/>
      <c r="V61" s="187"/>
      <c r="W61" s="187"/>
      <c r="X61" s="193"/>
      <c r="Y61" s="193"/>
      <c r="Z61" s="193"/>
      <c r="AA61" s="193"/>
      <c r="AB61" s="193"/>
      <c r="AC61" s="193"/>
      <c r="AD61" s="193"/>
      <c r="AE61" s="193"/>
    </row>
    <row r="62" spans="1:31" ht="15.75" customHeight="1" x14ac:dyDescent="0.2">
      <c r="A62" s="188" t="s">
        <v>224</v>
      </c>
      <c r="B62" s="196" t="s">
        <v>149</v>
      </c>
      <c r="C62" s="189" t="s">
        <v>227</v>
      </c>
      <c r="D62" s="190">
        <f>1640*3</f>
        <v>4920</v>
      </c>
      <c r="E62" s="190">
        <f>1730*3</f>
        <v>5190</v>
      </c>
      <c r="F62" s="190">
        <f>2170*3</f>
        <v>6510</v>
      </c>
      <c r="G62" s="190"/>
      <c r="H62" s="191">
        <f>2860*3</f>
        <v>8580</v>
      </c>
      <c r="I62" s="191"/>
      <c r="J62" s="197">
        <f>3420*2</f>
        <v>6840</v>
      </c>
      <c r="K62" s="191">
        <f>2200*3</f>
        <v>6600</v>
      </c>
      <c r="L62" s="192">
        <f>4040*2</f>
        <v>8080</v>
      </c>
      <c r="M62" s="192"/>
      <c r="N62" s="192">
        <f>3550*2</f>
        <v>7100</v>
      </c>
      <c r="O62" s="193"/>
      <c r="P62" s="193">
        <f>2540</f>
        <v>2540</v>
      </c>
      <c r="Q62" s="193"/>
      <c r="R62" s="193"/>
      <c r="S62" s="193"/>
      <c r="T62" s="193"/>
      <c r="U62" s="193"/>
      <c r="V62" s="193"/>
      <c r="W62" s="193"/>
      <c r="X62" s="193"/>
      <c r="Y62" s="193"/>
      <c r="AB62" s="193"/>
      <c r="AD62" s="193"/>
      <c r="AE62" s="193"/>
    </row>
    <row r="63" spans="1:31" ht="14.25" customHeight="1" thickBot="1" x14ac:dyDescent="0.25">
      <c r="A63" s="188" t="s">
        <v>224</v>
      </c>
      <c r="B63" s="199" t="s">
        <v>149</v>
      </c>
      <c r="C63" s="189" t="s">
        <v>228</v>
      </c>
      <c r="D63" s="201">
        <f>1240*3</f>
        <v>3720</v>
      </c>
      <c r="E63" s="201">
        <f>1590*3</f>
        <v>4770</v>
      </c>
      <c r="F63" s="201">
        <f>1920*3</f>
        <v>5760</v>
      </c>
      <c r="G63" s="201"/>
      <c r="H63" s="202">
        <f>2180*3</f>
        <v>6540</v>
      </c>
      <c r="I63" s="202"/>
      <c r="J63" s="202">
        <f>2640*3</f>
        <v>7920</v>
      </c>
      <c r="K63" s="202">
        <f>1630*3</f>
        <v>4890</v>
      </c>
      <c r="L63" s="203">
        <f>4830*2</f>
        <v>9660</v>
      </c>
      <c r="M63" s="203"/>
      <c r="N63" s="203">
        <f>3210*2</f>
        <v>6420</v>
      </c>
      <c r="O63" s="193"/>
      <c r="P63" s="193">
        <v>3410</v>
      </c>
      <c r="Q63" s="193">
        <v>4480</v>
      </c>
      <c r="R63" s="193"/>
      <c r="S63" s="193"/>
      <c r="T63" s="193"/>
      <c r="U63" s="193"/>
      <c r="V63" s="193"/>
      <c r="W63" s="193"/>
      <c r="X63" s="193"/>
      <c r="Y63" s="193"/>
      <c r="AB63" s="193"/>
      <c r="AD63" s="193"/>
      <c r="AE63" s="193"/>
    </row>
    <row r="82" spans="1:31" x14ac:dyDescent="0.2">
      <c r="A82" s="173" t="s">
        <v>214</v>
      </c>
      <c r="B82" s="174">
        <v>41360</v>
      </c>
    </row>
    <row r="83" spans="1:31" x14ac:dyDescent="0.2">
      <c r="A83" s="176"/>
      <c r="C83" s="173" t="s">
        <v>77</v>
      </c>
      <c r="D83" s="177">
        <v>41360</v>
      </c>
      <c r="E83" s="180">
        <v>41367</v>
      </c>
      <c r="F83" s="180">
        <v>41374</v>
      </c>
      <c r="G83" s="180">
        <v>41388</v>
      </c>
      <c r="H83" s="179">
        <v>41403</v>
      </c>
      <c r="I83" s="179">
        <v>41417</v>
      </c>
      <c r="J83" s="179">
        <v>41443</v>
      </c>
      <c r="K83" s="179">
        <v>41471</v>
      </c>
      <c r="L83" s="179">
        <v>41529</v>
      </c>
      <c r="M83" s="179"/>
      <c r="N83" s="179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</row>
    <row r="84" spans="1:31" ht="13.5" thickBot="1" x14ac:dyDescent="0.25">
      <c r="C84" s="181" t="s">
        <v>1</v>
      </c>
      <c r="D84" s="181">
        <f t="shared" ref="D84:L84" si="5">D83-$B$82</f>
        <v>0</v>
      </c>
      <c r="E84" s="181">
        <f t="shared" si="5"/>
        <v>7</v>
      </c>
      <c r="F84" s="181">
        <f t="shared" si="5"/>
        <v>14</v>
      </c>
      <c r="G84" s="181">
        <f t="shared" si="5"/>
        <v>28</v>
      </c>
      <c r="H84" s="181">
        <f t="shared" si="5"/>
        <v>43</v>
      </c>
      <c r="I84" s="181">
        <f t="shared" si="5"/>
        <v>57</v>
      </c>
      <c r="J84" s="181">
        <f t="shared" si="5"/>
        <v>83</v>
      </c>
      <c r="K84" s="181">
        <f t="shared" si="5"/>
        <v>111</v>
      </c>
      <c r="L84" s="181">
        <f t="shared" si="5"/>
        <v>169</v>
      </c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</row>
    <row r="85" spans="1:31" ht="26.25" thickBot="1" x14ac:dyDescent="0.25">
      <c r="A85" s="182" t="s">
        <v>215</v>
      </c>
      <c r="B85" s="183" t="s">
        <v>216</v>
      </c>
      <c r="C85" s="184" t="s">
        <v>217</v>
      </c>
      <c r="D85" s="185"/>
      <c r="E85" s="185"/>
      <c r="F85" s="185"/>
      <c r="G85" s="185"/>
      <c r="H85" s="185"/>
      <c r="I85" s="185"/>
      <c r="J85" s="185"/>
      <c r="K85" s="185"/>
      <c r="L85" s="185"/>
      <c r="M85" s="185"/>
      <c r="N85" s="185"/>
    </row>
    <row r="86" spans="1:31" ht="14.25" x14ac:dyDescent="0.2">
      <c r="A86" s="188" t="s">
        <v>246</v>
      </c>
      <c r="B86" s="186" t="s">
        <v>4</v>
      </c>
      <c r="C86" s="189" t="s">
        <v>229</v>
      </c>
      <c r="D86" s="190">
        <f>470*2</f>
        <v>940</v>
      </c>
      <c r="E86" s="190">
        <f>4080*2</f>
        <v>8160</v>
      </c>
      <c r="F86" s="190">
        <f>530*3</f>
        <v>1590</v>
      </c>
      <c r="G86" s="190">
        <f>5390*4</f>
        <v>21560</v>
      </c>
      <c r="H86" s="191">
        <f>5510*5</f>
        <v>27550</v>
      </c>
      <c r="I86" s="191">
        <f>4960*5</f>
        <v>24800</v>
      </c>
      <c r="J86" s="191"/>
      <c r="K86" s="191"/>
      <c r="L86" s="192"/>
      <c r="M86" s="192"/>
      <c r="N86" s="192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</row>
    <row r="87" spans="1:31" ht="14.25" x14ac:dyDescent="0.2">
      <c r="A87" s="188" t="s">
        <v>246</v>
      </c>
      <c r="B87" s="195" t="s">
        <v>4</v>
      </c>
      <c r="C87" s="189" t="s">
        <v>230</v>
      </c>
      <c r="D87" s="190">
        <f>330*2</f>
        <v>660</v>
      </c>
      <c r="E87" s="190">
        <f>5440*2</f>
        <v>10880</v>
      </c>
      <c r="F87" s="190">
        <f>3400*3</f>
        <v>10200</v>
      </c>
      <c r="G87" s="190">
        <f>5360*4</f>
        <v>21440</v>
      </c>
      <c r="H87" s="191">
        <f>6280*5</f>
        <v>31400</v>
      </c>
      <c r="I87" s="191">
        <f>6540*5</f>
        <v>32700</v>
      </c>
      <c r="J87" s="191"/>
      <c r="K87" s="191"/>
      <c r="L87" s="192"/>
      <c r="M87" s="192"/>
      <c r="N87" s="192"/>
      <c r="O87" s="187"/>
      <c r="P87" s="187"/>
      <c r="Q87" s="187"/>
      <c r="R87" s="187"/>
      <c r="S87" s="187"/>
      <c r="T87" s="187"/>
      <c r="U87" s="187"/>
      <c r="V87" s="187"/>
      <c r="W87" s="187"/>
      <c r="X87" s="193"/>
      <c r="Y87" s="193"/>
      <c r="Z87" s="193"/>
      <c r="AA87" s="193"/>
      <c r="AB87" s="193"/>
      <c r="AC87" s="193"/>
      <c r="AD87" s="193"/>
      <c r="AE87" s="193"/>
    </row>
    <row r="88" spans="1:31" ht="15.75" customHeight="1" x14ac:dyDescent="0.2">
      <c r="A88" s="188" t="s">
        <v>246</v>
      </c>
      <c r="B88" s="196" t="s">
        <v>149</v>
      </c>
      <c r="C88" s="189" t="s">
        <v>231</v>
      </c>
      <c r="D88" s="190">
        <f>680*2</f>
        <v>1360</v>
      </c>
      <c r="E88" s="190">
        <f>1690*2</f>
        <v>3380</v>
      </c>
      <c r="F88" s="190"/>
      <c r="G88" s="190">
        <f>1440*2</f>
        <v>2880</v>
      </c>
      <c r="H88" s="191"/>
      <c r="I88" s="191">
        <f>6940</f>
        <v>6940</v>
      </c>
      <c r="J88" s="197"/>
      <c r="K88" s="191">
        <f>4910</f>
        <v>4910</v>
      </c>
      <c r="L88" s="192"/>
      <c r="M88" s="192"/>
      <c r="N88" s="192"/>
      <c r="O88" s="193"/>
      <c r="P88" s="193"/>
      <c r="Q88" s="193"/>
      <c r="R88" s="193"/>
      <c r="S88" s="193"/>
      <c r="T88" s="193"/>
      <c r="U88" s="193"/>
      <c r="V88" s="193"/>
      <c r="W88" s="193"/>
      <c r="X88" s="193"/>
      <c r="Y88" s="193"/>
      <c r="AB88" s="193"/>
      <c r="AD88" s="193"/>
      <c r="AE88" s="193"/>
    </row>
    <row r="89" spans="1:31" ht="14.25" customHeight="1" thickBot="1" x14ac:dyDescent="0.25">
      <c r="A89" s="188" t="s">
        <v>246</v>
      </c>
      <c r="B89" s="199" t="s">
        <v>149</v>
      </c>
      <c r="C89" s="189" t="s">
        <v>247</v>
      </c>
      <c r="D89" s="201">
        <f>1070*2</f>
        <v>2140</v>
      </c>
      <c r="E89" s="201">
        <f>1650*2</f>
        <v>3300</v>
      </c>
      <c r="F89" s="201">
        <v>4020</v>
      </c>
      <c r="G89" s="201">
        <f>1700*2</f>
        <v>3400</v>
      </c>
      <c r="H89" s="202"/>
      <c r="I89" s="202">
        <v>5940</v>
      </c>
      <c r="J89" s="202"/>
      <c r="K89" s="202"/>
      <c r="L89" s="203"/>
      <c r="M89" s="203"/>
      <c r="N89" s="203"/>
      <c r="O89" s="193"/>
      <c r="P89" s="193"/>
      <c r="Q89" s="193"/>
      <c r="R89" s="193"/>
      <c r="S89" s="193"/>
      <c r="T89" s="193"/>
      <c r="U89" s="193"/>
      <c r="V89" s="193"/>
      <c r="W89" s="193"/>
      <c r="X89" s="193"/>
      <c r="Y89" s="193"/>
      <c r="AB89" s="193"/>
      <c r="AD89" s="193"/>
      <c r="AE89" s="193"/>
    </row>
    <row r="107" spans="1:31" x14ac:dyDescent="0.2">
      <c r="A107" s="173" t="s">
        <v>214</v>
      </c>
      <c r="B107" s="174">
        <v>41417</v>
      </c>
    </row>
    <row r="108" spans="1:31" x14ac:dyDescent="0.2">
      <c r="A108" s="176"/>
      <c r="C108" s="173" t="s">
        <v>77</v>
      </c>
      <c r="D108" s="177">
        <v>41417</v>
      </c>
      <c r="E108" s="180">
        <v>41429</v>
      </c>
      <c r="F108" s="180"/>
      <c r="G108" s="180"/>
      <c r="H108" s="179"/>
      <c r="I108" s="179"/>
      <c r="J108" s="179"/>
      <c r="K108" s="179"/>
      <c r="L108" s="179"/>
      <c r="M108" s="179"/>
      <c r="N108" s="179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  <c r="AA108" s="180"/>
      <c r="AB108" s="180"/>
      <c r="AC108" s="180"/>
      <c r="AD108" s="180"/>
      <c r="AE108" s="180"/>
    </row>
    <row r="109" spans="1:31" ht="13.5" thickBot="1" x14ac:dyDescent="0.25">
      <c r="C109" s="181" t="s">
        <v>1</v>
      </c>
      <c r="D109" s="181">
        <f>D108-$B$107</f>
        <v>0</v>
      </c>
      <c r="E109" s="181">
        <f t="shared" ref="E109" si="6">E108-$B$107</f>
        <v>12</v>
      </c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</row>
    <row r="110" spans="1:31" ht="26.25" thickBot="1" x14ac:dyDescent="0.25">
      <c r="A110" s="182" t="s">
        <v>215</v>
      </c>
      <c r="B110" s="183" t="s">
        <v>216</v>
      </c>
      <c r="C110" s="184" t="s">
        <v>217</v>
      </c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</row>
    <row r="111" spans="1:31" ht="14.25" x14ac:dyDescent="0.2">
      <c r="A111" s="188" t="s">
        <v>248</v>
      </c>
      <c r="B111" s="186" t="s">
        <v>4</v>
      </c>
      <c r="C111" s="189" t="s">
        <v>232</v>
      </c>
      <c r="D111" s="190">
        <f>290*5</f>
        <v>1450</v>
      </c>
      <c r="E111" s="190"/>
      <c r="F111" s="190"/>
      <c r="G111" s="190"/>
      <c r="H111" s="191"/>
      <c r="I111" s="191"/>
      <c r="J111" s="191"/>
      <c r="K111" s="191"/>
      <c r="L111" s="192"/>
      <c r="M111" s="192"/>
      <c r="N111" s="192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  <c r="AD111" s="187"/>
      <c r="AE111" s="187"/>
    </row>
    <row r="112" spans="1:31" ht="14.25" x14ac:dyDescent="0.2">
      <c r="A112" s="188" t="s">
        <v>248</v>
      </c>
      <c r="B112" s="195" t="s">
        <v>4</v>
      </c>
      <c r="C112" s="189" t="s">
        <v>233</v>
      </c>
      <c r="D112" s="190">
        <f>1170*5</f>
        <v>5850</v>
      </c>
      <c r="E112" s="190"/>
      <c r="F112" s="190"/>
      <c r="G112" s="190"/>
      <c r="H112" s="191"/>
      <c r="I112" s="191"/>
      <c r="J112" s="191"/>
      <c r="K112" s="191"/>
      <c r="L112" s="192"/>
      <c r="M112" s="192"/>
      <c r="N112" s="192"/>
      <c r="O112" s="187"/>
      <c r="P112" s="187"/>
      <c r="Q112" s="187"/>
      <c r="R112" s="187"/>
      <c r="S112" s="187"/>
      <c r="T112" s="187"/>
      <c r="U112" s="187"/>
      <c r="V112" s="187"/>
      <c r="W112" s="187"/>
      <c r="X112" s="193"/>
      <c r="Y112" s="193"/>
      <c r="Z112" s="193"/>
      <c r="AA112" s="193"/>
      <c r="AB112" s="193"/>
      <c r="AC112" s="193"/>
      <c r="AD112" s="193"/>
      <c r="AE112" s="193"/>
    </row>
    <row r="113" spans="1:31" ht="15.75" customHeight="1" x14ac:dyDescent="0.2">
      <c r="A113" s="188" t="s">
        <v>248</v>
      </c>
      <c r="B113" s="196" t="s">
        <v>149</v>
      </c>
      <c r="C113" s="189" t="s">
        <v>234</v>
      </c>
      <c r="D113" s="190">
        <f>2040*5</f>
        <v>10200</v>
      </c>
      <c r="E113" s="190"/>
      <c r="F113" s="190"/>
      <c r="G113" s="190"/>
      <c r="H113" s="191"/>
      <c r="I113" s="191"/>
      <c r="J113" s="197"/>
      <c r="K113" s="191"/>
      <c r="L113" s="192"/>
      <c r="M113" s="192"/>
      <c r="N113" s="192"/>
      <c r="O113" s="193"/>
      <c r="P113" s="193"/>
      <c r="Q113" s="193"/>
      <c r="R113" s="193"/>
      <c r="S113" s="193"/>
      <c r="T113" s="193"/>
      <c r="U113" s="193"/>
      <c r="V113" s="193"/>
      <c r="W113" s="193"/>
      <c r="X113" s="193"/>
      <c r="Y113" s="193"/>
      <c r="AB113" s="193"/>
      <c r="AD113" s="193"/>
      <c r="AE113" s="193"/>
    </row>
    <row r="114" spans="1:31" ht="14.25" customHeight="1" thickBot="1" x14ac:dyDescent="0.25">
      <c r="A114" s="188" t="s">
        <v>248</v>
      </c>
      <c r="B114" s="199" t="s">
        <v>149</v>
      </c>
      <c r="C114" s="189" t="s">
        <v>235</v>
      </c>
      <c r="D114" s="201">
        <f>1830*5</f>
        <v>9150</v>
      </c>
      <c r="E114" s="201"/>
      <c r="F114" s="201"/>
      <c r="G114" s="201"/>
      <c r="H114" s="202"/>
      <c r="I114" s="202"/>
      <c r="J114" s="202"/>
      <c r="K114" s="202"/>
      <c r="L114" s="203"/>
      <c r="M114" s="203"/>
      <c r="N114" s="203"/>
      <c r="O114" s="193"/>
      <c r="P114" s="193"/>
      <c r="Q114" s="193"/>
      <c r="R114" s="193"/>
      <c r="S114" s="193"/>
      <c r="T114" s="193"/>
      <c r="U114" s="193"/>
      <c r="V114" s="193"/>
      <c r="W114" s="193"/>
      <c r="X114" s="193"/>
      <c r="Y114" s="193"/>
      <c r="AB114" s="193"/>
      <c r="AD114" s="193"/>
      <c r="AE114" s="193"/>
    </row>
    <row r="133" spans="1:31" x14ac:dyDescent="0.2">
      <c r="A133" s="173" t="s">
        <v>214</v>
      </c>
      <c r="B133" s="174">
        <v>41501</v>
      </c>
    </row>
    <row r="134" spans="1:31" x14ac:dyDescent="0.2">
      <c r="A134" s="176"/>
      <c r="C134" s="173" t="s">
        <v>77</v>
      </c>
      <c r="D134" s="177">
        <v>41501</v>
      </c>
      <c r="E134" s="180">
        <v>41514</v>
      </c>
      <c r="F134" s="180">
        <v>41529</v>
      </c>
      <c r="G134" s="180"/>
      <c r="H134" s="179"/>
      <c r="I134" s="179"/>
      <c r="J134" s="179"/>
      <c r="K134" s="179"/>
      <c r="L134" s="179"/>
      <c r="M134" s="179"/>
      <c r="N134" s="179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</row>
    <row r="135" spans="1:31" ht="13.5" thickBot="1" x14ac:dyDescent="0.25">
      <c r="C135" s="181" t="s">
        <v>1</v>
      </c>
      <c r="D135" s="181">
        <f>D134-$B$133</f>
        <v>0</v>
      </c>
      <c r="E135" s="181">
        <f>E134-$B$133</f>
        <v>13</v>
      </c>
      <c r="F135" s="181">
        <f>F134-$B$133</f>
        <v>28</v>
      </c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</row>
    <row r="136" spans="1:31" ht="26.25" thickBot="1" x14ac:dyDescent="0.25">
      <c r="A136" s="182" t="s">
        <v>215</v>
      </c>
      <c r="B136" s="183" t="s">
        <v>216</v>
      </c>
      <c r="C136" s="184" t="s">
        <v>217</v>
      </c>
      <c r="D136" s="185"/>
      <c r="E136" s="185"/>
      <c r="F136" s="185"/>
      <c r="G136" s="185"/>
      <c r="H136" s="185"/>
      <c r="I136" s="185"/>
      <c r="J136" s="185"/>
      <c r="K136" s="185"/>
      <c r="L136" s="185"/>
      <c r="M136" s="185"/>
      <c r="N136" s="185"/>
    </row>
    <row r="137" spans="1:31" ht="14.25" x14ac:dyDescent="0.2">
      <c r="A137" s="188" t="s">
        <v>249</v>
      </c>
      <c r="B137" s="186" t="s">
        <v>4</v>
      </c>
      <c r="C137" s="189" t="s">
        <v>236</v>
      </c>
      <c r="D137" s="190">
        <f>990*5</f>
        <v>4950</v>
      </c>
      <c r="E137" s="190"/>
      <c r="F137" s="190"/>
      <c r="G137" s="190"/>
      <c r="H137" s="191"/>
      <c r="I137" s="191"/>
      <c r="J137" s="191"/>
      <c r="K137" s="191"/>
      <c r="L137" s="192"/>
      <c r="M137" s="192"/>
      <c r="N137" s="192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</row>
    <row r="138" spans="1:31" ht="14.25" x14ac:dyDescent="0.2">
      <c r="A138" s="188" t="s">
        <v>249</v>
      </c>
      <c r="B138" s="195" t="s">
        <v>4</v>
      </c>
      <c r="C138" s="189" t="s">
        <v>237</v>
      </c>
      <c r="D138" s="190">
        <f>1550*5</f>
        <v>7750</v>
      </c>
      <c r="E138" s="190">
        <f>7100*5</f>
        <v>35500</v>
      </c>
      <c r="F138" s="190"/>
      <c r="G138" s="190"/>
      <c r="H138" s="191"/>
      <c r="I138" s="191"/>
      <c r="J138" s="191"/>
      <c r="K138" s="191"/>
      <c r="L138" s="192"/>
      <c r="M138" s="192"/>
      <c r="N138" s="192"/>
      <c r="O138" s="187"/>
      <c r="P138" s="187"/>
      <c r="Q138" s="187"/>
      <c r="R138" s="187"/>
      <c r="S138" s="187"/>
      <c r="T138" s="187"/>
      <c r="U138" s="187"/>
      <c r="V138" s="187"/>
      <c r="W138" s="187"/>
      <c r="X138" s="193"/>
      <c r="Y138" s="193"/>
      <c r="Z138" s="193"/>
      <c r="AA138" s="193"/>
      <c r="AB138" s="193"/>
      <c r="AC138" s="193"/>
      <c r="AD138" s="193"/>
      <c r="AE138" s="193"/>
    </row>
    <row r="139" spans="1:31" ht="15.75" customHeight="1" x14ac:dyDescent="0.2">
      <c r="A139" s="188" t="s">
        <v>249</v>
      </c>
      <c r="B139" s="196" t="s">
        <v>149</v>
      </c>
      <c r="C139" s="189" t="s">
        <v>238</v>
      </c>
      <c r="D139" s="190">
        <f>2240*5</f>
        <v>11200</v>
      </c>
      <c r="E139" s="190"/>
      <c r="F139" s="190"/>
      <c r="G139" s="190"/>
      <c r="H139" s="191"/>
      <c r="I139" s="191"/>
      <c r="J139" s="197"/>
      <c r="K139" s="191"/>
      <c r="L139" s="192"/>
      <c r="M139" s="192"/>
      <c r="N139" s="192"/>
      <c r="O139" s="193"/>
      <c r="P139" s="193"/>
      <c r="Q139" s="193"/>
      <c r="R139" s="193"/>
      <c r="S139" s="193"/>
      <c r="T139" s="193"/>
      <c r="U139" s="193"/>
      <c r="V139" s="193"/>
      <c r="W139" s="193"/>
      <c r="X139" s="193"/>
      <c r="Y139" s="193"/>
      <c r="AB139" s="193"/>
      <c r="AD139" s="193"/>
      <c r="AE139" s="193"/>
    </row>
    <row r="140" spans="1:31" ht="14.25" customHeight="1" thickBot="1" x14ac:dyDescent="0.25">
      <c r="A140" s="188" t="s">
        <v>249</v>
      </c>
      <c r="B140" s="199" t="s">
        <v>149</v>
      </c>
      <c r="C140" s="189" t="s">
        <v>239</v>
      </c>
      <c r="D140" s="201">
        <f>1620*5</f>
        <v>8100</v>
      </c>
      <c r="E140" s="201"/>
      <c r="F140" s="201"/>
      <c r="G140" s="201"/>
      <c r="H140" s="202"/>
      <c r="I140" s="202"/>
      <c r="J140" s="202"/>
      <c r="K140" s="202"/>
      <c r="L140" s="203"/>
      <c r="M140" s="203"/>
      <c r="N140" s="203"/>
      <c r="O140" s="193"/>
      <c r="P140" s="193"/>
      <c r="Q140" s="193"/>
      <c r="R140" s="193"/>
      <c r="S140" s="193"/>
      <c r="T140" s="193"/>
      <c r="U140" s="193"/>
      <c r="V140" s="193"/>
      <c r="W140" s="193"/>
      <c r="X140" s="193"/>
      <c r="Y140" s="193"/>
      <c r="AB140" s="193"/>
      <c r="AD140" s="193"/>
      <c r="AE140" s="19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P6 Conc.</vt:lpstr>
      <vt:lpstr>P7 Conc.</vt:lpstr>
      <vt:lpstr>P8 Conc.</vt:lpstr>
      <vt:lpstr>P9 Conc.</vt:lpstr>
      <vt:lpstr>Gas Production</vt:lpstr>
      <vt:lpstr>LOQ</vt:lpstr>
      <vt:lpstr>pH</vt:lpstr>
      <vt:lpstr>COD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Johnsie Ray Lang</dc:creator>
  <cp:lastModifiedBy>Lang, Johnsie</cp:lastModifiedBy>
  <dcterms:created xsi:type="dcterms:W3CDTF">2013-09-03T15:54:52Z</dcterms:created>
  <dcterms:modified xsi:type="dcterms:W3CDTF">2018-10-01T15:48:59Z</dcterms:modified>
</cp:coreProperties>
</file>