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esis 2017\Envios\17-10-2017\"/>
    </mc:Choice>
  </mc:AlternateContent>
  <bookViews>
    <workbookView xWindow="120" yWindow="210" windowWidth="15240" windowHeight="7245" firstSheet="1" activeTab="2"/>
  </bookViews>
  <sheets>
    <sheet name="OLD" sheetId="1" state="hidden" r:id="rId1"/>
    <sheet name="Acido" sheetId="12" r:id="rId2"/>
    <sheet name="Datos" sheetId="11" r:id="rId3"/>
    <sheet name="Mineras" sheetId="13" r:id="rId4"/>
  </sheets>
  <calcPr calcId="152511"/>
</workbook>
</file>

<file path=xl/calcChain.xml><?xml version="1.0" encoding="utf-8"?>
<calcChain xmlns="http://schemas.openxmlformats.org/spreadsheetml/2006/main">
  <c r="E10" i="11" l="1"/>
  <c r="B40" i="11"/>
  <c r="B41" i="11" s="1"/>
  <c r="B42" i="11" s="1"/>
  <c r="B43" i="11" s="1"/>
  <c r="B39" i="11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Z42" i="13"/>
  <c r="Z41" i="13"/>
  <c r="Z40" i="13"/>
  <c r="Z39" i="13"/>
  <c r="Z38" i="13"/>
  <c r="Z37" i="13"/>
  <c r="Z35" i="13"/>
  <c r="Z43" i="13" s="1"/>
  <c r="X26" i="13"/>
  <c r="X32" i="13" s="1"/>
  <c r="T26" i="13"/>
  <c r="T32" i="13" s="1"/>
  <c r="P26" i="13"/>
  <c r="P32" i="13" s="1"/>
  <c r="L26" i="13"/>
  <c r="L32" i="13" s="1"/>
  <c r="H26" i="13"/>
  <c r="H32" i="13" s="1"/>
  <c r="AU25" i="13"/>
  <c r="AU22" i="13" s="1"/>
  <c r="AV24" i="13"/>
  <c r="AT24" i="13"/>
  <c r="Z24" i="13"/>
  <c r="Y24" i="13"/>
  <c r="Y26" i="13" s="1"/>
  <c r="Y32" i="13" s="1"/>
  <c r="X24" i="13"/>
  <c r="W24" i="13"/>
  <c r="V24" i="13"/>
  <c r="U24" i="13"/>
  <c r="U26" i="13" s="1"/>
  <c r="U32" i="13" s="1"/>
  <c r="T24" i="13"/>
  <c r="S24" i="13"/>
  <c r="S26" i="13" s="1"/>
  <c r="S32" i="13" s="1"/>
  <c r="R24" i="13"/>
  <c r="Q24" i="13"/>
  <c r="Q26" i="13" s="1"/>
  <c r="Q32" i="13" s="1"/>
  <c r="P24" i="13"/>
  <c r="O24" i="13"/>
  <c r="O26" i="13" s="1"/>
  <c r="O32" i="13" s="1"/>
  <c r="N24" i="13"/>
  <c r="M24" i="13"/>
  <c r="M26" i="13" s="1"/>
  <c r="M32" i="13" s="1"/>
  <c r="L24" i="13"/>
  <c r="K24" i="13"/>
  <c r="K26" i="13" s="1"/>
  <c r="K32" i="13" s="1"/>
  <c r="J24" i="13"/>
  <c r="I24" i="13"/>
  <c r="I26" i="13" s="1"/>
  <c r="I32" i="13" s="1"/>
  <c r="H24" i="13"/>
  <c r="G24" i="13"/>
  <c r="G26" i="13" s="1"/>
  <c r="G32" i="13" s="1"/>
  <c r="F24" i="13"/>
  <c r="E24" i="13"/>
  <c r="E26" i="13" s="1"/>
  <c r="E22" i="13"/>
  <c r="AS20" i="13"/>
  <c r="AU19" i="13"/>
  <c r="E18" i="13"/>
  <c r="AV16" i="13"/>
  <c r="AT16" i="13"/>
  <c r="AV15" i="13"/>
  <c r="AT15" i="13"/>
  <c r="AV14" i="13"/>
  <c r="AV13" i="13"/>
  <c r="AV12" i="13"/>
  <c r="AV19" i="13" s="1"/>
  <c r="AT12" i="13"/>
  <c r="AJ10" i="13"/>
  <c r="AK10" i="13" s="1"/>
  <c r="AL10" i="13" s="1"/>
  <c r="AM10" i="13" s="1"/>
  <c r="AN10" i="13" s="1"/>
  <c r="AI10" i="13"/>
  <c r="Z8" i="13"/>
  <c r="Z26" i="13" s="1"/>
  <c r="Z32" i="13" s="1"/>
  <c r="Y8" i="13"/>
  <c r="X8" i="13"/>
  <c r="V8" i="13"/>
  <c r="V26" i="13" s="1"/>
  <c r="V32" i="13" s="1"/>
  <c r="T8" i="13"/>
  <c r="R8" i="13"/>
  <c r="R26" i="13" s="1"/>
  <c r="R32" i="13" s="1"/>
  <c r="P8" i="13"/>
  <c r="N8" i="13"/>
  <c r="N26" i="13" s="1"/>
  <c r="N32" i="13" s="1"/>
  <c r="L8" i="13"/>
  <c r="J8" i="13"/>
  <c r="J26" i="13" s="1"/>
  <c r="J32" i="13" s="1"/>
  <c r="H8" i="13"/>
  <c r="E8" i="13"/>
  <c r="W4" i="13"/>
  <c r="V4" i="13"/>
  <c r="U4" i="13"/>
  <c r="U8" i="13" s="1"/>
  <c r="T4" i="13"/>
  <c r="S4" i="13"/>
  <c r="S8" i="13" s="1"/>
  <c r="R4" i="13"/>
  <c r="Q4" i="13"/>
  <c r="Q8" i="13" s="1"/>
  <c r="P4" i="13"/>
  <c r="O4" i="13"/>
  <c r="O8" i="13" s="1"/>
  <c r="N4" i="13"/>
  <c r="M4" i="13"/>
  <c r="M8" i="13" s="1"/>
  <c r="L4" i="13"/>
  <c r="K4" i="13"/>
  <c r="K8" i="13" s="1"/>
  <c r="J4" i="13"/>
  <c r="I4" i="13"/>
  <c r="I8" i="13" s="1"/>
  <c r="H4" i="13"/>
  <c r="G4" i="13"/>
  <c r="G8" i="13" s="1"/>
  <c r="AJ2" i="13"/>
  <c r="AK2" i="13" s="1"/>
  <c r="AL2" i="13" s="1"/>
  <c r="AM2" i="13" s="1"/>
  <c r="AN2" i="13" s="1"/>
  <c r="AI2" i="13"/>
  <c r="F4" i="13" l="1"/>
  <c r="F8" i="13" s="1"/>
  <c r="F26" i="13" s="1"/>
  <c r="W8" i="13"/>
  <c r="W26" i="13" s="1"/>
  <c r="W32" i="13" l="1"/>
  <c r="AT13" i="13"/>
  <c r="AT19" i="13" s="1"/>
  <c r="AT14" i="13"/>
  <c r="F32" i="13"/>
  <c r="F31" i="13"/>
  <c r="D3" i="12" l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X5" i="12"/>
  <c r="Y5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E4" i="11" l="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3" i="11"/>
  <c r="B6" i="11" l="1"/>
  <c r="B5" i="11" s="1"/>
  <c r="B4" i="11" s="1"/>
  <c r="R73" i="1" l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G153" i="1" l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E114" i="1" l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F129" i="1" l="1"/>
  <c r="F130" i="1"/>
  <c r="F131" i="1"/>
  <c r="F132" i="1"/>
  <c r="H114" i="1"/>
  <c r="J114" i="1" s="1"/>
  <c r="C169" i="1"/>
  <c r="C170" i="1"/>
  <c r="C168" i="1"/>
  <c r="F168" i="1"/>
  <c r="D170" i="1"/>
  <c r="F170" i="1" s="1"/>
  <c r="D169" i="1"/>
  <c r="F169" i="1" s="1"/>
  <c r="D168" i="1"/>
  <c r="H117" i="1"/>
  <c r="J117" i="1" s="1"/>
  <c r="H116" i="1"/>
  <c r="J116" i="1" s="1"/>
  <c r="H115" i="1"/>
  <c r="J115" i="1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AH13" i="1" l="1"/>
  <c r="AC13" i="1"/>
  <c r="R13" i="1"/>
  <c r="R74" i="1" s="1"/>
  <c r="X13" i="1"/>
  <c r="Q13" i="1" l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73" i="1"/>
  <c r="D73" i="1"/>
  <c r="E73" i="1"/>
  <c r="E74" i="1" s="1"/>
  <c r="F73" i="1"/>
  <c r="F74" i="1" s="1"/>
  <c r="G73" i="1"/>
  <c r="G74" i="1" s="1"/>
  <c r="H73" i="1"/>
  <c r="I73" i="1"/>
  <c r="I74" i="1" s="1"/>
  <c r="J73" i="1"/>
  <c r="J74" i="1" s="1"/>
  <c r="K73" i="1"/>
  <c r="K74" i="1" s="1"/>
  <c r="L73" i="1"/>
  <c r="L74" i="1" s="1"/>
  <c r="M73" i="1"/>
  <c r="M74" i="1" s="1"/>
  <c r="N73" i="1"/>
  <c r="N74" i="1" s="1"/>
  <c r="O73" i="1"/>
  <c r="O74" i="1" s="1"/>
  <c r="P73" i="1"/>
  <c r="P74" i="1" s="1"/>
  <c r="Q73" i="1"/>
  <c r="Q74" i="1" s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74" i="1" l="1"/>
  <c r="H74" i="1"/>
  <c r="D74" i="1"/>
</calcChain>
</file>

<file path=xl/sharedStrings.xml><?xml version="1.0" encoding="utf-8"?>
<sst xmlns="http://schemas.openxmlformats.org/spreadsheetml/2006/main" count="139" uniqueCount="80">
  <si>
    <t>Región/Año</t>
  </si>
  <si>
    <t>Arica y Parinacota (15)</t>
  </si>
  <si>
    <t>-</t>
  </si>
  <si>
    <t>Tarapacá (01)</t>
  </si>
  <si>
    <t>Antofagasta (02)</t>
  </si>
  <si>
    <t>Atacama (03)</t>
  </si>
  <si>
    <t>Coquimbo (04)</t>
  </si>
  <si>
    <t>Valparaíso (05)</t>
  </si>
  <si>
    <t>Metropolitana (13)</t>
  </si>
  <si>
    <t>Lib. Gral. B. O'Higgins (06)</t>
  </si>
  <si>
    <t>Total Cu fino</t>
  </si>
  <si>
    <t>Año</t>
  </si>
  <si>
    <t>Grandes</t>
  </si>
  <si>
    <t>Medianas</t>
  </si>
  <si>
    <t>Pequeñas</t>
  </si>
  <si>
    <t>[miles Ton]</t>
  </si>
  <si>
    <t xml:space="preserve">PRODUCCIÓN </t>
  </si>
  <si>
    <t>CONSUMO TOTAL ACÍDO</t>
  </si>
  <si>
    <t>Otros</t>
  </si>
  <si>
    <t>Relación</t>
  </si>
  <si>
    <t>Produccion Catodo</t>
  </si>
  <si>
    <t>Consumo Acido</t>
  </si>
  <si>
    <t>Produccion de acido</t>
  </si>
  <si>
    <t>Proyeccion</t>
  </si>
  <si>
    <t>Dato</t>
  </si>
  <si>
    <t>Capacidad maxima de produccion  Chile</t>
  </si>
  <si>
    <t>Produccion de Acido</t>
  </si>
  <si>
    <t>IMPORTACIONES</t>
  </si>
  <si>
    <t>Relación
Acido V/S Cu</t>
  </si>
  <si>
    <t>Consumo Acido
ton</t>
  </si>
  <si>
    <t>LEYES
Promedios</t>
  </si>
  <si>
    <t>Produccion Catodo
ton</t>
  </si>
  <si>
    <t>PRODUCCION + IMPORTACION - EXPORTACION 
DEL ACIDO SULFURICO [miles Ton]</t>
  </si>
  <si>
    <t>Producción y consumo aparente de ácido sulfúrico en Chile</t>
  </si>
  <si>
    <t>PRODUCCIÓN  [miles Ton]</t>
  </si>
  <si>
    <t>más IMPORTACIONES [miles Ton]</t>
  </si>
  <si>
    <t>menos EXPORTACIONES [miles Ton]</t>
  </si>
  <si>
    <t>Cobre de exportacion ( Miles de toneladas de cobre fino )</t>
  </si>
  <si>
    <t>Región</t>
  </si>
  <si>
    <t>Minería Estatal (1)</t>
  </si>
  <si>
    <t>División Chuquicamata(2)</t>
  </si>
  <si>
    <t>II</t>
  </si>
  <si>
    <t>termino</t>
  </si>
  <si>
    <t>RadomiroTomic(3)</t>
  </si>
  <si>
    <t>Minera Gaby</t>
  </si>
  <si>
    <t>División Salvador</t>
  </si>
  <si>
    <t>III</t>
  </si>
  <si>
    <t>Total Estatal</t>
  </si>
  <si>
    <t>Quebrada Blanca</t>
  </si>
  <si>
    <t>I</t>
  </si>
  <si>
    <t>Cerro Colorado</t>
  </si>
  <si>
    <t>Collahuasi</t>
  </si>
  <si>
    <t>Escondida</t>
  </si>
  <si>
    <t>El Abra</t>
  </si>
  <si>
    <t>Lomas Bayas</t>
  </si>
  <si>
    <t>Zaldivar</t>
  </si>
  <si>
    <t>Michilla    (43,1 kg/ton Cu)</t>
  </si>
  <si>
    <t>Centinela = El Tesoro + Esperanza</t>
  </si>
  <si>
    <t>Spence</t>
  </si>
  <si>
    <t xml:space="preserve">Franke </t>
  </si>
  <si>
    <t>Caserones</t>
  </si>
  <si>
    <t>Total Privada</t>
  </si>
  <si>
    <t>Total Nacional</t>
  </si>
  <si>
    <t xml:space="preserve">   Cátodos SX-EW </t>
  </si>
  <si>
    <t>HALDEMAN - Sagasca</t>
  </si>
  <si>
    <t>Anglo American Norte Mantos Blanco</t>
  </si>
  <si>
    <t>Mantos de la Luna</t>
  </si>
  <si>
    <t>Anglo American Norte Manto verde</t>
  </si>
  <si>
    <t>PUCOBRE - Punta del Cobre</t>
  </si>
  <si>
    <t>Termino</t>
  </si>
  <si>
    <t>Cemin Dos Amigo</t>
  </si>
  <si>
    <t>Carmen de Andacollo</t>
  </si>
  <si>
    <t>IV</t>
  </si>
  <si>
    <t>VECCHIOLA - Tres Valles</t>
  </si>
  <si>
    <t>Anglo American Sur-El soldado</t>
  </si>
  <si>
    <t>V</t>
  </si>
  <si>
    <t>Anglo American Sur - Los Bronces</t>
  </si>
  <si>
    <t>RM</t>
  </si>
  <si>
    <t>http://www.sonami.cl/index.php?option=com_content&amp;view=article&amp;id=256&amp;Itemid=122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</si>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</sst>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164" formatCode="_-* #,##0.00_-;\-* #,##0.00_-;_-* &quot;-&quot;??_-;_-@_-"/>
    <numFmt numFmtId="165" formatCode="_-* #,##0_-;\-* #,##0_-;_-* &quot;-&quot;??_-;_-@_-"/>
    <numFmt numFmtId="166" formatCode="#,##0.00_ ;\-#,##0.00\ "/>
    <numFmt numFmtId="167" formatCode="#,##0.0000"/>
    <numFmt numFmtId="168" formatCode="_ * #,##0.0_ ;_ * \-#,##0.0_ ;_ * &quot;-&quot;_ ;_ @_ "/>
    <numFmt numFmtId="169" formatCode="#,##0.0"/>
    <numFmt numFmtId="170" formatCode="_ * #,##0.00_ ;_ * \-#,##0.00_ ;_ * &quot;-&quot;_ ;_ @_ "/>
    <numFmt numFmtId="171" formatCode="0_ ;\-0\ "/>
    <numFmt numFmtId="172" formatCode="_-* #,##0.0_-;\-* #,##0.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1">
      <left style="medium">
        <color rgb="FFCCCCCC"/>
      </left>
      <right/>
      <top style="medium">
        <color rgb="FFCCCCCC"/>
      </top>
      <bottom style="medium">
        <color rgb="FFCCCCCC"/>
      </bottom>
      <diagonal style="medium">
        <color rgb="FFCCCCCC"/>
      </diagonal>
    </border>
    <border diagonalUp="1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 style="medium">
        <color rgb="FFCCCCCC"/>
      </diagonal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9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/>
    <xf numFmtId="0" fontId="0" fillId="3" borderId="1" xfId="0" applyFill="1" applyBorder="1"/>
    <xf numFmtId="165" fontId="0" fillId="3" borderId="1" xfId="1" applyNumberFormat="1" applyFont="1" applyFill="1" applyBorder="1"/>
    <xf numFmtId="0" fontId="0" fillId="3" borderId="0" xfId="0" applyFill="1"/>
    <xf numFmtId="165" fontId="2" fillId="3" borderId="1" xfId="1" applyNumberFormat="1" applyFont="1" applyFill="1" applyBorder="1"/>
    <xf numFmtId="0" fontId="0" fillId="3" borderId="2" xfId="0" applyFill="1" applyBorder="1"/>
    <xf numFmtId="0" fontId="0" fillId="3" borderId="0" xfId="0" applyFill="1" applyBorder="1"/>
    <xf numFmtId="165" fontId="0" fillId="3" borderId="2" xfId="1" applyNumberFormat="1" applyFont="1" applyFill="1" applyBorder="1"/>
    <xf numFmtId="0" fontId="0" fillId="3" borderId="3" xfId="0" applyFill="1" applyBorder="1"/>
    <xf numFmtId="165" fontId="0" fillId="3" borderId="3" xfId="1" applyNumberFormat="1" applyFont="1" applyFill="1" applyBorder="1"/>
    <xf numFmtId="0" fontId="0" fillId="2" borderId="1" xfId="0" applyFill="1" applyBorder="1"/>
    <xf numFmtId="165" fontId="0" fillId="2" borderId="1" xfId="1" applyNumberFormat="1" applyFont="1" applyFill="1" applyBorder="1"/>
    <xf numFmtId="0" fontId="2" fillId="3" borderId="1" xfId="0" applyFont="1" applyFill="1" applyBorder="1"/>
    <xf numFmtId="164" fontId="0" fillId="3" borderId="0" xfId="1" applyNumberFormat="1" applyFont="1" applyFill="1"/>
    <xf numFmtId="165" fontId="0" fillId="3" borderId="0" xfId="1" applyNumberFormat="1" applyFon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5" fontId="2" fillId="4" borderId="1" xfId="1" applyNumberFormat="1" applyFont="1" applyFill="1" applyBorder="1"/>
    <xf numFmtId="166" fontId="0" fillId="3" borderId="0" xfId="0" applyNumberFormat="1" applyFill="1"/>
    <xf numFmtId="165" fontId="2" fillId="3" borderId="2" xfId="1" applyNumberFormat="1" applyFont="1" applyFill="1" applyBorder="1"/>
    <xf numFmtId="165" fontId="0" fillId="4" borderId="2" xfId="1" applyNumberFormat="1" applyFont="1" applyFill="1" applyBorder="1"/>
    <xf numFmtId="4" fontId="0" fillId="3" borderId="0" xfId="0" applyNumberFormat="1" applyFill="1"/>
    <xf numFmtId="3" fontId="0" fillId="3" borderId="0" xfId="0" applyNumberFormat="1" applyFill="1"/>
    <xf numFmtId="167" fontId="0" fillId="3" borderId="0" xfId="0" applyNumberFormat="1" applyFill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5" borderId="0" xfId="0" applyFill="1"/>
    <xf numFmtId="2" fontId="0" fillId="5" borderId="1" xfId="0" applyNumberFormat="1" applyFill="1" applyBorder="1"/>
    <xf numFmtId="4" fontId="0" fillId="4" borderId="1" xfId="0" applyNumberFormat="1" applyFill="1" applyBorder="1"/>
    <xf numFmtId="0" fontId="0" fillId="4" borderId="0" xfId="0" applyFill="1"/>
    <xf numFmtId="3" fontId="2" fillId="4" borderId="1" xfId="0" applyNumberFormat="1" applyFont="1" applyFill="1" applyBorder="1"/>
    <xf numFmtId="3" fontId="3" fillId="4" borderId="1" xfId="0" applyNumberFormat="1" applyFont="1" applyFill="1" applyBorder="1"/>
    <xf numFmtId="4" fontId="0" fillId="5" borderId="0" xfId="0" applyNumberFormat="1" applyFill="1"/>
    <xf numFmtId="3" fontId="0" fillId="5" borderId="0" xfId="0" applyNumberFormat="1" applyFill="1"/>
    <xf numFmtId="4" fontId="0" fillId="4" borderId="0" xfId="0" applyNumberFormat="1" applyFill="1"/>
    <xf numFmtId="3" fontId="0" fillId="4" borderId="0" xfId="0" applyNumberFormat="1" applyFill="1"/>
    <xf numFmtId="0" fontId="0" fillId="3" borderId="0" xfId="0" applyFill="1" applyAlignment="1">
      <alignment wrapText="1"/>
    </xf>
    <xf numFmtId="3" fontId="3" fillId="3" borderId="0" xfId="0" applyNumberFormat="1" applyFont="1" applyFill="1"/>
    <xf numFmtId="165" fontId="0" fillId="3" borderId="0" xfId="1" applyNumberFormat="1" applyFont="1" applyFill="1"/>
    <xf numFmtId="0" fontId="2" fillId="3" borderId="0" xfId="0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168" fontId="0" fillId="0" borderId="11" xfId="2" applyNumberFormat="1" applyFont="1" applyBorder="1" applyAlignment="1"/>
    <xf numFmtId="41" fontId="0" fillId="0" borderId="11" xfId="2" applyFont="1" applyBorder="1"/>
    <xf numFmtId="169" fontId="10" fillId="3" borderId="0" xfId="3" applyNumberFormat="1" applyFont="1" applyFill="1" applyBorder="1"/>
    <xf numFmtId="0" fontId="0" fillId="0" borderId="0" xfId="0" applyAlignment="1">
      <alignment horizontal="center"/>
    </xf>
    <xf numFmtId="170" fontId="0" fillId="0" borderId="12" xfId="2" applyNumberFormat="1" applyFont="1" applyBorder="1"/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165" fontId="7" fillId="0" borderId="11" xfId="1" applyNumberFormat="1" applyFont="1" applyBorder="1" applyAlignment="1">
      <alignment vertical="center" wrapText="1"/>
    </xf>
    <xf numFmtId="165" fontId="7" fillId="0" borderId="13" xfId="1" applyNumberFormat="1" applyFont="1" applyBorder="1" applyAlignment="1">
      <alignment vertical="center" wrapText="1"/>
    </xf>
    <xf numFmtId="165" fontId="7" fillId="0" borderId="14" xfId="1" applyNumberFormat="1" applyFont="1" applyBorder="1" applyAlignment="1">
      <alignment vertical="center" wrapText="1"/>
    </xf>
    <xf numFmtId="165" fontId="8" fillId="0" borderId="17" xfId="1" applyNumberFormat="1" applyFont="1" applyBorder="1" applyAlignment="1">
      <alignment vertical="center" wrapText="1"/>
    </xf>
    <xf numFmtId="165" fontId="8" fillId="0" borderId="18" xfId="1" applyNumberFormat="1" applyFont="1" applyBorder="1" applyAlignment="1">
      <alignment vertical="center" wrapText="1"/>
    </xf>
    <xf numFmtId="165" fontId="8" fillId="0" borderId="19" xfId="1" applyNumberFormat="1" applyFont="1" applyBorder="1" applyAlignment="1">
      <alignment vertical="center" wrapText="1"/>
    </xf>
    <xf numFmtId="41" fontId="0" fillId="0" borderId="22" xfId="2" applyFont="1" applyBorder="1"/>
    <xf numFmtId="41" fontId="0" fillId="0" borderId="13" xfId="2" applyFont="1" applyBorder="1"/>
    <xf numFmtId="41" fontId="6" fillId="3" borderId="13" xfId="2" applyFont="1" applyFill="1" applyBorder="1" applyAlignment="1">
      <alignment horizontal="center"/>
    </xf>
    <xf numFmtId="41" fontId="6" fillId="3" borderId="14" xfId="2" applyFont="1" applyFill="1" applyBorder="1" applyAlignment="1">
      <alignment horizontal="center"/>
    </xf>
    <xf numFmtId="168" fontId="0" fillId="0" borderId="22" xfId="2" applyNumberFormat="1" applyFont="1" applyBorder="1" applyAlignment="1"/>
    <xf numFmtId="168" fontId="0" fillId="0" borderId="13" xfId="2" applyNumberFormat="1" applyFont="1" applyBorder="1" applyAlignment="1"/>
    <xf numFmtId="168" fontId="0" fillId="0" borderId="14" xfId="2" applyNumberFormat="1" applyFont="1" applyBorder="1" applyAlignment="1"/>
    <xf numFmtId="41" fontId="0" fillId="0" borderId="14" xfId="2" applyFont="1" applyBorder="1"/>
    <xf numFmtId="170" fontId="0" fillId="0" borderId="13" xfId="2" applyNumberFormat="1" applyFont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165" fontId="0" fillId="3" borderId="1" xfId="1" applyNumberFormat="1" applyFont="1" applyFill="1" applyBorder="1" applyAlignment="1">
      <alignment vertical="center"/>
    </xf>
    <xf numFmtId="171" fontId="0" fillId="6" borderId="1" xfId="1" applyNumberFormat="1" applyFont="1" applyFill="1" applyBorder="1"/>
    <xf numFmtId="0" fontId="0" fillId="3" borderId="23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/>
    <xf numFmtId="165" fontId="0" fillId="3" borderId="1" xfId="1" applyNumberFormat="1" applyFont="1" applyFill="1" applyBorder="1" applyAlignment="1"/>
    <xf numFmtId="41" fontId="0" fillId="3" borderId="1" xfId="2" applyFont="1" applyFill="1" applyBorder="1" applyAlignment="1"/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left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left" vertical="center" wrapText="1"/>
    </xf>
    <xf numFmtId="0" fontId="11" fillId="7" borderId="24" xfId="0" applyFont="1" applyFill="1" applyBorder="1" applyAlignment="1">
      <alignment horizontal="center" vertical="center" wrapText="1"/>
    </xf>
    <xf numFmtId="165" fontId="7" fillId="3" borderId="27" xfId="1" applyNumberFormat="1" applyFont="1" applyFill="1" applyBorder="1" applyAlignment="1">
      <alignment horizontal="center" vertical="center" wrapText="1"/>
    </xf>
    <xf numFmtId="165" fontId="7" fillId="4" borderId="24" xfId="1" applyNumberFormat="1" applyFont="1" applyFill="1" applyBorder="1" applyAlignment="1">
      <alignment horizontal="center" vertical="center" wrapText="1"/>
    </xf>
    <xf numFmtId="165" fontId="8" fillId="3" borderId="24" xfId="1" applyNumberFormat="1" applyFont="1" applyFill="1" applyBorder="1" applyAlignment="1">
      <alignment horizontal="center" vertical="center" wrapText="1"/>
    </xf>
    <xf numFmtId="165" fontId="8" fillId="3" borderId="27" xfId="1" applyNumberFormat="1" applyFont="1" applyFill="1" applyBorder="1" applyAlignment="1">
      <alignment horizontal="center" vertical="center" wrapText="1"/>
    </xf>
    <xf numFmtId="165" fontId="8" fillId="0" borderId="27" xfId="1" applyNumberFormat="1" applyFont="1" applyBorder="1" applyAlignment="1">
      <alignment horizontal="center" vertical="center" wrapText="1"/>
    </xf>
    <xf numFmtId="165" fontId="8" fillId="2" borderId="27" xfId="1" applyNumberFormat="1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left" vertical="center" wrapText="1"/>
    </xf>
    <xf numFmtId="0" fontId="12" fillId="7" borderId="27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165" fontId="7" fillId="0" borderId="30" xfId="1" applyNumberFormat="1" applyFont="1" applyBorder="1" applyAlignment="1">
      <alignment horizontal="center" vertical="center" wrapText="1"/>
    </xf>
    <xf numFmtId="165" fontId="7" fillId="4" borderId="30" xfId="1" applyNumberFormat="1" applyFont="1" applyFill="1" applyBorder="1" applyAlignment="1">
      <alignment horizontal="center" vertical="center" wrapText="1"/>
    </xf>
    <xf numFmtId="165" fontId="7" fillId="4" borderId="31" xfId="1" applyNumberFormat="1" applyFont="1" applyFill="1" applyBorder="1" applyAlignment="1">
      <alignment horizontal="center" vertical="center" wrapText="1"/>
    </xf>
    <xf numFmtId="165" fontId="8" fillId="0" borderId="31" xfId="1" applyNumberFormat="1" applyFont="1" applyBorder="1" applyAlignment="1">
      <alignment horizontal="center" vertical="center" wrapText="1"/>
    </xf>
    <xf numFmtId="165" fontId="8" fillId="2" borderId="31" xfId="1" applyNumberFormat="1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left" vertical="center" wrapText="1"/>
    </xf>
    <xf numFmtId="165" fontId="7" fillId="0" borderId="32" xfId="1" applyNumberFormat="1" applyFont="1" applyBorder="1" applyAlignment="1">
      <alignment horizontal="center" vertical="center" wrapText="1"/>
    </xf>
    <xf numFmtId="165" fontId="7" fillId="0" borderId="33" xfId="1" applyNumberFormat="1" applyFont="1" applyBorder="1" applyAlignment="1">
      <alignment horizontal="center" vertical="center" wrapText="1"/>
    </xf>
    <xf numFmtId="165" fontId="8" fillId="0" borderId="30" xfId="1" applyNumberFormat="1" applyFont="1" applyBorder="1" applyAlignment="1">
      <alignment horizontal="center" vertical="center" wrapText="1"/>
    </xf>
    <xf numFmtId="165" fontId="11" fillId="7" borderId="27" xfId="0" applyNumberFormat="1" applyFont="1" applyFill="1" applyBorder="1" applyAlignment="1">
      <alignment horizontal="center" vertical="center" wrapText="1"/>
    </xf>
    <xf numFmtId="165" fontId="11" fillId="7" borderId="27" xfId="1" applyNumberFormat="1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/>
    <xf numFmtId="0" fontId="11" fillId="4" borderId="27" xfId="0" applyFont="1" applyFill="1" applyBorder="1" applyAlignment="1">
      <alignment horizontal="left" vertical="center" wrapText="1"/>
    </xf>
    <xf numFmtId="165" fontId="11" fillId="3" borderId="27" xfId="1" applyNumberFormat="1" applyFont="1" applyFill="1" applyBorder="1" applyAlignment="1">
      <alignment horizontal="left" vertical="center" wrapText="1"/>
    </xf>
    <xf numFmtId="164" fontId="0" fillId="3" borderId="0" xfId="1" applyFont="1" applyFill="1"/>
    <xf numFmtId="165" fontId="0" fillId="3" borderId="0" xfId="0" applyNumberFormat="1" applyFill="1"/>
    <xf numFmtId="0" fontId="12" fillId="4" borderId="27" xfId="0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 wrapText="1"/>
    </xf>
    <xf numFmtId="165" fontId="8" fillId="4" borderId="30" xfId="1" applyNumberFormat="1" applyFont="1" applyFill="1" applyBorder="1" applyAlignment="1">
      <alignment horizontal="center" vertical="center" wrapText="1"/>
    </xf>
    <xf numFmtId="165" fontId="7" fillId="4" borderId="32" xfId="1" applyNumberFormat="1" applyFont="1" applyFill="1" applyBorder="1" applyAlignment="1">
      <alignment horizontal="center" vertical="center" wrapText="1"/>
    </xf>
    <xf numFmtId="165" fontId="7" fillId="8" borderId="31" xfId="1" applyNumberFormat="1" applyFont="1" applyFill="1" applyBorder="1" applyAlignment="1">
      <alignment horizontal="center" vertical="center" wrapText="1"/>
    </xf>
    <xf numFmtId="41" fontId="7" fillId="4" borderId="31" xfId="2" applyFont="1" applyFill="1" applyBorder="1" applyAlignment="1">
      <alignment horizontal="center" vertical="center" wrapText="1"/>
    </xf>
    <xf numFmtId="164" fontId="8" fillId="0" borderId="31" xfId="1" applyFont="1" applyBorder="1" applyAlignment="1">
      <alignment horizontal="center" vertical="center" wrapText="1"/>
    </xf>
    <xf numFmtId="165" fontId="7" fillId="3" borderId="0" xfId="0" applyNumberFormat="1" applyFont="1" applyFill="1"/>
    <xf numFmtId="0" fontId="12" fillId="4" borderId="30" xfId="0" applyFont="1" applyFill="1" applyBorder="1" applyAlignment="1">
      <alignment horizontal="center" vertical="center" wrapText="1"/>
    </xf>
    <xf numFmtId="165" fontId="11" fillId="7" borderId="27" xfId="1" applyNumberFormat="1" applyFont="1" applyFill="1" applyBorder="1" applyAlignment="1">
      <alignment horizontal="left" vertical="center" wrapText="1"/>
    </xf>
    <xf numFmtId="165" fontId="7" fillId="0" borderId="24" xfId="1" applyNumberFormat="1" applyFont="1" applyBorder="1" applyAlignment="1">
      <alignment horizontal="right" vertical="center"/>
    </xf>
    <xf numFmtId="165" fontId="11" fillId="4" borderId="27" xfId="1" applyNumberFormat="1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left" vertical="center" wrapText="1"/>
    </xf>
    <xf numFmtId="41" fontId="7" fillId="0" borderId="0" xfId="2" applyFont="1" applyFill="1" applyBorder="1" applyAlignment="1">
      <alignment horizontal="center"/>
    </xf>
    <xf numFmtId="0" fontId="12" fillId="4" borderId="2" xfId="4" applyFont="1" applyFill="1" applyBorder="1"/>
    <xf numFmtId="165" fontId="8" fillId="0" borderId="35" xfId="1" applyNumberFormat="1" applyFont="1" applyBorder="1" applyAlignment="1">
      <alignment horizontal="center" vertical="center" wrapText="1"/>
    </xf>
    <xf numFmtId="165" fontId="8" fillId="0" borderId="36" xfId="1" applyNumberFormat="1" applyFont="1" applyBorder="1" applyAlignment="1">
      <alignment horizontal="center" vertical="center" wrapText="1"/>
    </xf>
    <xf numFmtId="165" fontId="8" fillId="0" borderId="37" xfId="1" applyNumberFormat="1" applyFont="1" applyBorder="1" applyAlignment="1">
      <alignment horizontal="center" vertical="center" wrapText="1"/>
    </xf>
    <xf numFmtId="165" fontId="0" fillId="0" borderId="0" xfId="0" applyNumberFormat="1"/>
    <xf numFmtId="172" fontId="8" fillId="4" borderId="30" xfId="1" applyNumberFormat="1" applyFont="1" applyFill="1" applyBorder="1" applyAlignment="1">
      <alignment horizontal="center" vertical="center" wrapText="1"/>
    </xf>
    <xf numFmtId="165" fontId="7" fillId="0" borderId="27" xfId="1" applyNumberFormat="1" applyFont="1" applyBorder="1" applyAlignment="1">
      <alignment horizontal="center" vertical="center" wrapText="1"/>
    </xf>
    <xf numFmtId="165" fontId="7" fillId="4" borderId="27" xfId="1" applyNumberFormat="1" applyFont="1" applyFill="1" applyBorder="1" applyAlignment="1">
      <alignment horizontal="center" vertical="center" wrapText="1"/>
    </xf>
    <xf numFmtId="165" fontId="8" fillId="8" borderId="27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3" fillId="0" borderId="0" xfId="5"/>
    <xf numFmtId="168" fontId="0" fillId="0" borderId="10" xfId="2" applyNumberFormat="1" applyFont="1" applyBorder="1" applyAlignment="1"/>
    <xf numFmtId="168" fontId="0" fillId="0" borderId="12" xfId="2" applyNumberFormat="1" applyFont="1" applyBorder="1" applyAlignment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165" fontId="8" fillId="0" borderId="39" xfId="1" applyNumberFormat="1" applyFont="1" applyBorder="1" applyAlignment="1">
      <alignment vertical="center" wrapText="1"/>
    </xf>
    <xf numFmtId="0" fontId="4" fillId="3" borderId="40" xfId="0" applyFont="1" applyFill="1" applyBorder="1" applyAlignment="1">
      <alignment horizontal="center"/>
    </xf>
  </cellXfs>
  <cellStyles count="6">
    <cellStyle name="Hipervínculo" xfId="5" builtinId="8"/>
    <cellStyle name="Millares" xfId="1" builtinId="3"/>
    <cellStyle name="Millares [0]" xfId="2" builtinId="6"/>
    <cellStyle name="Normal" xfId="0" builtinId="0"/>
    <cellStyle name="Normal_PAG17 2" xfId="4"/>
    <cellStyle name="Normal_PAG17_TABLAS 50 Y 71 ANUARIO 200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MILES TON</a:t>
            </a:r>
            <a:r>
              <a:rPr lang="es-CL" baseline="0"/>
              <a:t> CONSUMIDAS ACIDO </a:t>
            </a:r>
            <a:endParaRPr lang="es-CL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OLD!$B$71</c:f>
              <c:strCache>
                <c:ptCount val="1"/>
                <c:pt idx="0">
                  <c:v>PRODUCCIÓN </c:v>
                </c:pt>
              </c:strCache>
            </c:strRef>
          </c:tx>
          <c:invertIfNegative val="0"/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OLD!$C$71:$Q$71</c:f>
              <c:numCache>
                <c:formatCode>_-* #,##0_-;\-* #,##0_-;_-* "-"??_-;_-@_-</c:formatCode>
                <c:ptCount val="15"/>
                <c:pt idx="0">
                  <c:v>3311</c:v>
                </c:pt>
                <c:pt idx="1">
                  <c:v>3602</c:v>
                </c:pt>
                <c:pt idx="2">
                  <c:v>3660</c:v>
                </c:pt>
                <c:pt idx="3">
                  <c:v>3840</c:v>
                </c:pt>
                <c:pt idx="4">
                  <c:v>4479</c:v>
                </c:pt>
                <c:pt idx="5">
                  <c:v>4618</c:v>
                </c:pt>
                <c:pt idx="6">
                  <c:v>5009</c:v>
                </c:pt>
                <c:pt idx="7">
                  <c:v>5027</c:v>
                </c:pt>
                <c:pt idx="8">
                  <c:v>4775</c:v>
                </c:pt>
                <c:pt idx="9">
                  <c:v>4858</c:v>
                </c:pt>
                <c:pt idx="10">
                  <c:v>5077</c:v>
                </c:pt>
                <c:pt idx="11">
                  <c:v>5164</c:v>
                </c:pt>
                <c:pt idx="12">
                  <c:v>5277</c:v>
                </c:pt>
                <c:pt idx="13">
                  <c:v>5245</c:v>
                </c:pt>
                <c:pt idx="14">
                  <c:v>5422</c:v>
                </c:pt>
              </c:numCache>
            </c:numRef>
          </c:val>
        </c:ser>
        <c:ser>
          <c:idx val="1"/>
          <c:order val="1"/>
          <c:tx>
            <c:strRef>
              <c:f>OLD!$B$72</c:f>
              <c:strCache>
                <c:ptCount val="1"/>
                <c:pt idx="0">
                  <c:v>IMPORTACIONES</c:v>
                </c:pt>
              </c:strCache>
            </c:strRef>
          </c:tx>
          <c:invertIfNegative val="0"/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OLD!$C$72:$Q$72</c:f>
              <c:numCache>
                <c:formatCode>_-* #,##0_-;\-* #,##0_-;_-* "-"??_-;_-@_-</c:formatCode>
                <c:ptCount val="15"/>
                <c:pt idx="0">
                  <c:v>381</c:v>
                </c:pt>
                <c:pt idx="1">
                  <c:v>529</c:v>
                </c:pt>
                <c:pt idx="2">
                  <c:v>559</c:v>
                </c:pt>
                <c:pt idx="3">
                  <c:v>522</c:v>
                </c:pt>
                <c:pt idx="4">
                  <c:v>488</c:v>
                </c:pt>
                <c:pt idx="5">
                  <c:v>340</c:v>
                </c:pt>
                <c:pt idx="6">
                  <c:v>552</c:v>
                </c:pt>
                <c:pt idx="7">
                  <c:v>607</c:v>
                </c:pt>
                <c:pt idx="8">
                  <c:v>1285</c:v>
                </c:pt>
                <c:pt idx="9">
                  <c:v>2399</c:v>
                </c:pt>
                <c:pt idx="10">
                  <c:v>1872</c:v>
                </c:pt>
                <c:pt idx="11">
                  <c:v>2644</c:v>
                </c:pt>
                <c:pt idx="12">
                  <c:v>3164</c:v>
                </c:pt>
                <c:pt idx="13">
                  <c:v>3211</c:v>
                </c:pt>
                <c:pt idx="14">
                  <c:v>2834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01648"/>
        <c:axId val="1696944"/>
        <c:axId val="0"/>
      </c:bar3DChart>
      <c:catAx>
        <c:axId val="17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1696944"/>
        <c:crosses val="autoZero"/>
        <c:auto val="1"/>
        <c:lblAlgn val="ctr"/>
        <c:lblOffset val="100"/>
        <c:tickLblSkip val="1"/>
        <c:noMultiLvlLbl val="0"/>
      </c:catAx>
      <c:valAx>
        <c:axId val="169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 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crossAx val="1701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056"/>
        <c:axId val="1692240"/>
      </c:lineChart>
      <c:dateAx>
        <c:axId val="171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240"/>
        <c:crosses val="autoZero"/>
        <c:auto val="0"/>
        <c:lblOffset val="100"/>
        <c:baseTimeUnit val="days"/>
        <c:majorUnit val="1"/>
        <c:majorTimeUnit val="days"/>
      </c:dateAx>
      <c:valAx>
        <c:axId val="169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</a:t>
                </a:r>
                <a:r>
                  <a:rPr lang="es-CL" baseline="0"/>
                  <a:t> fino</a:t>
                </a:r>
                <a:endParaRPr lang="es-CL"/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71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576"/>
        <c:axId val="1685184"/>
      </c:lineChart>
      <c:dateAx>
        <c:axId val="168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5184"/>
        <c:crosses val="autoZero"/>
        <c:auto val="0"/>
        <c:lblOffset val="100"/>
        <c:baseTimeUnit val="days"/>
        <c:majorUnit val="1"/>
        <c:majorTimeUnit val="days"/>
      </c:dateAx>
      <c:valAx>
        <c:axId val="168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8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224"/>
        <c:axId val="1693808"/>
      </c:lineChart>
      <c:dateAx>
        <c:axId val="168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3808"/>
        <c:crosses val="autoZero"/>
        <c:auto val="0"/>
        <c:lblOffset val="100"/>
        <c:baseTimeUnit val="days"/>
        <c:majorUnit val="1"/>
        <c:majorTimeUnit val="days"/>
      </c:dateAx>
      <c:valAx>
        <c:axId val="169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8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Total Cu fino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2"/>
          <c:order val="0"/>
          <c:tx>
            <c:strRef>
              <c:f>OLD!$B$4</c:f>
              <c:strCache>
                <c:ptCount val="1"/>
                <c:pt idx="0">
                  <c:v>Arica y Parinacota (15)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OLD!$C$4:$Q$4</c:f>
              <c:numCache>
                <c:formatCode>General</c:formatCode>
                <c:ptCount val="15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1"/>
          <c:tx>
            <c:strRef>
              <c:f>OLD!$B$5</c:f>
              <c:strCache>
                <c:ptCount val="1"/>
                <c:pt idx="0">
                  <c:v>Tarapacá (01)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OLD!$C$5:$Q$5</c:f>
              <c:numCache>
                <c:formatCode>_-* #,##0_-;\-* #,##0_-;_-* "-"??_-;_-@_-</c:formatCode>
                <c:ptCount val="15"/>
                <c:pt idx="0">
                  <c:v>150866.78554714104</c:v>
                </c:pt>
                <c:pt idx="1">
                  <c:v>151004.78522356719</c:v>
                </c:pt>
                <c:pt idx="2">
                  <c:v>165571.43304554812</c:v>
                </c:pt>
                <c:pt idx="3">
                  <c:v>165067.79967826148</c:v>
                </c:pt>
                <c:pt idx="4">
                  <c:v>167441.14608541472</c:v>
                </c:pt>
                <c:pt idx="5">
                  <c:v>162233.19124730738</c:v>
                </c:pt>
                <c:pt idx="6">
                  <c:v>158318.83697064655</c:v>
                </c:pt>
                <c:pt idx="7">
                  <c:v>156165.54596364562</c:v>
                </c:pt>
                <c:pt idx="8">
                  <c:v>168488.0972002284</c:v>
                </c:pt>
                <c:pt idx="9">
                  <c:v>177015.96736931268</c:v>
                </c:pt>
                <c:pt idx="10">
                  <c:v>190543.79386270975</c:v>
                </c:pt>
                <c:pt idx="11">
                  <c:v>187219.19357017663</c:v>
                </c:pt>
                <c:pt idx="12">
                  <c:v>183210.58889044492</c:v>
                </c:pt>
                <c:pt idx="13">
                  <c:v>181877.23505226456</c:v>
                </c:pt>
                <c:pt idx="14">
                  <c:v>172681</c:v>
                </c:pt>
              </c:numCache>
            </c:numRef>
          </c:val>
        </c:ser>
        <c:ser>
          <c:idx val="0"/>
          <c:order val="2"/>
          <c:tx>
            <c:strRef>
              <c:f>OLD!$B$6</c:f>
              <c:strCache>
                <c:ptCount val="1"/>
                <c:pt idx="0">
                  <c:v>Antofagasta (02)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OLD!$C$6:$Q$6</c:f>
              <c:numCache>
                <c:formatCode>_-* #,##0_-;\-* #,##0_-;_-* "-"??_-;_-@_-</c:formatCode>
                <c:ptCount val="15"/>
                <c:pt idx="0">
                  <c:v>1799596.7084041026</c:v>
                </c:pt>
                <c:pt idx="1">
                  <c:v>1801242.8213146194</c:v>
                </c:pt>
                <c:pt idx="2">
                  <c:v>1974999.3667188932</c:v>
                </c:pt>
                <c:pt idx="3">
                  <c:v>1968991.8353280404</c:v>
                </c:pt>
                <c:pt idx="4">
                  <c:v>1997302.0188235396</c:v>
                </c:pt>
                <c:pt idx="5">
                  <c:v>1935179.5420292907</c:v>
                </c:pt>
                <c:pt idx="6">
                  <c:v>1888487.6273957333</c:v>
                </c:pt>
                <c:pt idx="7">
                  <c:v>1862802.3488608883</c:v>
                </c:pt>
                <c:pt idx="8">
                  <c:v>2009790.4520677805</c:v>
                </c:pt>
                <c:pt idx="9">
                  <c:v>2111514.1484421971</c:v>
                </c:pt>
                <c:pt idx="10">
                  <c:v>2272879.2358011524</c:v>
                </c:pt>
                <c:pt idx="11">
                  <c:v>2233222.1322080465</c:v>
                </c:pt>
                <c:pt idx="12">
                  <c:v>2185405.9627259681</c:v>
                </c:pt>
                <c:pt idx="13">
                  <c:v>2169501.208279022</c:v>
                </c:pt>
                <c:pt idx="14">
                  <c:v>2059805</c:v>
                </c:pt>
              </c:numCache>
            </c:numRef>
          </c:val>
        </c:ser>
        <c:ser>
          <c:idx val="4"/>
          <c:order val="3"/>
          <c:tx>
            <c:strRef>
              <c:f>OLD!$B$7</c:f>
              <c:strCache>
                <c:ptCount val="1"/>
                <c:pt idx="0">
                  <c:v>Atacama (03)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OLD!$C$7:$Q$7</c:f>
              <c:numCache>
                <c:formatCode>_-* #,##0_-;\-* #,##0_-;_-* "-"??_-;_-@_-</c:formatCode>
                <c:ptCount val="15"/>
                <c:pt idx="0">
                  <c:v>167927.00480333614</c:v>
                </c:pt>
                <c:pt idx="1">
                  <c:v>168080.60966899313</c:v>
                </c:pt>
                <c:pt idx="2">
                  <c:v>184294.47364109955</c:v>
                </c:pt>
                <c:pt idx="3">
                  <c:v>183733.88873448313</c:v>
                </c:pt>
                <c:pt idx="4">
                  <c:v>186375.61634913739</c:v>
                </c:pt>
                <c:pt idx="5">
                  <c:v>180578.73896527386</c:v>
                </c:pt>
                <c:pt idx="6">
                  <c:v>176221.74423621609</c:v>
                </c:pt>
                <c:pt idx="7">
                  <c:v>173824.95618267439</c:v>
                </c:pt>
                <c:pt idx="8">
                  <c:v>187540.95810576438</c:v>
                </c:pt>
                <c:pt idx="9">
                  <c:v>197033.17131659447</c:v>
                </c:pt>
                <c:pt idx="10">
                  <c:v>212090.74264547759</c:v>
                </c:pt>
                <c:pt idx="11">
                  <c:v>208390.19207519363</c:v>
                </c:pt>
                <c:pt idx="12">
                  <c:v>203928.28898057481</c:v>
                </c:pt>
                <c:pt idx="13">
                  <c:v>202444.1576949732</c:v>
                </c:pt>
                <c:pt idx="14">
                  <c:v>192208</c:v>
                </c:pt>
              </c:numCache>
            </c:numRef>
          </c:val>
        </c:ser>
        <c:ser>
          <c:idx val="5"/>
          <c:order val="4"/>
          <c:tx>
            <c:strRef>
              <c:f>OLD!$B$8</c:f>
              <c:strCache>
                <c:ptCount val="1"/>
                <c:pt idx="0">
                  <c:v>Coquimbo (04)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OLD!$C$8:$Q$8</c:f>
              <c:numCache>
                <c:formatCode>_-* #,##0_-;\-* #,##0_-;_-* "-"??_-;_-@_-</c:formatCode>
                <c:ptCount val="15"/>
                <c:pt idx="0">
                  <c:v>18417.033948921613</c:v>
                </c:pt>
                <c:pt idx="1">
                  <c:v>18433.880232989133</c:v>
                </c:pt>
                <c:pt idx="2">
                  <c:v>20212.100975788617</c:v>
                </c:pt>
                <c:pt idx="3">
                  <c:v>20150.620028942107</c:v>
                </c:pt>
                <c:pt idx="4">
                  <c:v>20440.34583700895</c:v>
                </c:pt>
                <c:pt idx="5">
                  <c:v>19804.585747669051</c:v>
                </c:pt>
                <c:pt idx="6">
                  <c:v>19326.741699093873</c:v>
                </c:pt>
                <c:pt idx="7">
                  <c:v>19063.87911185162</c:v>
                </c:pt>
                <c:pt idx="8">
                  <c:v>20568.152193818743</c:v>
                </c:pt>
                <c:pt idx="9">
                  <c:v>21609.190311297196</c:v>
                </c:pt>
                <c:pt idx="10">
                  <c:v>23260.597139383724</c:v>
                </c:pt>
                <c:pt idx="11">
                  <c:v>22854.74719546055</c:v>
                </c:pt>
                <c:pt idx="12">
                  <c:v>22365.397546983044</c:v>
                </c:pt>
                <c:pt idx="13">
                  <c:v>22202.62863257531</c:v>
                </c:pt>
                <c:pt idx="14">
                  <c:v>21080</c:v>
                </c:pt>
              </c:numCache>
            </c:numRef>
          </c:val>
        </c:ser>
        <c:ser>
          <c:idx val="6"/>
          <c:order val="5"/>
          <c:tx>
            <c:strRef>
              <c:f>OLD!$B$9</c:f>
              <c:strCache>
                <c:ptCount val="1"/>
                <c:pt idx="0">
                  <c:v>Valparaíso (05)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OLD!$C$9:$Q$9</c:f>
              <c:numCache>
                <c:formatCode>_-* #,##0_-;\-* #,##0_-;_-* "-"??_-;_-@_-</c:formatCode>
                <c:ptCount val="15"/>
                <c:pt idx="0">
                  <c:v>18831.155110771178</c:v>
                </c:pt>
                <c:pt idx="1">
                  <c:v>18848.38019648234</c:v>
                </c:pt>
                <c:pt idx="2">
                  <c:v>20666.585599247999</c:v>
                </c:pt>
                <c:pt idx="3">
                  <c:v>20603.722206063478</c:v>
                </c:pt>
                <c:pt idx="4">
                  <c:v>20899.962721579261</c:v>
                </c:pt>
                <c:pt idx="5">
                  <c:v>20249.907078048327</c:v>
                </c:pt>
                <c:pt idx="6">
                  <c:v>19761.318338817331</c:v>
                </c:pt>
                <c:pt idx="7">
                  <c:v>19492.545084290789</c:v>
                </c:pt>
                <c:pt idx="8">
                  <c:v>21030.642902541229</c:v>
                </c:pt>
                <c:pt idx="9">
                  <c:v>22095.089562129968</c:v>
                </c:pt>
                <c:pt idx="10">
                  <c:v>23783.629541853737</c:v>
                </c:pt>
                <c:pt idx="11">
                  <c:v>23368.653750045381</c:v>
                </c:pt>
                <c:pt idx="12">
                  <c:v>22868.300698656189</c:v>
                </c:pt>
                <c:pt idx="13">
                  <c:v>22701.871800119934</c:v>
                </c:pt>
                <c:pt idx="14">
                  <c:v>21554</c:v>
                </c:pt>
              </c:numCache>
            </c:numRef>
          </c:val>
        </c:ser>
        <c:ser>
          <c:idx val="7"/>
          <c:order val="6"/>
          <c:tx>
            <c:strRef>
              <c:f>OLD!$B$10</c:f>
              <c:strCache>
                <c:ptCount val="1"/>
                <c:pt idx="0">
                  <c:v>Metropolitana (13)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OLD!$C$10:$Q$10</c:f>
              <c:numCache>
                <c:formatCode>_-* #,##0_-;\-* #,##0_-;_-* "-"??_-;_-@_-</c:formatCode>
                <c:ptCount val="15"/>
                <c:pt idx="0">
                  <c:v>1135.7753384059818</c:v>
                </c:pt>
                <c:pt idx="1">
                  <c:v>1136.8142458674513</c:v>
                </c:pt>
                <c:pt idx="2">
                  <c:v>1246.4768153949335</c:v>
                </c:pt>
                <c:pt idx="3">
                  <c:v>1242.6852959025016</c:v>
                </c:pt>
                <c:pt idx="4">
                  <c:v>1260.5526370071932</c:v>
                </c:pt>
                <c:pt idx="5">
                  <c:v>1221.3454208714311</c:v>
                </c:pt>
                <c:pt idx="6">
                  <c:v>1191.8768600010453</c:v>
                </c:pt>
                <c:pt idx="7">
                  <c:v>1175.6661691369595</c:v>
                </c:pt>
                <c:pt idx="8">
                  <c:v>1268.4344332051405</c:v>
                </c:pt>
                <c:pt idx="9">
                  <c:v>1332.6350761236411</c:v>
                </c:pt>
                <c:pt idx="10">
                  <c:v>1434.4770531878009</c:v>
                </c:pt>
                <c:pt idx="11">
                  <c:v>1409.4483564562956</c:v>
                </c:pt>
                <c:pt idx="12">
                  <c:v>1379.2702472048366</c:v>
                </c:pt>
                <c:pt idx="13">
                  <c:v>1369.2323160506594</c:v>
                </c:pt>
                <c:pt idx="14">
                  <c:v>1300</c:v>
                </c:pt>
              </c:numCache>
            </c:numRef>
          </c:val>
        </c:ser>
        <c:ser>
          <c:idx val="8"/>
          <c:order val="7"/>
          <c:tx>
            <c:strRef>
              <c:f>OLD!$B$11</c:f>
              <c:strCache>
                <c:ptCount val="1"/>
                <c:pt idx="0">
                  <c:v>Lib. Gral. B. O'Higgins (06)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OLD!$C$11:$Q$11</c:f>
              <c:numCache>
                <c:formatCode>_-* #,##0_-;\-* #,##0_-;_-* "-"??_-;_-@_-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684008"/>
        <c:axId val="1683616"/>
        <c:axId val="0"/>
      </c:bar3DChart>
      <c:catAx>
        <c:axId val="168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1683616"/>
        <c:crosses val="autoZero"/>
        <c:auto val="1"/>
        <c:lblAlgn val="ctr"/>
        <c:lblOffset val="100"/>
        <c:tickLblSkip val="1"/>
        <c:noMultiLvlLbl val="0"/>
      </c:catAx>
      <c:valAx>
        <c:axId val="168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84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68"/>
        <c:axId val="1692632"/>
      </c:lineChart>
      <c:dateAx>
        <c:axId val="168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632"/>
        <c:crosses val="autoZero"/>
        <c:auto val="0"/>
        <c:lblOffset val="100"/>
        <c:baseTimeUnit val="days"/>
        <c:majorUnit val="1"/>
        <c:majorTimeUnit val="days"/>
      </c:dateAx>
      <c:valAx>
        <c:axId val="169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8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28"/>
        <c:axId val="1686360"/>
      </c:lineChart>
      <c:dateAx>
        <c:axId val="168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6360"/>
        <c:crosses val="autoZero"/>
        <c:auto val="0"/>
        <c:lblOffset val="100"/>
        <c:baseTimeUnit val="days"/>
        <c:majorUnit val="1"/>
        <c:majorTimeUnit val="days"/>
      </c:dateAx>
      <c:valAx>
        <c:axId val="168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48"/>
        <c:axId val="1684400"/>
      </c:lineChart>
      <c:dateAx>
        <c:axId val="1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400"/>
        <c:crosses val="autoZero"/>
        <c:auto val="0"/>
        <c:lblOffset val="100"/>
        <c:baseTimeUnit val="days"/>
        <c:majorUnit val="1"/>
        <c:majorTimeUnit val="days"/>
      </c:dateAx>
      <c:valAx>
        <c:axId val="168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200"/>
        <c:axId val="1688712"/>
      </c:lineChart>
      <c:dateAx>
        <c:axId val="169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712"/>
        <c:crosses val="autoZero"/>
        <c:auto val="0"/>
        <c:lblOffset val="100"/>
        <c:baseTimeUnit val="days"/>
        <c:majorUnit val="1"/>
        <c:majorTimeUnit val="days"/>
      </c:dateAx>
      <c:valAx>
        <c:axId val="168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9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20"/>
        <c:axId val="1686752"/>
      </c:lineChart>
      <c:dateAx>
        <c:axId val="16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6752"/>
        <c:crosses val="autoZero"/>
        <c:auto val="0"/>
        <c:lblOffset val="100"/>
        <c:baseTimeUnit val="days"/>
        <c:majorUnit val="1"/>
        <c:majorTimeUnit val="days"/>
      </c:dateAx>
      <c:valAx>
        <c:axId val="168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RELACIÓN DE CONSUMO</a:t>
            </a:r>
            <a:r>
              <a:rPr lang="es-CL" baseline="0"/>
              <a:t> PROYECTADO DE ACIDO </a:t>
            </a:r>
            <a:endParaRPr lang="es-CL"/>
          </a:p>
        </c:rich>
      </c:tx>
      <c:layout>
        <c:manualLayout>
          <c:xMode val="edge"/>
          <c:yMode val="edge"/>
          <c:x val="0.26116392913427955"/>
          <c:y val="3.62068752516346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forward val="20"/>
            <c:dispRSqr val="1"/>
            <c:dispEq val="1"/>
            <c:trendlineLbl>
              <c:layout>
                <c:manualLayout>
                  <c:x val="0.20504965483967577"/>
                  <c:y val="-0.12676588434691943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OLD!$C$74:$Q$74</c:f>
              <c:numCache>
                <c:formatCode>#,##0.00_ ;\-#,##0.00\ </c:formatCode>
                <c:ptCount val="15"/>
                <c:pt idx="0">
                  <c:v>1.7118155203874195</c:v>
                </c:pt>
                <c:pt idx="1">
                  <c:v>1.9136098131760495</c:v>
                </c:pt>
                <c:pt idx="2">
                  <c:v>1.7824322119826399</c:v>
                </c:pt>
                <c:pt idx="3">
                  <c:v>1.8484691353854747</c:v>
                </c:pt>
                <c:pt idx="4">
                  <c:v>2.0750132604955218</c:v>
                </c:pt>
                <c:pt idx="5">
                  <c:v>2.1377440959816729</c:v>
                </c:pt>
                <c:pt idx="6">
                  <c:v>2.4570229250733506</c:v>
                </c:pt>
                <c:pt idx="7">
                  <c:v>2.5236000259582281</c:v>
                </c:pt>
                <c:pt idx="8">
                  <c:v>2.515893788575791</c:v>
                </c:pt>
                <c:pt idx="9">
                  <c:v>2.8676991308393593</c:v>
                </c:pt>
                <c:pt idx="10">
                  <c:v>2.5510349463565678</c:v>
                </c:pt>
                <c:pt idx="11">
                  <c:v>2.9172815060857928</c:v>
                </c:pt>
                <c:pt idx="12">
                  <c:v>3.2227916816258135</c:v>
                </c:pt>
                <c:pt idx="13">
                  <c:v>3.2521871940502201</c:v>
                </c:pt>
                <c:pt idx="14">
                  <c:v>3.3443678026822998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104"/>
        <c:axId val="1689496"/>
      </c:lineChart>
      <c:dateAx>
        <c:axId val="168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89496"/>
        <c:crosses val="autoZero"/>
        <c:auto val="0"/>
        <c:lblOffset val="100"/>
        <c:baseTimeUnit val="days"/>
      </c:dateAx>
      <c:valAx>
        <c:axId val="168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 baseline="0"/>
                  <a:t>Consumo de Acido v/s Producción de Catodos</a:t>
                </a:r>
              </a:p>
              <a:p>
                <a:pPr>
                  <a:defRPr/>
                </a:pPr>
                <a:endParaRPr lang="es-CL"/>
              </a:p>
            </c:rich>
          </c:tx>
          <c:layout>
            <c:manualLayout>
              <c:xMode val="edge"/>
              <c:yMode val="edge"/>
              <c:x val="1.8241039538171352E-2"/>
              <c:y val="0.12938113485588049"/>
            </c:manualLayout>
          </c:layout>
          <c:overlay val="0"/>
        </c:title>
        <c:numFmt formatCode="#,##0.00_ ;\-#,##0.00\ " sourceLinked="1"/>
        <c:majorTickMark val="none"/>
        <c:minorTickMark val="none"/>
        <c:tickLblPos val="nextTo"/>
        <c:crossAx val="168910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768"/>
        <c:axId val="1696160"/>
      </c:lineChart>
      <c:dateAx>
        <c:axId val="169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6160"/>
        <c:crosses val="autoZero"/>
        <c:auto val="0"/>
        <c:lblOffset val="100"/>
        <c:baseTimeUnit val="days"/>
        <c:majorUnit val="1"/>
        <c:majorTimeUnit val="days"/>
      </c:dateAx>
      <c:valAx>
        <c:axId val="16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9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 DE ACIDO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OLD!$B$71</c:f>
              <c:strCache>
                <c:ptCount val="1"/>
                <c:pt idx="0">
                  <c:v>PRODUCCIÓN </c:v>
                </c:pt>
              </c:strCache>
            </c:strRef>
          </c:tx>
          <c:trendline>
            <c:trendlineType val="linear"/>
            <c:forward val="17"/>
            <c:dispRSqr val="1"/>
            <c:dispEq val="1"/>
            <c:trendlineLbl>
              <c:layout>
                <c:manualLayout>
                  <c:x val="2.6159861041698446E-2"/>
                  <c:y val="-0.17115575892863136"/>
                </c:manualLayout>
              </c:layout>
              <c:numFmt formatCode="General" sourceLinked="0"/>
            </c:trendlineLbl>
          </c:trendline>
          <c:cat>
            <c:numRef>
              <c:f>OLD!$K$70:$Q$70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OLD!$K$71:$Q$71</c:f>
              <c:numCache>
                <c:formatCode>_-* #,##0_-;\-* #,##0_-;_-* "-"??_-;_-@_-</c:formatCode>
                <c:ptCount val="7"/>
                <c:pt idx="0">
                  <c:v>4775</c:v>
                </c:pt>
                <c:pt idx="1">
                  <c:v>4858</c:v>
                </c:pt>
                <c:pt idx="2">
                  <c:v>5077</c:v>
                </c:pt>
                <c:pt idx="3">
                  <c:v>5164</c:v>
                </c:pt>
                <c:pt idx="4">
                  <c:v>5277</c:v>
                </c:pt>
                <c:pt idx="5">
                  <c:v>5245</c:v>
                </c:pt>
                <c:pt idx="6">
                  <c:v>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672"/>
        <c:axId val="1682832"/>
      </c:lineChart>
      <c:dateAx>
        <c:axId val="169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832"/>
        <c:crosses val="autoZero"/>
        <c:auto val="0"/>
        <c:lblOffset val="100"/>
        <c:baseTimeUnit val="days"/>
      </c:dateAx>
      <c:valAx>
        <c:axId val="168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[k Ton]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906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OLD!$B$175</c:f>
              <c:strCache>
                <c:ptCount val="1"/>
                <c:pt idx="0">
                  <c:v>Produccion Catodo</c:v>
                </c:pt>
              </c:strCache>
            </c:strRef>
          </c:tx>
          <c:trendline>
            <c:trendlineType val="poly"/>
            <c:order val="5"/>
            <c:dispRSqr val="1"/>
            <c:dispEq val="1"/>
            <c:trendlineLbl>
              <c:numFmt formatCode="#,##0.000000000000000" sourceLinked="0"/>
            </c:trendlineLbl>
          </c:trendline>
          <c:cat>
            <c:numRef>
              <c:f>OLD!$C$174:$T$174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2020</c:v>
                </c:pt>
                <c:pt idx="16">
                  <c:v>2025</c:v>
                </c:pt>
                <c:pt idx="17">
                  <c:v>2030</c:v>
                </c:pt>
              </c:numCache>
            </c:numRef>
          </c:cat>
          <c:val>
            <c:numRef>
              <c:f>OLD!$C$175:$T$175</c:f>
              <c:numCache>
                <c:formatCode>General</c:formatCode>
                <c:ptCount val="18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  <c:pt idx="15" formatCode="#,##0">
                  <c:v>1394236.3725000001</c:v>
                </c:pt>
                <c:pt idx="16" formatCode="#,##0">
                  <c:v>1077480.7400000002</c:v>
                </c:pt>
                <c:pt idx="17" formatCode="#,##0">
                  <c:v>709901.10400000005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42976"/>
        <c:axId val="330939056"/>
      </c:lineChart>
      <c:dateAx>
        <c:axId val="3309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0939056"/>
        <c:crosses val="autoZero"/>
        <c:auto val="0"/>
        <c:lblOffset val="100"/>
        <c:baseTimeUnit val="days"/>
      </c:dateAx>
      <c:valAx>
        <c:axId val="33093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9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BALANCE</a:t>
            </a:r>
            <a:r>
              <a:rPr lang="es-CL" baseline="0"/>
              <a:t> DE CONSUMO &amp; PRODUCCIÓN DE ACIDO EN CHILE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OLD!$E$113</c:f>
              <c:strCache>
                <c:ptCount val="1"/>
                <c:pt idx="0">
                  <c:v>Consumo Acido</c:v>
                </c:pt>
              </c:strCache>
            </c:strRef>
          </c:tx>
          <c:spPr>
            <a:ln w="15875"/>
          </c:spPr>
          <c:marker>
            <c:symbol val="x"/>
            <c:size val="2"/>
          </c:marker>
          <c:cat>
            <c:numRef>
              <c:f>OLD!$B$114:$B$145</c:f>
              <c:numCache>
                <c:formatCode>General</c:formatCode>
                <c:ptCount val="3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</c:numCache>
            </c:numRef>
          </c:cat>
          <c:val>
            <c:numRef>
              <c:f>OLD!$E$114:$E$145</c:f>
              <c:numCache>
                <c:formatCode>#,##0</c:formatCode>
                <c:ptCount val="32"/>
                <c:pt idx="0">
                  <c:v>3692000</c:v>
                </c:pt>
                <c:pt idx="1">
                  <c:v>4131000</c:v>
                </c:pt>
                <c:pt idx="2">
                  <c:v>4219000</c:v>
                </c:pt>
                <c:pt idx="3">
                  <c:v>4362000</c:v>
                </c:pt>
                <c:pt idx="4">
                  <c:v>4967000</c:v>
                </c:pt>
                <c:pt idx="5">
                  <c:v>4958000</c:v>
                </c:pt>
                <c:pt idx="6">
                  <c:v>5561000</c:v>
                </c:pt>
                <c:pt idx="7">
                  <c:v>5634000</c:v>
                </c:pt>
                <c:pt idx="8">
                  <c:v>6060000</c:v>
                </c:pt>
                <c:pt idx="9">
                  <c:v>7257000</c:v>
                </c:pt>
                <c:pt idx="10">
                  <c:v>6949000</c:v>
                </c:pt>
                <c:pt idx="11">
                  <c:v>7808000</c:v>
                </c:pt>
                <c:pt idx="12">
                  <c:v>8441000</c:v>
                </c:pt>
                <c:pt idx="13">
                  <c:v>8456000</c:v>
                </c:pt>
                <c:pt idx="14">
                  <c:v>8255999.9999999991</c:v>
                </c:pt>
                <c:pt idx="15">
                  <c:v>8017511.4888000302</c:v>
                </c:pt>
                <c:pt idx="16">
                  <c:v>7920120.5820000358</c:v>
                </c:pt>
                <c:pt idx="17">
                  <c:v>7743872.4847999793</c:v>
                </c:pt>
                <c:pt idx="18">
                  <c:v>7495655.3891999871</c:v>
                </c:pt>
                <c:pt idx="19">
                  <c:v>7186120.725599994</c:v>
                </c:pt>
                <c:pt idx="20">
                  <c:v>6827875.7931999993</c:v>
                </c:pt>
                <c:pt idx="21">
                  <c:v>6434720.9920000043</c:v>
                </c:pt>
                <c:pt idx="22">
                  <c:v>6023029.810000008</c:v>
                </c:pt>
                <c:pt idx="23">
                  <c:v>5609380.4840000113</c:v>
                </c:pt>
                <c:pt idx="24">
                  <c:v>5210894.2780000139</c:v>
                </c:pt>
                <c:pt idx="25">
                  <c:v>4843336.4496000158</c:v>
                </c:pt>
                <c:pt idx="26">
                  <c:v>4521183.2100000177</c:v>
                </c:pt>
                <c:pt idx="27">
                  <c:v>4256225.5735999933</c:v>
                </c:pt>
                <c:pt idx="28">
                  <c:v>4057425.9787999964</c:v>
                </c:pt>
                <c:pt idx="29">
                  <c:v>3927443.9775999994</c:v>
                </c:pt>
                <c:pt idx="30">
                  <c:v>3864324.0116000017</c:v>
                </c:pt>
                <c:pt idx="31">
                  <c:v>3857463.2200000039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OLD!$F$113</c:f>
              <c:strCache>
                <c:ptCount val="1"/>
                <c:pt idx="0">
                  <c:v>Produccion de Acido</c:v>
                </c:pt>
              </c:strCache>
            </c:strRef>
          </c:tx>
          <c:spPr>
            <a:ln w="9525"/>
          </c:spPr>
          <c:marker>
            <c:symbol val="plus"/>
            <c:size val="3"/>
          </c:marker>
          <c:val>
            <c:numRef>
              <c:f>OLD!$F$114:$F$145</c:f>
              <c:numCache>
                <c:formatCode>#,##0</c:formatCode>
                <c:ptCount val="32"/>
                <c:pt idx="0">
                  <c:v>3311000</c:v>
                </c:pt>
                <c:pt idx="1">
                  <c:v>3602000</c:v>
                </c:pt>
                <c:pt idx="2">
                  <c:v>3660000</c:v>
                </c:pt>
                <c:pt idx="3">
                  <c:v>3840000</c:v>
                </c:pt>
                <c:pt idx="4">
                  <c:v>4479000</c:v>
                </c:pt>
                <c:pt idx="5">
                  <c:v>4618000</c:v>
                </c:pt>
                <c:pt idx="6">
                  <c:v>5009000</c:v>
                </c:pt>
                <c:pt idx="7">
                  <c:v>5027000</c:v>
                </c:pt>
                <c:pt idx="8">
                  <c:v>4775000</c:v>
                </c:pt>
                <c:pt idx="9">
                  <c:v>4858000</c:v>
                </c:pt>
                <c:pt idx="10">
                  <c:v>5077000</c:v>
                </c:pt>
                <c:pt idx="11">
                  <c:v>5164000</c:v>
                </c:pt>
                <c:pt idx="12">
                  <c:v>5277000</c:v>
                </c:pt>
                <c:pt idx="13">
                  <c:v>5245000</c:v>
                </c:pt>
                <c:pt idx="14">
                  <c:v>5422000</c:v>
                </c:pt>
                <c:pt idx="15">
                  <c:v>5538540.0000000084</c:v>
                </c:pt>
                <c:pt idx="16">
                  <c:v>5642649.9999999944</c:v>
                </c:pt>
                <c:pt idx="17">
                  <c:v>5746760.0000000093</c:v>
                </c:pt>
                <c:pt idx="18">
                  <c:v>5850869.9999999953</c:v>
                </c:pt>
                <c:pt idx="19">
                  <c:v>5850870</c:v>
                </c:pt>
                <c:pt idx="20">
                  <c:v>5850870</c:v>
                </c:pt>
                <c:pt idx="21">
                  <c:v>5850870</c:v>
                </c:pt>
                <c:pt idx="22">
                  <c:v>5850870</c:v>
                </c:pt>
                <c:pt idx="23">
                  <c:v>5850870</c:v>
                </c:pt>
                <c:pt idx="24">
                  <c:v>5850870</c:v>
                </c:pt>
                <c:pt idx="25">
                  <c:v>5850870</c:v>
                </c:pt>
                <c:pt idx="26">
                  <c:v>5850870</c:v>
                </c:pt>
                <c:pt idx="27">
                  <c:v>5850870</c:v>
                </c:pt>
                <c:pt idx="28">
                  <c:v>5850870</c:v>
                </c:pt>
                <c:pt idx="29">
                  <c:v>5850870</c:v>
                </c:pt>
                <c:pt idx="30">
                  <c:v>5850870</c:v>
                </c:pt>
                <c:pt idx="31">
                  <c:v>5850870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40232"/>
        <c:axId val="330943368"/>
      </c:lineChart>
      <c:catAx>
        <c:axId val="33094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330943368"/>
        <c:crosses val="autoZero"/>
        <c:auto val="1"/>
        <c:lblAlgn val="ctr"/>
        <c:lblOffset val="100"/>
        <c:noMultiLvlLbl val="0"/>
      </c:catAx>
      <c:valAx>
        <c:axId val="330943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ACIDO</a:t>
                </a:r>
                <a:endParaRPr lang="es-CL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30940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33963647174164363"/>
          <c:y val="4.1337070154366294E-2"/>
        </c:manualLayout>
      </c:layout>
      <c:overlay val="0"/>
      <c:txPr>
        <a:bodyPr/>
        <a:lstStyle/>
        <a:p>
          <a:pPr>
            <a:defRPr sz="1100"/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038692508217474"/>
          <c:y val="0.21225997597757906"/>
          <c:w val="0.86981109815041224"/>
          <c:h val="0.62780052493438321"/>
        </c:manualLayout>
      </c:layout>
      <c:lineChart>
        <c:grouping val="stacked"/>
        <c:varyColors val="0"/>
        <c:ser>
          <c:idx val="3"/>
          <c:order val="0"/>
          <c:tx>
            <c:strRef>
              <c:f>Acido!$B$7</c:f>
              <c:strCache>
                <c:ptCount val="1"/>
                <c:pt idx="0">
                  <c:v>PRODUCCION + IMPORTACION - EXPORTACION 
DEL ACIDO SULFURICO [miles Ton]</c:v>
                </c:pt>
              </c:strCache>
            </c:strRef>
          </c:tx>
          <c:cat>
            <c:numRef>
              <c:f>Acido!$C$3:$Y$3</c:f>
              <c:numCache>
                <c:formatCode>0_ ;\-0\ 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Acido!$C$7:$Y$7</c:f>
              <c:numCache>
                <c:formatCode>_-* #,##0_-;\-* #,##0_-;_-* "-"??_-;_-@_-</c:formatCode>
                <c:ptCount val="23"/>
                <c:pt idx="0">
                  <c:v>1848</c:v>
                </c:pt>
                <c:pt idx="1">
                  <c:v>2311</c:v>
                </c:pt>
                <c:pt idx="2">
                  <c:v>2673</c:v>
                </c:pt>
                <c:pt idx="3">
                  <c:v>3097</c:v>
                </c:pt>
                <c:pt idx="4">
                  <c:v>3559</c:v>
                </c:pt>
                <c:pt idx="5">
                  <c:v>4048</c:v>
                </c:pt>
                <c:pt idx="6">
                  <c:v>4217</c:v>
                </c:pt>
                <c:pt idx="7">
                  <c:v>4288</c:v>
                </c:pt>
                <c:pt idx="8">
                  <c:v>4805</c:v>
                </c:pt>
                <c:pt idx="9">
                  <c:v>4808</c:v>
                </c:pt>
                <c:pt idx="10">
                  <c:v>5520</c:v>
                </c:pt>
                <c:pt idx="11">
                  <c:v>5503</c:v>
                </c:pt>
                <c:pt idx="12">
                  <c:v>5936</c:v>
                </c:pt>
                <c:pt idx="13">
                  <c:v>7173</c:v>
                </c:pt>
                <c:pt idx="14">
                  <c:v>6936</c:v>
                </c:pt>
                <c:pt idx="15">
                  <c:v>7795</c:v>
                </c:pt>
                <c:pt idx="16">
                  <c:v>8378</c:v>
                </c:pt>
                <c:pt idx="17">
                  <c:v>8441</c:v>
                </c:pt>
                <c:pt idx="18">
                  <c:v>8204</c:v>
                </c:pt>
                <c:pt idx="19" formatCode="_(* #,##0_);_(* \(#,##0\);_(* &quot;-&quot;_);_(@_)">
                  <c:v>8063</c:v>
                </c:pt>
                <c:pt idx="20" formatCode="_(* #,##0_);_(* \(#,##0\);_(* &quot;-&quot;_);_(@_)">
                  <c:v>8313</c:v>
                </c:pt>
                <c:pt idx="21" formatCode="_(* #,##0_);_(* \(#,##0\);_(* &quot;-&quot;_);_(@_)">
                  <c:v>8117</c:v>
                </c:pt>
                <c:pt idx="22" formatCode="_(* #,##0_);_(* \(#,##0\);_(* &quot;-&quot;_);_(@_)">
                  <c:v>8117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39392"/>
        <c:axId val="350239784"/>
      </c:lineChart>
      <c:catAx>
        <c:axId val="350239392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crossAx val="350239784"/>
        <c:crosses val="autoZero"/>
        <c:auto val="1"/>
        <c:lblAlgn val="ctr"/>
        <c:lblOffset val="100"/>
        <c:noMultiLvlLbl val="0"/>
      </c:catAx>
      <c:valAx>
        <c:axId val="350239784"/>
        <c:scaling>
          <c:orientation val="minMax"/>
          <c:max val="10000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502393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20"/>
        <c:axId val="1699296"/>
      </c:lineChart>
      <c:dateAx>
        <c:axId val="169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9296"/>
        <c:crosses val="autoZero"/>
        <c:auto val="0"/>
        <c:lblOffset val="100"/>
        <c:baseTimeUnit val="days"/>
        <c:majorUnit val="1"/>
        <c:majorTimeUnit val="days"/>
      </c:dateAx>
      <c:valAx>
        <c:axId val="169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9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04"/>
        <c:axId val="1711448"/>
      </c:lineChart>
      <c:dateAx>
        <c:axId val="169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448"/>
        <c:crosses val="autoZero"/>
        <c:auto val="0"/>
        <c:lblOffset val="100"/>
        <c:baseTimeUnit val="days"/>
        <c:majorUnit val="1"/>
        <c:majorTimeUnit val="days"/>
      </c:dateAx>
      <c:valAx>
        <c:axId val="171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9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840"/>
        <c:axId val="1713016"/>
      </c:lineChart>
      <c:dateAx>
        <c:axId val="17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016"/>
        <c:crosses val="autoZero"/>
        <c:auto val="0"/>
        <c:lblOffset val="100"/>
        <c:baseTimeUnit val="days"/>
        <c:majorUnit val="1"/>
        <c:majorTimeUnit val="days"/>
      </c:dateAx>
      <c:valAx>
        <c:axId val="1713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7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136"/>
        <c:axId val="1713800"/>
      </c:lineChart>
      <c:dateAx>
        <c:axId val="17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800"/>
        <c:crosses val="autoZero"/>
        <c:auto val="0"/>
        <c:lblOffset val="100"/>
        <c:baseTimeUnit val="days"/>
        <c:majorUnit val="1"/>
        <c:majorTimeUnit val="days"/>
      </c:dateAx>
      <c:valAx>
        <c:axId val="171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7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Total Cu fino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OLD!$B$43</c:f>
              <c:strCache>
                <c:ptCount val="1"/>
                <c:pt idx="0">
                  <c:v>Grandes</c:v>
                </c:pt>
              </c:strCache>
            </c:strRef>
          </c:tx>
          <c:invertIfNegative val="0"/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OLD!$C$43:$Q$43</c:f>
              <c:numCache>
                <c:formatCode>_-* #,##0_-;\-* #,##0_-;_-* "-"??_-;_-@_-</c:formatCode>
                <c:ptCount val="15"/>
                <c:pt idx="0">
                  <c:v>2086131</c:v>
                </c:pt>
                <c:pt idx="1">
                  <c:v>2027669</c:v>
                </c:pt>
                <c:pt idx="2">
                  <c:v>2190902</c:v>
                </c:pt>
                <c:pt idx="3">
                  <c:v>2099143</c:v>
                </c:pt>
                <c:pt idx="4">
                  <c:v>2126141</c:v>
                </c:pt>
                <c:pt idx="5">
                  <c:v>2090147</c:v>
                </c:pt>
                <c:pt idx="6">
                  <c:v>2166346</c:v>
                </c:pt>
                <c:pt idx="7">
                  <c:v>2127240</c:v>
                </c:pt>
                <c:pt idx="8">
                  <c:v>2299849</c:v>
                </c:pt>
                <c:pt idx="9">
                  <c:v>2439573</c:v>
                </c:pt>
                <c:pt idx="10">
                  <c:v>2649910</c:v>
                </c:pt>
                <c:pt idx="11">
                  <c:v>2563456</c:v>
                </c:pt>
                <c:pt idx="12">
                  <c:v>2497644</c:v>
                </c:pt>
                <c:pt idx="13">
                  <c:v>2478229</c:v>
                </c:pt>
                <c:pt idx="14">
                  <c:v>2346744</c:v>
                </c:pt>
              </c:numCache>
            </c:numRef>
          </c:val>
        </c:ser>
        <c:ser>
          <c:idx val="2"/>
          <c:order val="1"/>
          <c:tx>
            <c:strRef>
              <c:f>OLD!$B$44</c:f>
              <c:strCache>
                <c:ptCount val="1"/>
                <c:pt idx="0">
                  <c:v>Medianas</c:v>
                </c:pt>
              </c:strCache>
            </c:strRef>
          </c:tx>
          <c:invertIfNegative val="0"/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OLD!$C$44:$Q$44</c:f>
              <c:numCache>
                <c:formatCode>_-* #,##0_-;\-* #,##0_-;_-* "-"??_-;_-@_-</c:formatCode>
                <c:ptCount val="15"/>
                <c:pt idx="0">
                  <c:v>101926</c:v>
                </c:pt>
                <c:pt idx="1">
                  <c:v>162435</c:v>
                </c:pt>
                <c:pt idx="2">
                  <c:v>210570</c:v>
                </c:pt>
                <c:pt idx="3">
                  <c:v>294958</c:v>
                </c:pt>
                <c:pt idx="4">
                  <c:v>302118</c:v>
                </c:pt>
                <c:pt idx="5">
                  <c:v>261712</c:v>
                </c:pt>
                <c:pt idx="6">
                  <c:v>128794</c:v>
                </c:pt>
                <c:pt idx="7">
                  <c:v>136208</c:v>
                </c:pt>
                <c:pt idx="8">
                  <c:v>142891</c:v>
                </c:pt>
                <c:pt idx="9">
                  <c:v>126347</c:v>
                </c:pt>
                <c:pt idx="10">
                  <c:v>115743</c:v>
                </c:pt>
                <c:pt idx="11">
                  <c:v>153942</c:v>
                </c:pt>
                <c:pt idx="12">
                  <c:v>161571</c:v>
                </c:pt>
                <c:pt idx="13">
                  <c:v>161633</c:v>
                </c:pt>
                <c:pt idx="14">
                  <c:v>159639</c:v>
                </c:pt>
              </c:numCache>
            </c:numRef>
          </c:val>
        </c:ser>
        <c:ser>
          <c:idx val="3"/>
          <c:order val="2"/>
          <c:tx>
            <c:strRef>
              <c:f>OLD!$B$45</c:f>
              <c:strCache>
                <c:ptCount val="1"/>
                <c:pt idx="0">
                  <c:v>Pequeñas</c:v>
                </c:pt>
              </c:strCache>
            </c:strRef>
          </c:tx>
          <c:invertIfNegative val="0"/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OLD!$C$45:$Q$45</c:f>
              <c:numCache>
                <c:formatCode>_-* #,##0_-;\-* #,##0_-;_-* "-"??_-;_-@_-</c:formatCode>
                <c:ptCount val="15"/>
                <c:pt idx="0">
                  <c:v>1703</c:v>
                </c:pt>
                <c:pt idx="1">
                  <c:v>1659</c:v>
                </c:pt>
                <c:pt idx="2">
                  <c:v>1719</c:v>
                </c:pt>
                <c:pt idx="3">
                  <c:v>1780</c:v>
                </c:pt>
                <c:pt idx="4">
                  <c:v>2070</c:v>
                </c:pt>
                <c:pt idx="5">
                  <c:v>2879</c:v>
                </c:pt>
                <c:pt idx="6">
                  <c:v>2783</c:v>
                </c:pt>
                <c:pt idx="7">
                  <c:v>3221</c:v>
                </c:pt>
                <c:pt idx="8">
                  <c:v>2785</c:v>
                </c:pt>
                <c:pt idx="9">
                  <c:v>3383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07528"/>
        <c:axId val="1707920"/>
        <c:axId val="0"/>
      </c:bar3DChart>
      <c:catAx>
        <c:axId val="170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1707920"/>
        <c:crosses val="autoZero"/>
        <c:auto val="1"/>
        <c:lblAlgn val="ctr"/>
        <c:lblOffset val="100"/>
        <c:tickLblSkip val="1"/>
        <c:noMultiLvlLbl val="0"/>
      </c:catAx>
      <c:valAx>
        <c:axId val="170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crossAx val="1707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096"/>
        <c:axId val="1709488"/>
      </c:lineChart>
      <c:dateAx>
        <c:axId val="170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9488"/>
        <c:crosses val="autoZero"/>
        <c:auto val="0"/>
        <c:lblOffset val="100"/>
        <c:baseTimeUnit val="days"/>
        <c:majorUnit val="1"/>
        <c:majorTimeUnit val="days"/>
      </c:dateAx>
      <c:valAx>
        <c:axId val="170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70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232"/>
        <c:axId val="1712624"/>
      </c:lineChart>
      <c:dateAx>
        <c:axId val="171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624"/>
        <c:crosses val="autoZero"/>
        <c:auto val="0"/>
        <c:lblOffset val="100"/>
        <c:baseTimeUnit val="days"/>
        <c:majorUnit val="1"/>
        <c:majorTimeUnit val="days"/>
      </c:dateAx>
      <c:valAx>
        <c:axId val="171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7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75</xdr:row>
      <xdr:rowOff>14287</xdr:rowOff>
    </xdr:from>
    <xdr:to>
      <xdr:col>5</xdr:col>
      <xdr:colOff>838200</xdr:colOff>
      <xdr:row>89</xdr:row>
      <xdr:rowOff>90487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75</xdr:row>
      <xdr:rowOff>28575</xdr:rowOff>
    </xdr:from>
    <xdr:to>
      <xdr:col>11</xdr:col>
      <xdr:colOff>428625</xdr:colOff>
      <xdr:row>89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17</xdr:col>
      <xdr:colOff>190500</xdr:colOff>
      <xdr:row>89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23</xdr:col>
      <xdr:colOff>714375</xdr:colOff>
      <xdr:row>89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30</xdr:col>
      <xdr:colOff>714375</xdr:colOff>
      <xdr:row>89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37</xdr:col>
      <xdr:colOff>742950</xdr:colOff>
      <xdr:row>89</xdr:row>
      <xdr:rowOff>76200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361950</xdr:colOff>
      <xdr:row>63</xdr:row>
      <xdr:rowOff>76200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48</xdr:row>
      <xdr:rowOff>171450</xdr:rowOff>
    </xdr:from>
    <xdr:to>
      <xdr:col>11</xdr:col>
      <xdr:colOff>285750</xdr:colOff>
      <xdr:row>63</xdr:row>
      <xdr:rowOff>57150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17</xdr:col>
      <xdr:colOff>190500</xdr:colOff>
      <xdr:row>63</xdr:row>
      <xdr:rowOff>76200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23</xdr:col>
      <xdr:colOff>714375</xdr:colOff>
      <xdr:row>63</xdr:row>
      <xdr:rowOff>76200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30</xdr:col>
      <xdr:colOff>714375</xdr:colOff>
      <xdr:row>63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742950</xdr:colOff>
      <xdr:row>63</xdr:row>
      <xdr:rowOff>76200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762000</xdr:colOff>
      <xdr:row>37</xdr:row>
      <xdr:rowOff>127000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190500</xdr:colOff>
      <xdr:row>31</xdr:row>
      <xdr:rowOff>76200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296333</xdr:colOff>
      <xdr:row>31</xdr:row>
      <xdr:rowOff>76200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24</xdr:col>
      <xdr:colOff>719666</xdr:colOff>
      <xdr:row>31</xdr:row>
      <xdr:rowOff>76200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31</xdr:col>
      <xdr:colOff>719667</xdr:colOff>
      <xdr:row>30</xdr:row>
      <xdr:rowOff>76200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39</xdr:col>
      <xdr:colOff>0</xdr:colOff>
      <xdr:row>30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952498</xdr:colOff>
      <xdr:row>92</xdr:row>
      <xdr:rowOff>40820</xdr:rowOff>
    </xdr:from>
    <xdr:to>
      <xdr:col>7</xdr:col>
      <xdr:colOff>843642</xdr:colOff>
      <xdr:row>108</xdr:row>
      <xdr:rowOff>149679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14</xdr:col>
      <xdr:colOff>653143</xdr:colOff>
      <xdr:row>107</xdr:row>
      <xdr:rowOff>122464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1782536</xdr:colOff>
      <xdr:row>176</xdr:row>
      <xdr:rowOff>159202</xdr:rowOff>
    </xdr:from>
    <xdr:to>
      <xdr:col>9</xdr:col>
      <xdr:colOff>544286</xdr:colOff>
      <xdr:row>203</xdr:row>
      <xdr:rowOff>68035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13606</xdr:colOff>
      <xdr:row>130</xdr:row>
      <xdr:rowOff>9522</xdr:rowOff>
    </xdr:from>
    <xdr:to>
      <xdr:col>15</xdr:col>
      <xdr:colOff>54429</xdr:colOff>
      <xdr:row>158</xdr:row>
      <xdr:rowOff>68035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8</xdr:row>
      <xdr:rowOff>57149</xdr:rowOff>
    </xdr:from>
    <xdr:to>
      <xdr:col>15</xdr:col>
      <xdr:colOff>381000</xdr:colOff>
      <xdr:row>23</xdr:row>
      <xdr:rowOff>9524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onami.cl/index.php?option=com_content&amp;view=article&amp;id=256&amp;Itemid=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175"/>
  <sheetViews>
    <sheetView topLeftCell="A43" zoomScale="70" zoomScaleNormal="70" workbookViewId="0">
      <selection activeCell="A72" sqref="A72"/>
    </sheetView>
  </sheetViews>
  <sheetFormatPr baseColWidth="10" defaultRowHeight="15" x14ac:dyDescent="0.25"/>
  <cols>
    <col min="1" max="1" width="11.42578125" style="3"/>
    <col min="2" max="2" width="30.5703125" style="3" bestFit="1" customWidth="1"/>
    <col min="3" max="3" width="15.42578125" style="3" bestFit="1" customWidth="1"/>
    <col min="4" max="4" width="19.85546875" style="3" customWidth="1"/>
    <col min="5" max="5" width="15.42578125" style="3" bestFit="1" customWidth="1"/>
    <col min="6" max="6" width="15.85546875" style="3" bestFit="1" customWidth="1"/>
    <col min="7" max="7" width="18.28515625" style="3" customWidth="1"/>
    <col min="8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5.42578125" style="3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3" spans="2:34" x14ac:dyDescent="0.25">
      <c r="B3" s="10" t="s">
        <v>0</v>
      </c>
      <c r="C3" s="10">
        <v>1999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B3" s="10">
        <v>2024</v>
      </c>
      <c r="AC3" s="10">
        <v>2025</v>
      </c>
      <c r="AD3" s="10">
        <v>2026</v>
      </c>
      <c r="AE3" s="10">
        <v>2027</v>
      </c>
      <c r="AF3" s="10">
        <v>2028</v>
      </c>
      <c r="AG3" s="10">
        <v>2029</v>
      </c>
      <c r="AH3" s="10">
        <v>2030</v>
      </c>
    </row>
    <row r="4" spans="2:34" x14ac:dyDescent="0.25">
      <c r="B4" s="1" t="s">
        <v>1</v>
      </c>
      <c r="C4" s="1"/>
      <c r="D4" s="1"/>
      <c r="E4" s="1"/>
      <c r="F4" s="1"/>
      <c r="G4" s="1"/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/>
      <c r="N4" s="1"/>
      <c r="O4" s="1"/>
      <c r="P4" s="1"/>
      <c r="Q4" s="1"/>
      <c r="R4" s="1">
        <v>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/>
      <c r="AE4" s="1"/>
      <c r="AF4" s="1"/>
      <c r="AG4" s="1"/>
      <c r="AH4" s="1">
        <v>0</v>
      </c>
    </row>
    <row r="5" spans="2:34" x14ac:dyDescent="0.25">
      <c r="B5" s="1" t="s">
        <v>3</v>
      </c>
      <c r="C5" s="2">
        <v>150866.78554714104</v>
      </c>
      <c r="D5" s="2">
        <v>151004.78522356719</v>
      </c>
      <c r="E5" s="2">
        <v>165571.43304554812</v>
      </c>
      <c r="F5" s="2">
        <v>165067.79967826148</v>
      </c>
      <c r="G5" s="2">
        <v>167441.14608541472</v>
      </c>
      <c r="H5" s="2">
        <v>162233.19124730738</v>
      </c>
      <c r="I5" s="2">
        <v>158318.83697064655</v>
      </c>
      <c r="J5" s="2">
        <v>156165.54596364562</v>
      </c>
      <c r="K5" s="2">
        <v>168488.0972002284</v>
      </c>
      <c r="L5" s="2">
        <v>177015.96736931268</v>
      </c>
      <c r="M5" s="2">
        <v>190543.79386270975</v>
      </c>
      <c r="N5" s="2">
        <v>187219.19357017663</v>
      </c>
      <c r="O5" s="2">
        <v>183210.58889044492</v>
      </c>
      <c r="P5" s="2">
        <v>181877.23505226456</v>
      </c>
      <c r="Q5" s="2">
        <v>172681</v>
      </c>
      <c r="R5" s="2">
        <v>179670</v>
      </c>
      <c r="S5" s="2"/>
      <c r="T5" s="2"/>
      <c r="U5" s="2"/>
      <c r="V5" s="2"/>
      <c r="W5" s="2"/>
      <c r="X5" s="2">
        <v>84467.5</v>
      </c>
      <c r="Y5" s="2"/>
      <c r="Z5" s="2"/>
      <c r="AA5" s="2"/>
      <c r="AB5" s="2"/>
      <c r="AC5" s="2">
        <v>67094</v>
      </c>
      <c r="AD5" s="2"/>
      <c r="AE5" s="2"/>
      <c r="AF5" s="2"/>
      <c r="AG5" s="2"/>
      <c r="AH5" s="2">
        <v>15840</v>
      </c>
    </row>
    <row r="6" spans="2:34" x14ac:dyDescent="0.25">
      <c r="B6" s="1" t="s">
        <v>4</v>
      </c>
      <c r="C6" s="2">
        <v>1799596.7084041026</v>
      </c>
      <c r="D6" s="2">
        <v>1801242.8213146194</v>
      </c>
      <c r="E6" s="2">
        <v>1974999.3667188932</v>
      </c>
      <c r="F6" s="2">
        <v>1968991.8353280404</v>
      </c>
      <c r="G6" s="2">
        <v>1997302.0188235396</v>
      </c>
      <c r="H6" s="2">
        <v>1935179.5420292907</v>
      </c>
      <c r="I6" s="2">
        <v>1888487.6273957333</v>
      </c>
      <c r="J6" s="2">
        <v>1862802.3488608883</v>
      </c>
      <c r="K6" s="2">
        <v>2009790.4520677805</v>
      </c>
      <c r="L6" s="2">
        <v>2111514.1484421971</v>
      </c>
      <c r="M6" s="2">
        <v>2272879.2358011524</v>
      </c>
      <c r="N6" s="2">
        <v>2233222.1322080465</v>
      </c>
      <c r="O6" s="2">
        <v>2185405.9627259681</v>
      </c>
      <c r="P6" s="2">
        <v>2169501.208279022</v>
      </c>
      <c r="Q6" s="2">
        <v>2059805</v>
      </c>
      <c r="R6" s="2">
        <v>1954483.03</v>
      </c>
      <c r="S6" s="2"/>
      <c r="T6" s="2"/>
      <c r="U6" s="2"/>
      <c r="V6" s="2"/>
      <c r="W6" s="2"/>
      <c r="X6" s="2">
        <v>1167933.8149999999</v>
      </c>
      <c r="Y6" s="2"/>
      <c r="Z6" s="2"/>
      <c r="AA6" s="2"/>
      <c r="AB6" s="2"/>
      <c r="AC6" s="2">
        <v>893331.12000000011</v>
      </c>
      <c r="AD6" s="2"/>
      <c r="AE6" s="2"/>
      <c r="AF6" s="2"/>
      <c r="AG6" s="2"/>
      <c r="AH6" s="2">
        <v>593939.10400000005</v>
      </c>
    </row>
    <row r="7" spans="2:34" x14ac:dyDescent="0.25">
      <c r="B7" s="1" t="s">
        <v>5</v>
      </c>
      <c r="C7" s="2">
        <v>167927.00480333614</v>
      </c>
      <c r="D7" s="2">
        <v>168080.60966899313</v>
      </c>
      <c r="E7" s="2">
        <v>184294.47364109955</v>
      </c>
      <c r="F7" s="2">
        <v>183733.88873448313</v>
      </c>
      <c r="G7" s="2">
        <v>186375.61634913739</v>
      </c>
      <c r="H7" s="2">
        <v>180578.73896527386</v>
      </c>
      <c r="I7" s="2">
        <v>176221.74423621609</v>
      </c>
      <c r="J7" s="2">
        <v>173824.95618267439</v>
      </c>
      <c r="K7" s="2">
        <v>187540.95810576438</v>
      </c>
      <c r="L7" s="2">
        <v>197033.17131659447</v>
      </c>
      <c r="M7" s="2">
        <v>212090.74264547759</v>
      </c>
      <c r="N7" s="2">
        <v>208390.19207519363</v>
      </c>
      <c r="O7" s="2">
        <v>203928.28898057481</v>
      </c>
      <c r="P7" s="2">
        <v>202444.1576949732</v>
      </c>
      <c r="Q7" s="2">
        <v>192208</v>
      </c>
      <c r="R7" s="2">
        <v>177813.41</v>
      </c>
      <c r="S7" s="2"/>
      <c r="T7" s="2"/>
      <c r="U7" s="2"/>
      <c r="V7" s="2"/>
      <c r="W7" s="2"/>
      <c r="X7" s="2">
        <v>57085.057500000003</v>
      </c>
      <c r="Y7" s="2"/>
      <c r="Z7" s="2"/>
      <c r="AA7" s="2"/>
      <c r="AB7" s="2"/>
      <c r="AC7" s="2">
        <v>51055.62</v>
      </c>
      <c r="AD7" s="2"/>
      <c r="AE7" s="2"/>
      <c r="AF7" s="2"/>
      <c r="AG7" s="2"/>
      <c r="AH7" s="2">
        <v>44880</v>
      </c>
    </row>
    <row r="8" spans="2:34" x14ac:dyDescent="0.25">
      <c r="B8" s="1" t="s">
        <v>6</v>
      </c>
      <c r="C8" s="2">
        <v>18417.033948921613</v>
      </c>
      <c r="D8" s="2">
        <v>18433.880232989133</v>
      </c>
      <c r="E8" s="2">
        <v>20212.100975788617</v>
      </c>
      <c r="F8" s="2">
        <v>20150.620028942107</v>
      </c>
      <c r="G8" s="2">
        <v>20440.34583700895</v>
      </c>
      <c r="H8" s="2">
        <v>19804.585747669051</v>
      </c>
      <c r="I8" s="2">
        <v>19326.741699093873</v>
      </c>
      <c r="J8" s="2">
        <v>19063.87911185162</v>
      </c>
      <c r="K8" s="2">
        <v>20568.152193818743</v>
      </c>
      <c r="L8" s="2">
        <v>21609.190311297196</v>
      </c>
      <c r="M8" s="2">
        <v>23260.597139383724</v>
      </c>
      <c r="N8" s="2">
        <v>22854.74719546055</v>
      </c>
      <c r="O8" s="2">
        <v>22365.397546983044</v>
      </c>
      <c r="P8" s="2">
        <v>22202.62863257531</v>
      </c>
      <c r="Q8" s="2">
        <v>21080</v>
      </c>
      <c r="R8" s="2">
        <v>4520</v>
      </c>
      <c r="S8" s="2"/>
      <c r="T8" s="2"/>
      <c r="U8" s="2"/>
      <c r="V8" s="2"/>
      <c r="W8" s="2"/>
      <c r="X8" s="2">
        <v>3390</v>
      </c>
      <c r="Y8" s="2"/>
      <c r="Z8" s="2"/>
      <c r="AA8" s="2"/>
      <c r="AB8" s="2"/>
      <c r="AC8" s="2">
        <v>2640</v>
      </c>
      <c r="AD8" s="2"/>
      <c r="AE8" s="2"/>
      <c r="AF8" s="2"/>
      <c r="AG8" s="2"/>
      <c r="AH8" s="2">
        <v>2376</v>
      </c>
    </row>
    <row r="9" spans="2:34" x14ac:dyDescent="0.25">
      <c r="B9" s="1" t="s">
        <v>7</v>
      </c>
      <c r="C9" s="2">
        <v>18831.155110771178</v>
      </c>
      <c r="D9" s="2">
        <v>18848.38019648234</v>
      </c>
      <c r="E9" s="2">
        <v>20666.585599247999</v>
      </c>
      <c r="F9" s="2">
        <v>20603.722206063478</v>
      </c>
      <c r="G9" s="2">
        <v>20899.962721579261</v>
      </c>
      <c r="H9" s="2">
        <v>20249.907078048327</v>
      </c>
      <c r="I9" s="2">
        <v>19761.318338817331</v>
      </c>
      <c r="J9" s="2">
        <v>19492.545084290789</v>
      </c>
      <c r="K9" s="2">
        <v>21030.642902541229</v>
      </c>
      <c r="L9" s="2">
        <v>22095.089562129968</v>
      </c>
      <c r="M9" s="2">
        <v>23783.629541853737</v>
      </c>
      <c r="N9" s="2">
        <v>23368.653750045381</v>
      </c>
      <c r="O9" s="2">
        <v>22868.300698656189</v>
      </c>
      <c r="P9" s="2">
        <v>22701.871800119934</v>
      </c>
      <c r="Q9" s="2">
        <v>21554</v>
      </c>
      <c r="R9" s="2">
        <v>7910</v>
      </c>
      <c r="S9" s="2"/>
      <c r="T9" s="2"/>
      <c r="U9" s="2"/>
      <c r="V9" s="2"/>
      <c r="W9" s="2"/>
      <c r="X9" s="2">
        <v>5932.5</v>
      </c>
      <c r="Y9" s="2"/>
      <c r="Z9" s="2"/>
      <c r="AA9" s="2"/>
      <c r="AB9" s="2"/>
      <c r="AC9" s="2">
        <v>4620</v>
      </c>
      <c r="AD9" s="2"/>
      <c r="AE9" s="2"/>
      <c r="AF9" s="2"/>
      <c r="AG9" s="2"/>
      <c r="AH9" s="2">
        <v>0</v>
      </c>
    </row>
    <row r="10" spans="2:34" x14ac:dyDescent="0.25">
      <c r="B10" s="1" t="s">
        <v>8</v>
      </c>
      <c r="C10" s="2">
        <v>1135.7753384059818</v>
      </c>
      <c r="D10" s="2">
        <v>1136.8142458674513</v>
      </c>
      <c r="E10" s="2">
        <v>1246.4768153949335</v>
      </c>
      <c r="F10" s="2">
        <v>1242.6852959025016</v>
      </c>
      <c r="G10" s="2">
        <v>1260.5526370071932</v>
      </c>
      <c r="H10" s="2">
        <v>1221.3454208714311</v>
      </c>
      <c r="I10" s="2">
        <v>1191.8768600010453</v>
      </c>
      <c r="J10" s="2">
        <v>1175.6661691369595</v>
      </c>
      <c r="K10" s="2">
        <v>1268.4344332051405</v>
      </c>
      <c r="L10" s="2">
        <v>1332.6350761236411</v>
      </c>
      <c r="M10" s="2">
        <v>1434.4770531878009</v>
      </c>
      <c r="N10" s="2">
        <v>1409.4483564562956</v>
      </c>
      <c r="O10" s="2">
        <v>1379.2702472048366</v>
      </c>
      <c r="P10" s="2">
        <v>1369.2323160506594</v>
      </c>
      <c r="Q10" s="2">
        <v>1300</v>
      </c>
      <c r="R10" s="2">
        <v>44070</v>
      </c>
      <c r="S10" s="2"/>
      <c r="T10" s="2"/>
      <c r="U10" s="2"/>
      <c r="V10" s="2"/>
      <c r="W10" s="2"/>
      <c r="X10" s="2">
        <v>33052.5</v>
      </c>
      <c r="Y10" s="2"/>
      <c r="Z10" s="2"/>
      <c r="AA10" s="2"/>
      <c r="AB10" s="2"/>
      <c r="AC10" s="2">
        <v>25740</v>
      </c>
      <c r="AD10" s="2"/>
      <c r="AE10" s="2"/>
      <c r="AF10" s="2"/>
      <c r="AG10" s="2"/>
      <c r="AH10" s="2">
        <v>23166</v>
      </c>
    </row>
    <row r="11" spans="2:34" x14ac:dyDescent="0.25">
      <c r="B11" s="1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>
        <v>0</v>
      </c>
      <c r="AD11" s="2"/>
      <c r="AE11" s="2"/>
      <c r="AF11" s="2"/>
      <c r="AG11" s="2"/>
      <c r="AH11" s="2">
        <v>0</v>
      </c>
    </row>
    <row r="12" spans="2:34" x14ac:dyDescent="0.25">
      <c r="B12" s="1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56500</v>
      </c>
      <c r="S12" s="2"/>
      <c r="T12" s="2"/>
      <c r="U12" s="2"/>
      <c r="V12" s="2"/>
      <c r="W12" s="2"/>
      <c r="X12" s="2">
        <v>42375</v>
      </c>
      <c r="Y12" s="2"/>
      <c r="Z12" s="2"/>
      <c r="AA12" s="2"/>
      <c r="AB12" s="2"/>
      <c r="AC12" s="2">
        <v>33000</v>
      </c>
      <c r="AD12" s="2"/>
      <c r="AE12" s="2"/>
      <c r="AF12" s="2"/>
      <c r="AG12" s="2"/>
      <c r="AH12" s="2">
        <v>29700</v>
      </c>
    </row>
    <row r="13" spans="2:34" x14ac:dyDescent="0.25">
      <c r="B13" s="1" t="s">
        <v>10</v>
      </c>
      <c r="C13" s="4">
        <f t="shared" ref="C13:Q13" si="0">+SUM(C5:C11)</f>
        <v>2156774.4631526787</v>
      </c>
      <c r="D13" s="4">
        <f t="shared" si="0"/>
        <v>2158747.290882519</v>
      </c>
      <c r="E13" s="4">
        <f t="shared" si="0"/>
        <v>2366990.4367959723</v>
      </c>
      <c r="F13" s="4">
        <f t="shared" si="0"/>
        <v>2359790.5512716933</v>
      </c>
      <c r="G13" s="4">
        <f t="shared" si="0"/>
        <v>2393719.6424536873</v>
      </c>
      <c r="H13" s="4">
        <f t="shared" si="0"/>
        <v>2319267.3104884606</v>
      </c>
      <c r="I13" s="4">
        <f t="shared" si="0"/>
        <v>2263308.1455005086</v>
      </c>
      <c r="J13" s="4">
        <f t="shared" si="0"/>
        <v>2232524.9413724872</v>
      </c>
      <c r="K13" s="4">
        <f t="shared" si="0"/>
        <v>2408686.7369033387</v>
      </c>
      <c r="L13" s="4">
        <f t="shared" si="0"/>
        <v>2530600.2020776556</v>
      </c>
      <c r="M13" s="4">
        <f t="shared" si="0"/>
        <v>2723992.476043765</v>
      </c>
      <c r="N13" s="4">
        <f t="shared" si="0"/>
        <v>2676464.3671553782</v>
      </c>
      <c r="O13" s="4">
        <f t="shared" si="0"/>
        <v>2619157.8090898315</v>
      </c>
      <c r="P13" s="4">
        <f t="shared" si="0"/>
        <v>2600096.3337750058</v>
      </c>
      <c r="Q13" s="4">
        <f t="shared" si="0"/>
        <v>2468628</v>
      </c>
      <c r="R13" s="4">
        <f>SUM(R4:R12)</f>
        <v>2424966.4400000004</v>
      </c>
      <c r="S13" s="4"/>
      <c r="T13" s="2"/>
      <c r="U13" s="2"/>
      <c r="V13" s="2"/>
      <c r="W13" s="2"/>
      <c r="X13" s="17">
        <f>SUM(X4:X12)</f>
        <v>1394236.3725000001</v>
      </c>
      <c r="Y13" s="2"/>
      <c r="Z13" s="2"/>
      <c r="AA13" s="2"/>
      <c r="AB13" s="2"/>
      <c r="AC13" s="17">
        <f>SUM(AC4:AC12)</f>
        <v>1077480.7400000002</v>
      </c>
      <c r="AD13" s="2"/>
      <c r="AE13" s="2"/>
      <c r="AF13" s="2"/>
      <c r="AG13" s="2"/>
      <c r="AH13" s="17">
        <f>SUM(AH4:AH12)</f>
        <v>709901.10400000005</v>
      </c>
    </row>
    <row r="14" spans="2:34" s="6" customFormat="1" x14ac:dyDescent="0.25">
      <c r="B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s="6" customFormat="1" x14ac:dyDescent="0.25"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2:34" s="6" customFormat="1" x14ac:dyDescent="0.25"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8:34" s="6" customFormat="1" x14ac:dyDescent="0.25"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8:34" s="6" customFormat="1" x14ac:dyDescent="0.25"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8:34" s="6" customFormat="1" x14ac:dyDescent="0.25"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8:34" s="6" customFormat="1" x14ac:dyDescent="0.25"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8:34" s="6" customFormat="1" x14ac:dyDescent="0.25"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8:34" s="6" customFormat="1" x14ac:dyDescent="0.25"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8:34" s="6" customFormat="1" x14ac:dyDescent="0.25"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8:34" s="6" customFormat="1" x14ac:dyDescent="0.25"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8:34" s="6" customFormat="1" x14ac:dyDescent="0.25"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8:34" s="6" customFormat="1" x14ac:dyDescent="0.25"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8:34" s="6" customFormat="1" x14ac:dyDescent="0.25"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8:34" s="6" customFormat="1" x14ac:dyDescent="0.25"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8:34" s="6" customFormat="1" x14ac:dyDescent="0.25"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8:34" s="6" customFormat="1" x14ac:dyDescent="0.25"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8:34" s="6" customFormat="1" x14ac:dyDescent="0.25"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8:34" s="6" customFormat="1" x14ac:dyDescent="0.25"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4" s="6" customFormat="1" x14ac:dyDescent="0.25"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2:34" s="6" customFormat="1" x14ac:dyDescent="0.25">
      <c r="R34" s="14"/>
      <c r="S34" s="14"/>
      <c r="T34" s="14"/>
      <c r="U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2:34" s="6" customFormat="1" x14ac:dyDescent="0.25">
      <c r="R35" s="14"/>
      <c r="S35" s="14"/>
      <c r="T35" s="14"/>
      <c r="U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2:34" s="6" customFormat="1" x14ac:dyDescent="0.25">
      <c r="R36" s="14"/>
      <c r="S36" s="14"/>
      <c r="T36" s="14"/>
      <c r="U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2:34" s="6" customFormat="1" x14ac:dyDescent="0.25">
      <c r="R37" s="14"/>
      <c r="S37" s="14"/>
      <c r="T37" s="14"/>
      <c r="U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2:34" s="6" customFormat="1" x14ac:dyDescent="0.25">
      <c r="R38" s="14"/>
      <c r="S38" s="14"/>
      <c r="T38" s="14"/>
      <c r="U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2:34" s="6" customFormat="1" x14ac:dyDescent="0.25">
      <c r="R39" s="14"/>
      <c r="S39" s="14"/>
      <c r="T39" s="14"/>
      <c r="U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2:34" s="6" customFormat="1" x14ac:dyDescent="0.25">
      <c r="R40" s="14"/>
      <c r="S40" s="14"/>
      <c r="T40" s="14"/>
      <c r="U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2:34" s="6" customFormat="1" x14ac:dyDescent="0.2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2:34" x14ac:dyDescent="0.25">
      <c r="B42" s="10" t="s">
        <v>11</v>
      </c>
      <c r="C42" s="10">
        <v>1999</v>
      </c>
      <c r="D42" s="10">
        <v>2000</v>
      </c>
      <c r="E42" s="10">
        <v>2001</v>
      </c>
      <c r="F42" s="10">
        <v>2002</v>
      </c>
      <c r="G42" s="10">
        <v>2003</v>
      </c>
      <c r="H42" s="10">
        <v>2004</v>
      </c>
      <c r="I42" s="10">
        <v>2005</v>
      </c>
      <c r="J42" s="10">
        <v>2006</v>
      </c>
      <c r="K42" s="10">
        <v>2007</v>
      </c>
      <c r="L42" s="10">
        <v>2008</v>
      </c>
      <c r="M42" s="10">
        <v>2009</v>
      </c>
      <c r="N42" s="10">
        <v>2010</v>
      </c>
      <c r="O42" s="10">
        <v>2011</v>
      </c>
      <c r="P42" s="10">
        <v>2012</v>
      </c>
      <c r="Q42" s="10">
        <v>2013</v>
      </c>
      <c r="R42" s="10">
        <v>2014</v>
      </c>
      <c r="S42" s="15">
        <v>2015</v>
      </c>
      <c r="T42" s="10">
        <v>2016</v>
      </c>
      <c r="U42" s="10">
        <v>2017</v>
      </c>
      <c r="V42" s="10">
        <v>2018</v>
      </c>
      <c r="W42" s="10">
        <v>2019</v>
      </c>
      <c r="X42" s="15">
        <v>2020</v>
      </c>
      <c r="Y42" s="10">
        <v>2021</v>
      </c>
      <c r="Z42" s="10">
        <v>2022</v>
      </c>
      <c r="AA42" s="10">
        <v>2023</v>
      </c>
      <c r="AB42" s="10">
        <v>2024</v>
      </c>
      <c r="AC42" s="15">
        <v>2025</v>
      </c>
      <c r="AD42" s="10">
        <v>2026</v>
      </c>
      <c r="AE42" s="11">
        <v>2027</v>
      </c>
      <c r="AF42" s="11">
        <v>2028</v>
      </c>
      <c r="AG42" s="11">
        <v>2029</v>
      </c>
      <c r="AH42" s="16">
        <v>2030</v>
      </c>
    </row>
    <row r="43" spans="2:34" x14ac:dyDescent="0.25">
      <c r="B43" s="1" t="s">
        <v>12</v>
      </c>
      <c r="C43" s="2">
        <v>2086131</v>
      </c>
      <c r="D43" s="2">
        <v>2027669</v>
      </c>
      <c r="E43" s="2">
        <v>2190902</v>
      </c>
      <c r="F43" s="2">
        <v>2099143</v>
      </c>
      <c r="G43" s="2">
        <v>2126141</v>
      </c>
      <c r="H43" s="2">
        <v>2090147</v>
      </c>
      <c r="I43" s="2">
        <v>2166346</v>
      </c>
      <c r="J43" s="2">
        <v>2127240</v>
      </c>
      <c r="K43" s="2">
        <v>2299849</v>
      </c>
      <c r="L43" s="2">
        <v>2439573</v>
      </c>
      <c r="M43" s="2">
        <v>2649910</v>
      </c>
      <c r="N43" s="2">
        <v>2563456</v>
      </c>
      <c r="O43" s="2">
        <v>2497644</v>
      </c>
      <c r="P43" s="2">
        <v>2478229</v>
      </c>
      <c r="Q43" s="2">
        <v>2346744</v>
      </c>
      <c r="R43" s="2"/>
      <c r="S43" s="16"/>
      <c r="T43" s="2"/>
      <c r="U43" s="2"/>
      <c r="V43" s="2"/>
      <c r="W43" s="2"/>
      <c r="X43" s="16"/>
      <c r="Y43" s="2"/>
      <c r="Z43" s="2"/>
      <c r="AA43" s="2"/>
      <c r="AB43" s="2"/>
      <c r="AC43" s="16"/>
      <c r="AD43" s="2"/>
      <c r="AE43" s="2"/>
      <c r="AF43" s="2"/>
      <c r="AG43" s="2"/>
      <c r="AH43" s="16"/>
    </row>
    <row r="44" spans="2:34" x14ac:dyDescent="0.25">
      <c r="B44" s="1" t="s">
        <v>13</v>
      </c>
      <c r="C44" s="2">
        <v>101926</v>
      </c>
      <c r="D44" s="2">
        <v>162435</v>
      </c>
      <c r="E44" s="2">
        <v>210570</v>
      </c>
      <c r="F44" s="2">
        <v>294958</v>
      </c>
      <c r="G44" s="2">
        <v>302118</v>
      </c>
      <c r="H44" s="2">
        <v>261712</v>
      </c>
      <c r="I44" s="2">
        <v>128794</v>
      </c>
      <c r="J44" s="2">
        <v>136208</v>
      </c>
      <c r="K44" s="2">
        <v>142891</v>
      </c>
      <c r="L44" s="2">
        <v>126347</v>
      </c>
      <c r="M44" s="2">
        <v>115743</v>
      </c>
      <c r="N44" s="2">
        <v>153942</v>
      </c>
      <c r="O44" s="2">
        <v>161571</v>
      </c>
      <c r="P44" s="2">
        <v>161633</v>
      </c>
      <c r="Q44" s="2">
        <v>159639</v>
      </c>
      <c r="R44" s="2"/>
      <c r="S44" s="16"/>
      <c r="T44" s="2"/>
      <c r="U44" s="2"/>
      <c r="V44" s="2"/>
      <c r="W44" s="2"/>
      <c r="X44" s="16"/>
      <c r="Y44" s="2"/>
      <c r="Z44" s="2"/>
      <c r="AA44" s="2"/>
      <c r="AB44" s="2"/>
      <c r="AC44" s="16"/>
      <c r="AD44" s="2"/>
      <c r="AE44" s="2"/>
      <c r="AF44" s="2"/>
      <c r="AG44" s="2"/>
      <c r="AH44" s="16"/>
    </row>
    <row r="45" spans="2:34" x14ac:dyDescent="0.25">
      <c r="B45" s="1" t="s">
        <v>14</v>
      </c>
      <c r="C45" s="2">
        <v>1703</v>
      </c>
      <c r="D45" s="2">
        <v>1659</v>
      </c>
      <c r="E45" s="2">
        <v>1719</v>
      </c>
      <c r="F45" s="2">
        <v>1780</v>
      </c>
      <c r="G45" s="2">
        <v>2070</v>
      </c>
      <c r="H45" s="2">
        <v>2879</v>
      </c>
      <c r="I45" s="2">
        <v>2783</v>
      </c>
      <c r="J45" s="2">
        <v>3221</v>
      </c>
      <c r="K45" s="2">
        <v>2785</v>
      </c>
      <c r="L45" s="2">
        <v>3383</v>
      </c>
      <c r="M45" s="2"/>
      <c r="N45" s="2"/>
      <c r="O45" s="2"/>
      <c r="P45" s="2"/>
      <c r="Q45" s="2"/>
      <c r="R45" s="2"/>
      <c r="S45" s="16"/>
      <c r="T45" s="2"/>
      <c r="U45" s="2"/>
      <c r="V45" s="2"/>
      <c r="W45" s="2"/>
      <c r="X45" s="16"/>
      <c r="Y45" s="2"/>
      <c r="Z45" s="2"/>
      <c r="AA45" s="2"/>
      <c r="AB45" s="2"/>
      <c r="AC45" s="16"/>
      <c r="AD45" s="2"/>
      <c r="AE45" s="2"/>
      <c r="AF45" s="2"/>
      <c r="AG45" s="2"/>
      <c r="AH45" s="16"/>
    </row>
    <row r="46" spans="2:34" x14ac:dyDescent="0.25">
      <c r="B46" s="1" t="s">
        <v>10</v>
      </c>
      <c r="C46" s="4">
        <f t="shared" ref="C46:Q46" si="1">SUM(C42:C45)</f>
        <v>2191759</v>
      </c>
      <c r="D46" s="4">
        <f t="shared" si="1"/>
        <v>2193763</v>
      </c>
      <c r="E46" s="4">
        <f t="shared" si="1"/>
        <v>2405192</v>
      </c>
      <c r="F46" s="4">
        <f t="shared" si="1"/>
        <v>2397883</v>
      </c>
      <c r="G46" s="4">
        <f t="shared" si="1"/>
        <v>2432332</v>
      </c>
      <c r="H46" s="4">
        <f t="shared" si="1"/>
        <v>2356742</v>
      </c>
      <c r="I46" s="4">
        <f t="shared" si="1"/>
        <v>2299928</v>
      </c>
      <c r="J46" s="4">
        <f t="shared" si="1"/>
        <v>2268675</v>
      </c>
      <c r="K46" s="4">
        <f t="shared" si="1"/>
        <v>2447532</v>
      </c>
      <c r="L46" s="4">
        <f t="shared" si="1"/>
        <v>2571311</v>
      </c>
      <c r="M46" s="4">
        <f t="shared" si="1"/>
        <v>2767662</v>
      </c>
      <c r="N46" s="4">
        <f t="shared" si="1"/>
        <v>2719408</v>
      </c>
      <c r="O46" s="4">
        <f t="shared" si="1"/>
        <v>2661226</v>
      </c>
      <c r="P46" s="4">
        <f t="shared" si="1"/>
        <v>2641874</v>
      </c>
      <c r="Q46" s="4">
        <f t="shared" si="1"/>
        <v>2508396</v>
      </c>
      <c r="R46" s="2"/>
      <c r="S46" s="16"/>
      <c r="T46" s="2"/>
      <c r="U46" s="2"/>
      <c r="V46" s="2"/>
      <c r="W46" s="2"/>
      <c r="X46" s="16"/>
      <c r="Y46" s="2"/>
      <c r="Z46" s="2"/>
      <c r="AA46" s="2"/>
      <c r="AB46" s="2"/>
      <c r="AC46" s="16"/>
      <c r="AD46" s="2"/>
      <c r="AE46" s="2"/>
      <c r="AF46" s="2"/>
      <c r="AG46" s="2"/>
      <c r="AH46" s="16"/>
    </row>
    <row r="47" spans="2:34" x14ac:dyDescent="0.25">
      <c r="B47" s="5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7"/>
      <c r="S47" s="20"/>
      <c r="T47" s="7"/>
      <c r="U47" s="7"/>
      <c r="V47" s="7"/>
      <c r="W47" s="7"/>
      <c r="X47" s="20"/>
      <c r="Y47" s="7"/>
      <c r="Z47" s="7"/>
      <c r="AA47" s="7"/>
      <c r="AB47" s="7"/>
      <c r="AC47" s="20"/>
      <c r="AD47" s="7"/>
      <c r="AE47" s="7"/>
      <c r="AF47" s="7"/>
      <c r="AG47" s="7"/>
      <c r="AH47" s="20"/>
    </row>
    <row r="48" spans="2:34" x14ac:dyDescent="0.25">
      <c r="B48" s="5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7"/>
      <c r="S48" s="20"/>
      <c r="T48" s="7"/>
      <c r="U48" s="7"/>
      <c r="V48" s="7"/>
      <c r="W48" s="7"/>
      <c r="X48" s="20"/>
      <c r="Y48" s="7"/>
      <c r="Z48" s="7"/>
      <c r="AA48" s="7"/>
      <c r="AB48" s="7"/>
      <c r="AC48" s="20"/>
      <c r="AD48" s="7"/>
      <c r="AE48" s="7"/>
      <c r="AF48" s="7"/>
      <c r="AG48" s="7"/>
      <c r="AH48" s="20"/>
    </row>
    <row r="49" spans="2:34" s="6" customFormat="1" x14ac:dyDescent="0.25">
      <c r="B49" s="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2:34" s="6" customFormat="1" x14ac:dyDescent="0.25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4" s="6" customFormat="1" x14ac:dyDescent="0.25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2:34" s="6" customFormat="1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4" s="6" customFormat="1" x14ac:dyDescent="0.25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s="6" customFormat="1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2:34" s="6" customFormat="1" x14ac:dyDescent="0.25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2:34" s="6" customFormat="1" x14ac:dyDescent="0.25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2:34" s="6" customFormat="1" x14ac:dyDescent="0.25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2:34" s="6" customFormat="1" x14ac:dyDescent="0.2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2:34" s="6" customFormat="1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2:34" s="6" customFormat="1" x14ac:dyDescent="0.25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2:34" s="6" customFormat="1" x14ac:dyDescent="0.25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2:34" s="6" customFormat="1" x14ac:dyDescent="0.25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2:34" s="6" customFormat="1" x14ac:dyDescent="0.25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2:34" s="6" customFormat="1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2:34" s="6" customFormat="1" x14ac:dyDescent="0.25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2:34" s="6" customFormat="1" x14ac:dyDescent="0.25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2:34" s="6" customFormat="1" x14ac:dyDescent="0.25"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2:34" s="6" customFormat="1" x14ac:dyDescent="0.25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2:34" s="6" customFormat="1" x14ac:dyDescent="0.25"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2:34" x14ac:dyDescent="0.25">
      <c r="B70" s="10" t="s">
        <v>15</v>
      </c>
      <c r="C70" s="10">
        <v>1999</v>
      </c>
      <c r="D70" s="10">
        <v>2000</v>
      </c>
      <c r="E70" s="10">
        <v>2001</v>
      </c>
      <c r="F70" s="10">
        <v>2002</v>
      </c>
      <c r="G70" s="10">
        <v>2003</v>
      </c>
      <c r="H70" s="10">
        <v>2004</v>
      </c>
      <c r="I70" s="10">
        <v>2005</v>
      </c>
      <c r="J70" s="10">
        <v>2006</v>
      </c>
      <c r="K70" s="10">
        <v>2007</v>
      </c>
      <c r="L70" s="10">
        <v>2008</v>
      </c>
      <c r="M70" s="10">
        <v>2009</v>
      </c>
      <c r="N70" s="10">
        <v>2010</v>
      </c>
      <c r="O70" s="10">
        <v>2011</v>
      </c>
      <c r="P70" s="10">
        <v>2012</v>
      </c>
      <c r="Q70" s="10">
        <v>2013</v>
      </c>
      <c r="R70" s="10">
        <v>2014</v>
      </c>
      <c r="S70" s="15">
        <v>2015</v>
      </c>
      <c r="T70" s="10">
        <v>2016</v>
      </c>
      <c r="U70" s="10">
        <v>2017</v>
      </c>
      <c r="V70" s="10">
        <v>2018</v>
      </c>
      <c r="W70" s="10">
        <v>2019</v>
      </c>
      <c r="X70" s="15">
        <v>2020</v>
      </c>
      <c r="Y70" s="10">
        <v>2021</v>
      </c>
      <c r="Z70" s="10">
        <v>2022</v>
      </c>
      <c r="AA70" s="10">
        <v>2023</v>
      </c>
      <c r="AB70" s="10">
        <v>2024</v>
      </c>
      <c r="AC70" s="15">
        <v>2025</v>
      </c>
      <c r="AD70" s="10">
        <v>2026</v>
      </c>
      <c r="AE70" s="10">
        <v>2027</v>
      </c>
      <c r="AF70" s="10">
        <v>2028</v>
      </c>
      <c r="AG70" s="10">
        <v>2029</v>
      </c>
      <c r="AH70" s="15">
        <v>2030</v>
      </c>
    </row>
    <row r="71" spans="2:34" x14ac:dyDescent="0.25">
      <c r="B71" s="1" t="s">
        <v>16</v>
      </c>
      <c r="C71" s="2">
        <v>3311</v>
      </c>
      <c r="D71" s="2">
        <v>3602</v>
      </c>
      <c r="E71" s="2">
        <v>3660</v>
      </c>
      <c r="F71" s="2">
        <v>3840</v>
      </c>
      <c r="G71" s="2">
        <v>4479</v>
      </c>
      <c r="H71" s="2">
        <v>4618</v>
      </c>
      <c r="I71" s="2">
        <v>5009</v>
      </c>
      <c r="J71" s="2">
        <v>5027</v>
      </c>
      <c r="K71" s="2">
        <v>4775</v>
      </c>
      <c r="L71" s="2">
        <v>4858</v>
      </c>
      <c r="M71" s="2">
        <v>5077</v>
      </c>
      <c r="N71" s="2">
        <v>5164</v>
      </c>
      <c r="O71" s="2">
        <v>5277</v>
      </c>
      <c r="P71" s="2">
        <v>5245</v>
      </c>
      <c r="Q71" s="2">
        <v>5422</v>
      </c>
      <c r="R71" s="2">
        <v>5741</v>
      </c>
      <c r="S71" s="16"/>
      <c r="T71" s="2"/>
      <c r="U71" s="2"/>
      <c r="V71" s="2"/>
      <c r="W71" s="2"/>
      <c r="X71" s="16"/>
      <c r="Y71" s="2"/>
      <c r="Z71" s="2"/>
      <c r="AA71" s="2"/>
      <c r="AB71" s="2"/>
      <c r="AC71" s="16"/>
      <c r="AD71" s="2"/>
      <c r="AE71" s="2"/>
      <c r="AF71" s="2"/>
      <c r="AG71" s="2"/>
      <c r="AH71" s="16"/>
    </row>
    <row r="72" spans="2:34" x14ac:dyDescent="0.25">
      <c r="B72" s="1" t="s">
        <v>27</v>
      </c>
      <c r="C72" s="2">
        <v>381</v>
      </c>
      <c r="D72" s="2">
        <v>529</v>
      </c>
      <c r="E72" s="2">
        <v>559</v>
      </c>
      <c r="F72" s="2">
        <v>522</v>
      </c>
      <c r="G72" s="2">
        <v>488</v>
      </c>
      <c r="H72" s="2">
        <v>340</v>
      </c>
      <c r="I72" s="2">
        <v>552</v>
      </c>
      <c r="J72" s="2">
        <v>607</v>
      </c>
      <c r="K72" s="2">
        <v>1285</v>
      </c>
      <c r="L72" s="2">
        <v>2399</v>
      </c>
      <c r="M72" s="2">
        <v>1872</v>
      </c>
      <c r="N72" s="2">
        <v>2644</v>
      </c>
      <c r="O72" s="2">
        <v>3164</v>
      </c>
      <c r="P72" s="2">
        <v>3211</v>
      </c>
      <c r="Q72" s="2">
        <v>2834</v>
      </c>
      <c r="R72" s="2">
        <v>2514.645</v>
      </c>
      <c r="S72" s="16"/>
      <c r="T72" s="2"/>
      <c r="U72" s="2"/>
      <c r="V72" s="2"/>
      <c r="W72" s="2"/>
      <c r="X72" s="16"/>
      <c r="Y72" s="2"/>
      <c r="Z72" s="2"/>
      <c r="AA72" s="2"/>
      <c r="AB72" s="2"/>
      <c r="AC72" s="16"/>
      <c r="AD72" s="2"/>
      <c r="AE72" s="2"/>
      <c r="AF72" s="2"/>
      <c r="AG72" s="2"/>
      <c r="AH72" s="16"/>
    </row>
    <row r="73" spans="2:34" x14ac:dyDescent="0.25">
      <c r="B73" s="12" t="s">
        <v>17</v>
      </c>
      <c r="C73" s="4">
        <f t="shared" ref="C73:R73" si="2">SUM(C71:C72)</f>
        <v>3692</v>
      </c>
      <c r="D73" s="4">
        <f t="shared" si="2"/>
        <v>4131</v>
      </c>
      <c r="E73" s="4">
        <f t="shared" si="2"/>
        <v>4219</v>
      </c>
      <c r="F73" s="4">
        <f t="shared" si="2"/>
        <v>4362</v>
      </c>
      <c r="G73" s="4">
        <f t="shared" si="2"/>
        <v>4967</v>
      </c>
      <c r="H73" s="4">
        <f t="shared" si="2"/>
        <v>4958</v>
      </c>
      <c r="I73" s="4">
        <f t="shared" si="2"/>
        <v>5561</v>
      </c>
      <c r="J73" s="4">
        <f t="shared" si="2"/>
        <v>5634</v>
      </c>
      <c r="K73" s="4">
        <f t="shared" si="2"/>
        <v>6060</v>
      </c>
      <c r="L73" s="4">
        <f t="shared" si="2"/>
        <v>7257</v>
      </c>
      <c r="M73" s="4">
        <f t="shared" si="2"/>
        <v>6949</v>
      </c>
      <c r="N73" s="4">
        <f t="shared" si="2"/>
        <v>7808</v>
      </c>
      <c r="O73" s="4">
        <f t="shared" si="2"/>
        <v>8441</v>
      </c>
      <c r="P73" s="4">
        <f t="shared" si="2"/>
        <v>8456</v>
      </c>
      <c r="Q73" s="4">
        <f t="shared" si="2"/>
        <v>8256</v>
      </c>
      <c r="R73" s="4">
        <f t="shared" si="2"/>
        <v>8255.6450000000004</v>
      </c>
      <c r="S73" s="16"/>
      <c r="T73" s="2"/>
      <c r="U73" s="2"/>
      <c r="V73" s="2"/>
      <c r="W73" s="2"/>
      <c r="X73" s="16"/>
      <c r="Y73" s="2"/>
      <c r="Z73" s="2"/>
      <c r="AA73" s="2"/>
      <c r="AB73" s="2"/>
      <c r="AC73" s="16"/>
      <c r="AD73" s="2"/>
      <c r="AE73" s="2"/>
      <c r="AF73" s="2"/>
      <c r="AG73" s="2"/>
      <c r="AH73" s="16"/>
    </row>
    <row r="74" spans="2:34" x14ac:dyDescent="0.25">
      <c r="C74" s="18">
        <f t="shared" ref="C74:R74" si="3">+C73*1000/C13</f>
        <v>1.7118155203874195</v>
      </c>
      <c r="D74" s="18">
        <f t="shared" si="3"/>
        <v>1.9136098131760495</v>
      </c>
      <c r="E74" s="18">
        <f t="shared" si="3"/>
        <v>1.7824322119826399</v>
      </c>
      <c r="F74" s="18">
        <f t="shared" si="3"/>
        <v>1.8484691353854747</v>
      </c>
      <c r="G74" s="18">
        <f t="shared" si="3"/>
        <v>2.0750132604955218</v>
      </c>
      <c r="H74" s="18">
        <f t="shared" si="3"/>
        <v>2.1377440959816729</v>
      </c>
      <c r="I74" s="18">
        <f t="shared" si="3"/>
        <v>2.4570229250733506</v>
      </c>
      <c r="J74" s="18">
        <f t="shared" si="3"/>
        <v>2.5236000259582281</v>
      </c>
      <c r="K74" s="18">
        <f t="shared" si="3"/>
        <v>2.515893788575791</v>
      </c>
      <c r="L74" s="18">
        <f t="shared" si="3"/>
        <v>2.8676991308393593</v>
      </c>
      <c r="M74" s="18">
        <f t="shared" si="3"/>
        <v>2.5510349463565678</v>
      </c>
      <c r="N74" s="18">
        <f t="shared" si="3"/>
        <v>2.9172815060857928</v>
      </c>
      <c r="O74" s="18">
        <f t="shared" si="3"/>
        <v>3.2227916816258135</v>
      </c>
      <c r="P74" s="18">
        <f t="shared" si="3"/>
        <v>3.2521871940502201</v>
      </c>
      <c r="Q74" s="18">
        <f t="shared" si="3"/>
        <v>3.3443678026822998</v>
      </c>
      <c r="R74" s="18">
        <f t="shared" si="3"/>
        <v>3.4044368053192517</v>
      </c>
    </row>
    <row r="75" spans="2:34" x14ac:dyDescent="0.2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2:34" x14ac:dyDescent="0.25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113" spans="2:11" x14ac:dyDescent="0.25">
      <c r="B113" s="25" t="s">
        <v>11</v>
      </c>
      <c r="C113" s="25" t="s">
        <v>19</v>
      </c>
      <c r="D113" s="25" t="s">
        <v>20</v>
      </c>
      <c r="E113" s="25" t="s">
        <v>21</v>
      </c>
      <c r="F113" s="25" t="s">
        <v>26</v>
      </c>
      <c r="G113" s="3" t="s">
        <v>11</v>
      </c>
      <c r="H113" s="3" t="s">
        <v>19</v>
      </c>
      <c r="I113" s="3" t="s">
        <v>20</v>
      </c>
      <c r="J113" s="3" t="s">
        <v>21</v>
      </c>
      <c r="K113" s="3" t="s">
        <v>22</v>
      </c>
    </row>
    <row r="114" spans="2:11" x14ac:dyDescent="0.25">
      <c r="B114" s="25">
        <v>1999</v>
      </c>
      <c r="C114" s="28">
        <v>1.6844917712211973</v>
      </c>
      <c r="D114" s="26">
        <v>2191759</v>
      </c>
      <c r="E114" s="26">
        <f>+D114*C114</f>
        <v>3692000</v>
      </c>
      <c r="F114" s="26">
        <v>3311000</v>
      </c>
      <c r="G114" s="3">
        <v>2013</v>
      </c>
      <c r="H114" s="23">
        <f t="shared" ref="H114:H117" si="4">0.1191*G114-236.51</f>
        <v>3.2383000000000095</v>
      </c>
      <c r="I114" s="22">
        <v>2508396</v>
      </c>
      <c r="J114" s="22">
        <f t="shared" ref="J114:J117" si="5">+I114*H114</f>
        <v>8122938.7668000236</v>
      </c>
      <c r="K114" s="3">
        <v>5422000</v>
      </c>
    </row>
    <row r="115" spans="2:11" x14ac:dyDescent="0.25">
      <c r="B115" s="25">
        <v>2000</v>
      </c>
      <c r="C115" s="28">
        <v>1.883065764168691</v>
      </c>
      <c r="D115" s="26">
        <v>2193763</v>
      </c>
      <c r="E115" s="26">
        <f t="shared" ref="E115:E132" si="6">+D115*C115</f>
        <v>4131000</v>
      </c>
      <c r="F115" s="26">
        <v>3602000</v>
      </c>
      <c r="G115" s="3">
        <v>2020</v>
      </c>
      <c r="H115" s="23">
        <f t="shared" si="4"/>
        <v>4.0720000000000027</v>
      </c>
      <c r="I115" s="38">
        <v>1394236.3725000001</v>
      </c>
      <c r="J115" s="22">
        <f t="shared" si="5"/>
        <v>5677330.5088200038</v>
      </c>
      <c r="K115" s="3">
        <v>5850870</v>
      </c>
    </row>
    <row r="116" spans="2:11" x14ac:dyDescent="0.25">
      <c r="B116" s="25">
        <v>2001</v>
      </c>
      <c r="C116" s="28">
        <v>1.7541219162545028</v>
      </c>
      <c r="D116" s="26">
        <v>2405192</v>
      </c>
      <c r="E116" s="26">
        <f t="shared" si="6"/>
        <v>4219000</v>
      </c>
      <c r="F116" s="26">
        <v>3660000</v>
      </c>
      <c r="G116" s="3">
        <v>2025</v>
      </c>
      <c r="H116" s="23">
        <f t="shared" si="4"/>
        <v>4.6675000000000182</v>
      </c>
      <c r="I116" s="38">
        <v>1077480.7400000002</v>
      </c>
      <c r="J116" s="22">
        <f t="shared" si="5"/>
        <v>5029141.3539500209</v>
      </c>
      <c r="K116" s="3">
        <v>5850870</v>
      </c>
    </row>
    <row r="117" spans="2:11" x14ac:dyDescent="0.25">
      <c r="B117" s="25">
        <v>2002</v>
      </c>
      <c r="C117" s="28">
        <v>1.8191046018508827</v>
      </c>
      <c r="D117" s="26">
        <v>2397883</v>
      </c>
      <c r="E117" s="26">
        <f t="shared" si="6"/>
        <v>4362000</v>
      </c>
      <c r="F117" s="26">
        <v>3840000</v>
      </c>
      <c r="G117" s="3">
        <v>2030</v>
      </c>
      <c r="H117" s="23">
        <f t="shared" si="4"/>
        <v>5.2630000000000052</v>
      </c>
      <c r="I117" s="38">
        <v>709901.10400000005</v>
      </c>
      <c r="J117" s="22">
        <f t="shared" si="5"/>
        <v>3736209.5103520039</v>
      </c>
      <c r="K117" s="3">
        <v>5850870</v>
      </c>
    </row>
    <row r="118" spans="2:11" x14ac:dyDescent="0.25">
      <c r="B118" s="25">
        <v>2003</v>
      </c>
      <c r="C118" s="28">
        <v>2.0420732038225045</v>
      </c>
      <c r="D118" s="26">
        <v>2432332</v>
      </c>
      <c r="E118" s="26">
        <f t="shared" si="6"/>
        <v>4967000</v>
      </c>
      <c r="F118" s="26">
        <v>4479000</v>
      </c>
    </row>
    <row r="119" spans="2:11" x14ac:dyDescent="0.25">
      <c r="B119" s="25">
        <v>2004</v>
      </c>
      <c r="C119" s="28">
        <v>2.1037517046838388</v>
      </c>
      <c r="D119" s="26">
        <v>2356742</v>
      </c>
      <c r="E119" s="26">
        <f t="shared" si="6"/>
        <v>4958000</v>
      </c>
      <c r="F119" s="26">
        <v>4618000</v>
      </c>
    </row>
    <row r="120" spans="2:11" x14ac:dyDescent="0.25">
      <c r="B120" s="25">
        <v>2005</v>
      </c>
      <c r="C120" s="28">
        <v>2.4179017777947833</v>
      </c>
      <c r="D120" s="26">
        <v>2299928</v>
      </c>
      <c r="E120" s="26">
        <f t="shared" si="6"/>
        <v>5561000</v>
      </c>
      <c r="F120" s="26">
        <v>5009000</v>
      </c>
    </row>
    <row r="121" spans="2:11" x14ac:dyDescent="0.25">
      <c r="B121" s="25">
        <v>2006</v>
      </c>
      <c r="C121" s="28">
        <v>2.4833878805910938</v>
      </c>
      <c r="D121" s="26">
        <v>2268675</v>
      </c>
      <c r="E121" s="26">
        <f t="shared" si="6"/>
        <v>5634000</v>
      </c>
      <c r="F121" s="26">
        <v>5027000</v>
      </c>
    </row>
    <row r="122" spans="2:11" x14ac:dyDescent="0.25">
      <c r="B122" s="25">
        <v>2007</v>
      </c>
      <c r="C122" s="28">
        <v>2.4759635420497057</v>
      </c>
      <c r="D122" s="26">
        <v>2447532</v>
      </c>
      <c r="E122" s="26">
        <f t="shared" si="6"/>
        <v>6060000</v>
      </c>
      <c r="F122" s="26">
        <v>4775000</v>
      </c>
    </row>
    <row r="123" spans="2:11" x14ac:dyDescent="0.25">
      <c r="B123" s="25">
        <v>2008</v>
      </c>
      <c r="C123" s="28">
        <v>2.8222957082982183</v>
      </c>
      <c r="D123" s="26">
        <v>2571311</v>
      </c>
      <c r="E123" s="26">
        <f t="shared" si="6"/>
        <v>7257000</v>
      </c>
      <c r="F123" s="26">
        <v>4858000</v>
      </c>
    </row>
    <row r="124" spans="2:11" x14ac:dyDescent="0.25">
      <c r="B124" s="25">
        <v>2009</v>
      </c>
      <c r="C124" s="28">
        <v>2.5107834699468361</v>
      </c>
      <c r="D124" s="26">
        <v>2767662</v>
      </c>
      <c r="E124" s="26">
        <f t="shared" si="6"/>
        <v>6949000</v>
      </c>
      <c r="F124" s="26">
        <v>5077000</v>
      </c>
    </row>
    <row r="125" spans="2:11" x14ac:dyDescent="0.25">
      <c r="B125" s="25">
        <v>2010</v>
      </c>
      <c r="C125" s="28">
        <v>2.8712131463906849</v>
      </c>
      <c r="D125" s="26">
        <v>2719408</v>
      </c>
      <c r="E125" s="26">
        <f t="shared" si="6"/>
        <v>7808000</v>
      </c>
      <c r="F125" s="26">
        <v>5164000</v>
      </c>
    </row>
    <row r="126" spans="2:11" x14ac:dyDescent="0.25">
      <c r="B126" s="25">
        <v>2011</v>
      </c>
      <c r="C126" s="28">
        <v>3.1718463595350412</v>
      </c>
      <c r="D126" s="26">
        <v>2661226</v>
      </c>
      <c r="E126" s="26">
        <f t="shared" si="6"/>
        <v>8441000</v>
      </c>
      <c r="F126" s="26">
        <v>5277000</v>
      </c>
    </row>
    <row r="127" spans="2:11" x14ac:dyDescent="0.25">
      <c r="B127" s="25">
        <v>2012</v>
      </c>
      <c r="C127" s="28">
        <v>3.2007582496364324</v>
      </c>
      <c r="D127" s="26">
        <v>2641874</v>
      </c>
      <c r="E127" s="26">
        <f t="shared" si="6"/>
        <v>8456000</v>
      </c>
      <c r="F127" s="26">
        <v>5245000</v>
      </c>
    </row>
    <row r="128" spans="2:11" x14ac:dyDescent="0.25">
      <c r="B128" s="25">
        <v>2013</v>
      </c>
      <c r="C128" s="28">
        <v>3.2913463424435374</v>
      </c>
      <c r="D128" s="26">
        <v>2508396</v>
      </c>
      <c r="E128" s="26">
        <f t="shared" si="6"/>
        <v>8255999.9999999991</v>
      </c>
      <c r="F128" s="26">
        <v>5422000</v>
      </c>
    </row>
    <row r="129" spans="2:7" x14ac:dyDescent="0.25">
      <c r="B129" s="15">
        <v>2014</v>
      </c>
      <c r="C129" s="29">
        <f t="shared" ref="C129:C145" si="7">0.1191*B129-236.51</f>
        <v>3.3574000000000126</v>
      </c>
      <c r="D129" s="24">
        <f t="shared" ref="D129:D145" si="8">-1.07108203368853*B129^5+10808.2938806886*B129^4-43625966.953435*B129^3+88043338833.2083*B129^2-88840593412006.5*B129+35857490107912300</f>
        <v>2388012</v>
      </c>
      <c r="E129" s="31">
        <f t="shared" si="6"/>
        <v>8017511.4888000302</v>
      </c>
      <c r="F129" s="24">
        <f t="shared" ref="F129:F132" si="9" xml:space="preserve"> (104.11*B129- 204139)*1000</f>
        <v>5538540.0000000084</v>
      </c>
    </row>
    <row r="130" spans="2:7" x14ac:dyDescent="0.25">
      <c r="B130" s="15">
        <v>2015</v>
      </c>
      <c r="C130" s="29">
        <f t="shared" si="7"/>
        <v>3.4765000000000157</v>
      </c>
      <c r="D130" s="24">
        <f t="shared" si="8"/>
        <v>2278188</v>
      </c>
      <c r="E130" s="31">
        <f t="shared" si="6"/>
        <v>7920120.5820000358</v>
      </c>
      <c r="F130" s="24">
        <f t="shared" si="9"/>
        <v>5642649.9999999944</v>
      </c>
    </row>
    <row r="131" spans="2:7" x14ac:dyDescent="0.25">
      <c r="B131" s="15">
        <v>2016</v>
      </c>
      <c r="C131" s="29">
        <f t="shared" si="7"/>
        <v>3.5955999999999904</v>
      </c>
      <c r="D131" s="24">
        <f t="shared" si="8"/>
        <v>2153708</v>
      </c>
      <c r="E131" s="31">
        <f t="shared" si="6"/>
        <v>7743872.4847999793</v>
      </c>
      <c r="F131" s="24">
        <f t="shared" si="9"/>
        <v>5746760.0000000093</v>
      </c>
    </row>
    <row r="132" spans="2:7" x14ac:dyDescent="0.25">
      <c r="B132" s="15">
        <v>2017</v>
      </c>
      <c r="C132" s="29">
        <f t="shared" si="7"/>
        <v>3.7146999999999935</v>
      </c>
      <c r="D132" s="24">
        <f t="shared" si="8"/>
        <v>2017836</v>
      </c>
      <c r="E132" s="31">
        <f t="shared" si="6"/>
        <v>7495655.3891999871</v>
      </c>
      <c r="F132" s="32">
        <f t="shared" si="9"/>
        <v>5850869.9999999953</v>
      </c>
      <c r="G132" s="3" t="s">
        <v>25</v>
      </c>
    </row>
    <row r="133" spans="2:7" x14ac:dyDescent="0.25">
      <c r="B133" s="15">
        <v>2018</v>
      </c>
      <c r="C133" s="29">
        <f t="shared" si="7"/>
        <v>3.8337999999999965</v>
      </c>
      <c r="D133" s="24">
        <f t="shared" si="8"/>
        <v>1874412</v>
      </c>
      <c r="E133" s="31">
        <f t="shared" ref="E133:E144" si="10">+D133*C133</f>
        <v>7186120.725599994</v>
      </c>
      <c r="F133" s="32">
        <v>5850870</v>
      </c>
    </row>
    <row r="134" spans="2:7" x14ac:dyDescent="0.25">
      <c r="B134" s="15">
        <v>2019</v>
      </c>
      <c r="C134" s="29">
        <f t="shared" si="7"/>
        <v>3.9528999999999996</v>
      </c>
      <c r="D134" s="24">
        <f t="shared" si="8"/>
        <v>1727308</v>
      </c>
      <c r="E134" s="31">
        <f t="shared" si="10"/>
        <v>6827875.7931999993</v>
      </c>
      <c r="F134" s="32">
        <v>5850870</v>
      </c>
    </row>
    <row r="135" spans="2:7" x14ac:dyDescent="0.25">
      <c r="B135" s="15">
        <v>2020</v>
      </c>
      <c r="C135" s="29">
        <f t="shared" si="7"/>
        <v>4.0720000000000027</v>
      </c>
      <c r="D135" s="32">
        <f t="shared" si="8"/>
        <v>1580236</v>
      </c>
      <c r="E135" s="31">
        <f t="shared" si="10"/>
        <v>6434720.9920000043</v>
      </c>
      <c r="F135" s="32">
        <v>5850870</v>
      </c>
    </row>
    <row r="136" spans="2:7" x14ac:dyDescent="0.25">
      <c r="B136" s="15">
        <v>2021</v>
      </c>
      <c r="C136" s="29">
        <f t="shared" si="7"/>
        <v>4.1911000000000058</v>
      </c>
      <c r="D136" s="24">
        <f t="shared" si="8"/>
        <v>1437100</v>
      </c>
      <c r="E136" s="31">
        <f t="shared" si="10"/>
        <v>6023029.810000008</v>
      </c>
      <c r="F136" s="32">
        <v>5850870</v>
      </c>
    </row>
    <row r="137" spans="2:7" x14ac:dyDescent="0.25">
      <c r="B137" s="15">
        <v>2022</v>
      </c>
      <c r="C137" s="29">
        <f t="shared" si="7"/>
        <v>4.3102000000000089</v>
      </c>
      <c r="D137" s="24">
        <f t="shared" si="8"/>
        <v>1301420</v>
      </c>
      <c r="E137" s="31">
        <f t="shared" si="10"/>
        <v>5609380.4840000113</v>
      </c>
      <c r="F137" s="32">
        <v>5850870</v>
      </c>
    </row>
    <row r="138" spans="2:7" x14ac:dyDescent="0.25">
      <c r="B138" s="15">
        <v>2023</v>
      </c>
      <c r="C138" s="29">
        <f t="shared" si="7"/>
        <v>4.429300000000012</v>
      </c>
      <c r="D138" s="24">
        <f t="shared" si="8"/>
        <v>1176460</v>
      </c>
      <c r="E138" s="31">
        <f t="shared" si="10"/>
        <v>5210894.2780000139</v>
      </c>
      <c r="F138" s="32">
        <v>5850870</v>
      </c>
    </row>
    <row r="139" spans="2:7" x14ac:dyDescent="0.25">
      <c r="B139" s="15">
        <v>2024</v>
      </c>
      <c r="C139" s="29">
        <f t="shared" si="7"/>
        <v>4.5484000000000151</v>
      </c>
      <c r="D139" s="24">
        <f t="shared" si="8"/>
        <v>1064844</v>
      </c>
      <c r="E139" s="31">
        <f t="shared" si="10"/>
        <v>4843336.4496000158</v>
      </c>
      <c r="F139" s="32">
        <v>5850870</v>
      </c>
    </row>
    <row r="140" spans="2:7" x14ac:dyDescent="0.25">
      <c r="B140" s="15">
        <v>2025</v>
      </c>
      <c r="C140" s="29">
        <f t="shared" si="7"/>
        <v>4.6675000000000182</v>
      </c>
      <c r="D140" s="32">
        <f t="shared" si="8"/>
        <v>968652</v>
      </c>
      <c r="E140" s="31">
        <f t="shared" ref="E140" si="11">+D140*C140</f>
        <v>4521183.2100000177</v>
      </c>
      <c r="F140" s="32">
        <v>5850870</v>
      </c>
    </row>
    <row r="141" spans="2:7" x14ac:dyDescent="0.25">
      <c r="B141" s="15">
        <v>2026</v>
      </c>
      <c r="C141" s="29">
        <f t="shared" si="7"/>
        <v>4.7865999999999929</v>
      </c>
      <c r="D141" s="24">
        <f t="shared" si="8"/>
        <v>889196</v>
      </c>
      <c r="E141" s="31">
        <f t="shared" si="10"/>
        <v>4256225.5735999933</v>
      </c>
      <c r="F141" s="32">
        <v>5850870</v>
      </c>
    </row>
    <row r="142" spans="2:7" x14ac:dyDescent="0.25">
      <c r="B142" s="15">
        <v>2027</v>
      </c>
      <c r="C142" s="29">
        <f t="shared" si="7"/>
        <v>4.905699999999996</v>
      </c>
      <c r="D142" s="24">
        <f t="shared" si="8"/>
        <v>827084</v>
      </c>
      <c r="E142" s="31">
        <f t="shared" si="10"/>
        <v>4057425.9787999964</v>
      </c>
      <c r="F142" s="32">
        <v>5850870</v>
      </c>
    </row>
    <row r="143" spans="2:7" x14ac:dyDescent="0.25">
      <c r="B143" s="15">
        <v>2028</v>
      </c>
      <c r="C143" s="29">
        <f t="shared" si="7"/>
        <v>5.024799999999999</v>
      </c>
      <c r="D143" s="24">
        <f t="shared" si="8"/>
        <v>781612</v>
      </c>
      <c r="E143" s="31">
        <f t="shared" si="10"/>
        <v>3927443.9775999994</v>
      </c>
      <c r="F143" s="32">
        <v>5850870</v>
      </c>
    </row>
    <row r="144" spans="2:7" x14ac:dyDescent="0.25">
      <c r="B144" s="15">
        <v>2029</v>
      </c>
      <c r="C144" s="29">
        <f t="shared" si="7"/>
        <v>5.1439000000000021</v>
      </c>
      <c r="D144" s="24">
        <f t="shared" si="8"/>
        <v>751244</v>
      </c>
      <c r="E144" s="31">
        <f t="shared" si="10"/>
        <v>3864324.0116000017</v>
      </c>
      <c r="F144" s="32">
        <v>5850870</v>
      </c>
    </row>
    <row r="145" spans="2:12" x14ac:dyDescent="0.25">
      <c r="B145" s="15">
        <v>2030</v>
      </c>
      <c r="C145" s="29">
        <f t="shared" si="7"/>
        <v>5.2630000000000052</v>
      </c>
      <c r="D145" s="32">
        <f t="shared" si="8"/>
        <v>732940</v>
      </c>
      <c r="E145" s="31">
        <f t="shared" ref="E145" si="12">+D145*C145</f>
        <v>3857463.2200000039</v>
      </c>
      <c r="F145" s="32">
        <v>5850870</v>
      </c>
    </row>
    <row r="146" spans="2:12" x14ac:dyDescent="0.25">
      <c r="D146" s="22"/>
    </row>
    <row r="147" spans="2:12" x14ac:dyDescent="0.25">
      <c r="B147" s="27"/>
      <c r="C147" s="3" t="s">
        <v>24</v>
      </c>
      <c r="D147" s="22"/>
    </row>
    <row r="148" spans="2:12" x14ac:dyDescent="0.25">
      <c r="B148" s="30"/>
      <c r="C148" s="3" t="s">
        <v>23</v>
      </c>
      <c r="D148" s="22"/>
    </row>
    <row r="149" spans="2:12" x14ac:dyDescent="0.25">
      <c r="G149" s="37"/>
    </row>
    <row r="152" spans="2:12" x14ac:dyDescent="0.25">
      <c r="B152" s="3" t="s">
        <v>11</v>
      </c>
      <c r="C152" s="3" t="s">
        <v>22</v>
      </c>
      <c r="D152" s="3" t="s">
        <v>19</v>
      </c>
      <c r="E152" s="3" t="s">
        <v>20</v>
      </c>
      <c r="F152" s="3" t="s">
        <v>21</v>
      </c>
    </row>
    <row r="153" spans="2:12" x14ac:dyDescent="0.25">
      <c r="B153" s="3">
        <v>1999</v>
      </c>
      <c r="C153" s="34">
        <v>3311000</v>
      </c>
      <c r="D153" s="33">
        <f t="shared" ref="D153:D167" si="13">+F153/E153</f>
        <v>1.6844917712211973</v>
      </c>
      <c r="E153" s="34">
        <v>2191759</v>
      </c>
      <c r="F153" s="27">
        <v>3692000</v>
      </c>
      <c r="G153" s="21">
        <f>-1.07108203368853*B153^5+10808.2938806886*B153^4-43625966.953435*B153^3+88043338833.2083*B153^2-88840593412006.5*B153+35857490107912300</f>
        <v>2301100</v>
      </c>
      <c r="L153" s="22"/>
    </row>
    <row r="154" spans="2:12" x14ac:dyDescent="0.25">
      <c r="B154" s="3">
        <v>2000</v>
      </c>
      <c r="C154" s="34">
        <v>3602000</v>
      </c>
      <c r="D154" s="33">
        <f t="shared" si="13"/>
        <v>1.883065764168691</v>
      </c>
      <c r="E154" s="34">
        <v>2193763</v>
      </c>
      <c r="F154" s="27">
        <v>4131000</v>
      </c>
      <c r="G154" s="21">
        <f t="shared" ref="G154:G170" si="14">-1.07108203368853*B154^5+10808.2938806886*B154^4-43625966.953435*B154^3+88043338833.2083*B154^2-88840593412006.5*B154+35857490107912300</f>
        <v>2237164</v>
      </c>
      <c r="L154" s="22"/>
    </row>
    <row r="155" spans="2:12" x14ac:dyDescent="0.25">
      <c r="B155" s="3">
        <v>2001</v>
      </c>
      <c r="C155" s="34">
        <v>3660000</v>
      </c>
      <c r="D155" s="33">
        <f t="shared" si="13"/>
        <v>1.7541219162545028</v>
      </c>
      <c r="E155" s="34">
        <v>2405192</v>
      </c>
      <c r="F155" s="27">
        <v>4219000</v>
      </c>
      <c r="G155" s="21">
        <f t="shared" si="14"/>
        <v>2228460</v>
      </c>
      <c r="L155" s="22"/>
    </row>
    <row r="156" spans="2:12" x14ac:dyDescent="0.25">
      <c r="B156" s="3">
        <v>2002</v>
      </c>
      <c r="C156" s="34">
        <v>3840000</v>
      </c>
      <c r="D156" s="33">
        <f t="shared" si="13"/>
        <v>1.8191046018508827</v>
      </c>
      <c r="E156" s="34">
        <v>2397883</v>
      </c>
      <c r="F156" s="27">
        <v>4362000</v>
      </c>
      <c r="G156" s="21">
        <f t="shared" si="14"/>
        <v>2258828</v>
      </c>
      <c r="L156" s="22"/>
    </row>
    <row r="157" spans="2:12" x14ac:dyDescent="0.25">
      <c r="B157" s="3">
        <v>2003</v>
      </c>
      <c r="C157" s="34">
        <v>4479000</v>
      </c>
      <c r="D157" s="33">
        <f t="shared" si="13"/>
        <v>2.0420732038225045</v>
      </c>
      <c r="E157" s="34">
        <v>2432332</v>
      </c>
      <c r="F157" s="27">
        <v>4967000</v>
      </c>
      <c r="G157" s="21">
        <f t="shared" si="14"/>
        <v>2314284</v>
      </c>
      <c r="L157" s="22"/>
    </row>
    <row r="158" spans="2:12" x14ac:dyDescent="0.25">
      <c r="B158" s="3">
        <v>2004</v>
      </c>
      <c r="C158" s="34">
        <v>4618000</v>
      </c>
      <c r="D158" s="33">
        <f t="shared" si="13"/>
        <v>2.1037517046838388</v>
      </c>
      <c r="E158" s="34">
        <v>2356742</v>
      </c>
      <c r="F158" s="27">
        <v>4958000</v>
      </c>
      <c r="G158" s="21">
        <f t="shared" si="14"/>
        <v>2382668</v>
      </c>
      <c r="L158" s="22"/>
    </row>
    <row r="159" spans="2:12" x14ac:dyDescent="0.25">
      <c r="B159" s="3">
        <v>2005</v>
      </c>
      <c r="C159" s="34">
        <v>5009000</v>
      </c>
      <c r="D159" s="33">
        <f t="shared" si="13"/>
        <v>2.4179017777947833</v>
      </c>
      <c r="E159" s="34">
        <v>2299928</v>
      </c>
      <c r="F159" s="27">
        <v>5561000</v>
      </c>
      <c r="G159" s="21">
        <f t="shared" si="14"/>
        <v>2454220</v>
      </c>
      <c r="L159" s="22"/>
    </row>
    <row r="160" spans="2:12" x14ac:dyDescent="0.25">
      <c r="B160" s="3">
        <v>2006</v>
      </c>
      <c r="C160" s="34">
        <v>5027000</v>
      </c>
      <c r="D160" s="33">
        <f t="shared" si="13"/>
        <v>2.4833878805910938</v>
      </c>
      <c r="E160" s="34">
        <v>2268675</v>
      </c>
      <c r="F160" s="27">
        <v>5634000</v>
      </c>
      <c r="G160" s="21">
        <f t="shared" si="14"/>
        <v>2520652</v>
      </c>
      <c r="L160" s="22"/>
    </row>
    <row r="161" spans="2:20" x14ac:dyDescent="0.25">
      <c r="B161" s="3">
        <v>2007</v>
      </c>
      <c r="C161" s="34">
        <v>4775000</v>
      </c>
      <c r="D161" s="33">
        <f t="shared" si="13"/>
        <v>2.4759635420497057</v>
      </c>
      <c r="E161" s="34">
        <v>2447532</v>
      </c>
      <c r="F161" s="27">
        <v>6060000</v>
      </c>
      <c r="G161" s="21">
        <f t="shared" si="14"/>
        <v>2575436</v>
      </c>
      <c r="L161" s="22"/>
    </row>
    <row r="162" spans="2:20" x14ac:dyDescent="0.25">
      <c r="B162" s="3">
        <v>2008</v>
      </c>
      <c r="C162" s="34">
        <v>4858000</v>
      </c>
      <c r="D162" s="33">
        <f t="shared" si="13"/>
        <v>2.8222957082982183</v>
      </c>
      <c r="E162" s="34">
        <v>2571311</v>
      </c>
      <c r="F162" s="27">
        <v>7257000</v>
      </c>
      <c r="G162" s="21">
        <f t="shared" si="14"/>
        <v>2613868</v>
      </c>
      <c r="L162" s="22"/>
    </row>
    <row r="163" spans="2:20" x14ac:dyDescent="0.25">
      <c r="B163" s="3">
        <v>2009</v>
      </c>
      <c r="C163" s="34">
        <v>5077000</v>
      </c>
      <c r="D163" s="33">
        <f t="shared" si="13"/>
        <v>2.5107834699468361</v>
      </c>
      <c r="E163" s="34">
        <v>2767662</v>
      </c>
      <c r="F163" s="27">
        <v>6949000</v>
      </c>
      <c r="G163" s="21">
        <f t="shared" si="14"/>
        <v>2632204</v>
      </c>
      <c r="L163" s="22"/>
    </row>
    <row r="164" spans="2:20" x14ac:dyDescent="0.25">
      <c r="B164" s="3">
        <v>2010</v>
      </c>
      <c r="C164" s="34">
        <v>5164000</v>
      </c>
      <c r="D164" s="33">
        <f t="shared" si="13"/>
        <v>2.8712131463906849</v>
      </c>
      <c r="E164" s="34">
        <v>2719408</v>
      </c>
      <c r="F164" s="27">
        <v>7808000</v>
      </c>
      <c r="G164" s="21">
        <f t="shared" si="14"/>
        <v>2628556</v>
      </c>
      <c r="L164" s="22"/>
    </row>
    <row r="165" spans="2:20" x14ac:dyDescent="0.25">
      <c r="B165" s="3">
        <v>2011</v>
      </c>
      <c r="C165" s="34">
        <v>5277000</v>
      </c>
      <c r="D165" s="33">
        <f t="shared" si="13"/>
        <v>3.1718463595350412</v>
      </c>
      <c r="E165" s="34">
        <v>2661226</v>
      </c>
      <c r="F165" s="27">
        <v>8441000</v>
      </c>
      <c r="G165" s="21">
        <f t="shared" si="14"/>
        <v>2601740</v>
      </c>
      <c r="L165" s="22"/>
    </row>
    <row r="166" spans="2:20" x14ac:dyDescent="0.25">
      <c r="B166" s="3">
        <v>2012</v>
      </c>
      <c r="C166" s="34">
        <v>5245000</v>
      </c>
      <c r="D166" s="33">
        <f t="shared" si="13"/>
        <v>3.2007582496364324</v>
      </c>
      <c r="E166" s="34">
        <v>2641874</v>
      </c>
      <c r="F166" s="27">
        <v>8456000</v>
      </c>
      <c r="G166" s="21">
        <f t="shared" si="14"/>
        <v>2551916</v>
      </c>
      <c r="L166" s="22"/>
    </row>
    <row r="167" spans="2:20" x14ac:dyDescent="0.25">
      <c r="B167" s="3">
        <v>2013</v>
      </c>
      <c r="C167" s="34">
        <v>5422000</v>
      </c>
      <c r="D167" s="33">
        <f t="shared" si="13"/>
        <v>3.2913463424435374</v>
      </c>
      <c r="E167" s="34">
        <v>2508396</v>
      </c>
      <c r="F167" s="27">
        <v>8256000</v>
      </c>
      <c r="G167" s="21">
        <f t="shared" si="14"/>
        <v>2480044</v>
      </c>
      <c r="L167" s="22"/>
    </row>
    <row r="168" spans="2:20" x14ac:dyDescent="0.25">
      <c r="B168" s="3">
        <v>2020</v>
      </c>
      <c r="C168" s="36">
        <f>+(B168*143.06-282348)*1000</f>
        <v>6633200.0000000112</v>
      </c>
      <c r="D168" s="35">
        <f>0.1191*B168-236.51</f>
        <v>4.0720000000000027</v>
      </c>
      <c r="E168" s="36">
        <v>1394236.3725000001</v>
      </c>
      <c r="F168" s="36">
        <f t="shared" ref="F168:F169" si="15">+E168*D168</f>
        <v>5677330.5088200038</v>
      </c>
      <c r="G168" s="21">
        <f t="shared" si="14"/>
        <v>1580236</v>
      </c>
    </row>
    <row r="169" spans="2:20" x14ac:dyDescent="0.25">
      <c r="B169" s="3">
        <v>2025</v>
      </c>
      <c r="C169" s="36">
        <f>+(B169*143.06-282348)*1000</f>
        <v>7348500</v>
      </c>
      <c r="D169" s="35">
        <f>0.1191*B169-236.51</f>
        <v>4.6675000000000182</v>
      </c>
      <c r="E169" s="36">
        <v>1077480.7400000002</v>
      </c>
      <c r="F169" s="36">
        <f t="shared" si="15"/>
        <v>5029141.3539500209</v>
      </c>
      <c r="G169" s="21">
        <f t="shared" si="14"/>
        <v>968652</v>
      </c>
    </row>
    <row r="170" spans="2:20" x14ac:dyDescent="0.25">
      <c r="B170" s="3">
        <v>2030</v>
      </c>
      <c r="C170" s="36">
        <f>+(B170*143.06-282348)*1000</f>
        <v>8063799.9999999888</v>
      </c>
      <c r="D170" s="35">
        <f>0.1191*B170-236.51</f>
        <v>5.2630000000000052</v>
      </c>
      <c r="E170" s="36">
        <v>709901.10400000005</v>
      </c>
      <c r="F170" s="36">
        <f t="shared" ref="F170" si="16">+E170*D170</f>
        <v>3736209.5103520039</v>
      </c>
      <c r="G170" s="21">
        <f t="shared" si="14"/>
        <v>732940</v>
      </c>
    </row>
    <row r="174" spans="2:20" x14ac:dyDescent="0.25">
      <c r="B174" s="3" t="s">
        <v>11</v>
      </c>
      <c r="C174" s="3">
        <v>1999</v>
      </c>
      <c r="D174" s="3">
        <v>2000</v>
      </c>
      <c r="E174" s="3">
        <v>2001</v>
      </c>
      <c r="F174" s="3">
        <v>2002</v>
      </c>
      <c r="G174" s="3">
        <v>2003</v>
      </c>
      <c r="H174" s="3">
        <v>2004</v>
      </c>
      <c r="I174" s="3">
        <v>2005</v>
      </c>
      <c r="J174" s="3">
        <v>2006</v>
      </c>
      <c r="K174" s="3">
        <v>2007</v>
      </c>
      <c r="L174" s="3">
        <v>2008</v>
      </c>
      <c r="M174" s="3">
        <v>2009</v>
      </c>
      <c r="N174" s="3">
        <v>2010</v>
      </c>
      <c r="O174" s="3">
        <v>2011</v>
      </c>
      <c r="P174" s="3">
        <v>2012</v>
      </c>
      <c r="Q174" s="3">
        <v>2013</v>
      </c>
      <c r="R174" s="3">
        <v>2020</v>
      </c>
      <c r="S174" s="3">
        <v>2025</v>
      </c>
      <c r="T174" s="3">
        <v>2030</v>
      </c>
    </row>
    <row r="175" spans="2:20" x14ac:dyDescent="0.25">
      <c r="B175" s="3" t="s">
        <v>20</v>
      </c>
      <c r="C175" s="3">
        <v>2191759</v>
      </c>
      <c r="D175" s="3">
        <v>2193763</v>
      </c>
      <c r="E175" s="3">
        <v>2405192</v>
      </c>
      <c r="F175" s="3">
        <v>2397883</v>
      </c>
      <c r="G175" s="3">
        <v>2432332</v>
      </c>
      <c r="H175" s="3">
        <v>2356742</v>
      </c>
      <c r="I175" s="3">
        <v>2299928</v>
      </c>
      <c r="J175" s="3">
        <v>2268675</v>
      </c>
      <c r="K175" s="3">
        <v>2447532</v>
      </c>
      <c r="L175" s="3">
        <v>2571311</v>
      </c>
      <c r="M175" s="3">
        <v>2767662</v>
      </c>
      <c r="N175" s="3">
        <v>2719408</v>
      </c>
      <c r="O175" s="3">
        <v>2661226</v>
      </c>
      <c r="P175" s="3">
        <v>2641874</v>
      </c>
      <c r="Q175" s="3">
        <v>2508396</v>
      </c>
      <c r="R175" s="36">
        <v>1394236.3725000001</v>
      </c>
      <c r="S175" s="36">
        <v>1077480.7400000002</v>
      </c>
      <c r="T175" s="36">
        <v>709901.10400000005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topLeftCell="C7" workbookViewId="0">
      <selection activeCell="Z12" sqref="Z12"/>
    </sheetView>
  </sheetViews>
  <sheetFormatPr baseColWidth="10" defaultRowHeight="15" x14ac:dyDescent="0.25"/>
  <cols>
    <col min="1" max="1" width="2" style="3" customWidth="1"/>
    <col min="2" max="2" width="47.140625" style="3" customWidth="1"/>
    <col min="3" max="20" width="7" style="3" bestFit="1" customWidth="1"/>
    <col min="21" max="21" width="6.85546875" style="3" customWidth="1"/>
    <col min="22" max="25" width="7" style="3" bestFit="1" customWidth="1"/>
    <col min="26" max="16384" width="11.42578125" style="3"/>
  </cols>
  <sheetData>
    <row r="1" spans="2:25" x14ac:dyDescent="0.25">
      <c r="B1" s="3" t="s">
        <v>33</v>
      </c>
    </row>
    <row r="3" spans="2:25" x14ac:dyDescent="0.25">
      <c r="B3" s="81"/>
      <c r="C3" s="80">
        <v>1995</v>
      </c>
      <c r="D3" s="80">
        <f>C3+1</f>
        <v>1996</v>
      </c>
      <c r="E3" s="80">
        <f>D3+1</f>
        <v>1997</v>
      </c>
      <c r="F3" s="80">
        <f>E3+1</f>
        <v>1998</v>
      </c>
      <c r="G3" s="80">
        <f>F3+1</f>
        <v>1999</v>
      </c>
      <c r="H3" s="80">
        <f>G3+1</f>
        <v>2000</v>
      </c>
      <c r="I3" s="80">
        <f>H3+1</f>
        <v>2001</v>
      </c>
      <c r="J3" s="80">
        <f>I3+1</f>
        <v>2002</v>
      </c>
      <c r="K3" s="80">
        <f>J3+1</f>
        <v>2003</v>
      </c>
      <c r="L3" s="80">
        <f>K3+1</f>
        <v>2004</v>
      </c>
      <c r="M3" s="80">
        <f>L3+1</f>
        <v>2005</v>
      </c>
      <c r="N3" s="80">
        <f>M3+1</f>
        <v>2006</v>
      </c>
      <c r="O3" s="80">
        <f>N3+1</f>
        <v>2007</v>
      </c>
      <c r="P3" s="80">
        <f>O3+1</f>
        <v>2008</v>
      </c>
      <c r="Q3" s="80">
        <f>P3+1</f>
        <v>2009</v>
      </c>
      <c r="R3" s="80">
        <f>Q3+1</f>
        <v>2010</v>
      </c>
      <c r="S3" s="80">
        <f>R3+1</f>
        <v>2011</v>
      </c>
      <c r="T3" s="80">
        <f>S3+1</f>
        <v>2012</v>
      </c>
      <c r="U3" s="80">
        <f>T3+1</f>
        <v>2013</v>
      </c>
      <c r="V3" s="80">
        <f>U3+1</f>
        <v>2014</v>
      </c>
      <c r="W3" s="80">
        <f>V3+1</f>
        <v>2015</v>
      </c>
      <c r="X3" s="80">
        <f>W3+1</f>
        <v>2016</v>
      </c>
      <c r="Y3" s="80">
        <f>X3+1</f>
        <v>2017</v>
      </c>
    </row>
    <row r="4" spans="2:25" x14ac:dyDescent="0.25">
      <c r="B4" s="78" t="s">
        <v>34</v>
      </c>
      <c r="C4" s="79">
        <v>1781</v>
      </c>
      <c r="D4" s="79">
        <v>2033</v>
      </c>
      <c r="E4" s="79">
        <v>2334</v>
      </c>
      <c r="F4" s="79">
        <v>2632</v>
      </c>
      <c r="G4" s="79">
        <v>3311</v>
      </c>
      <c r="H4" s="79">
        <v>3602</v>
      </c>
      <c r="I4" s="79">
        <v>3660</v>
      </c>
      <c r="J4" s="79">
        <v>3840</v>
      </c>
      <c r="K4" s="79">
        <v>4479</v>
      </c>
      <c r="L4" s="79">
        <v>4618</v>
      </c>
      <c r="M4" s="79">
        <v>5009</v>
      </c>
      <c r="N4" s="79">
        <v>5027</v>
      </c>
      <c r="O4" s="79">
        <v>4775</v>
      </c>
      <c r="P4" s="79">
        <v>4858</v>
      </c>
      <c r="Q4" s="79">
        <v>5077</v>
      </c>
      <c r="R4" s="79">
        <v>5164</v>
      </c>
      <c r="S4" s="79">
        <v>5277</v>
      </c>
      <c r="T4" s="79">
        <v>5245</v>
      </c>
      <c r="U4" s="79">
        <v>5422</v>
      </c>
      <c r="V4" s="79">
        <v>5653</v>
      </c>
      <c r="W4" s="79">
        <v>5735.2</v>
      </c>
      <c r="X4" s="79">
        <v>5708</v>
      </c>
      <c r="Y4" s="79">
        <v>5869</v>
      </c>
    </row>
    <row r="5" spans="2:25" x14ac:dyDescent="0.25">
      <c r="B5" s="78" t="s">
        <v>35</v>
      </c>
      <c r="C5" s="79">
        <v>122</v>
      </c>
      <c r="D5" s="79">
        <v>300</v>
      </c>
      <c r="E5" s="79">
        <v>396</v>
      </c>
      <c r="F5" s="79">
        <v>523</v>
      </c>
      <c r="G5" s="79">
        <v>381</v>
      </c>
      <c r="H5" s="79">
        <v>529</v>
      </c>
      <c r="I5" s="79">
        <v>559</v>
      </c>
      <c r="J5" s="79">
        <v>522</v>
      </c>
      <c r="K5" s="79">
        <v>488</v>
      </c>
      <c r="L5" s="79">
        <v>340</v>
      </c>
      <c r="M5" s="79">
        <v>552</v>
      </c>
      <c r="N5" s="79">
        <v>607</v>
      </c>
      <c r="O5" s="79">
        <v>1285</v>
      </c>
      <c r="P5" s="79">
        <v>2399</v>
      </c>
      <c r="Q5" s="79">
        <v>1872</v>
      </c>
      <c r="R5" s="79">
        <v>2644</v>
      </c>
      <c r="S5" s="79">
        <v>3164</v>
      </c>
      <c r="T5" s="79">
        <v>3211</v>
      </c>
      <c r="U5" s="79">
        <v>2834</v>
      </c>
      <c r="V5" s="79">
        <v>2246.9</v>
      </c>
      <c r="W5" s="79">
        <v>2180.6999999999998</v>
      </c>
      <c r="X5" s="79">
        <f>X7-X4</f>
        <v>2409</v>
      </c>
      <c r="Y5" s="79">
        <f>Y7-Y4</f>
        <v>2248</v>
      </c>
    </row>
    <row r="6" spans="2:25" x14ac:dyDescent="0.25">
      <c r="B6" s="78" t="s">
        <v>36</v>
      </c>
      <c r="C6" s="82">
        <v>-55</v>
      </c>
      <c r="D6" s="82">
        <v>-22</v>
      </c>
      <c r="E6" s="82">
        <v>-57</v>
      </c>
      <c r="F6" s="82">
        <v>-58</v>
      </c>
      <c r="G6" s="82">
        <v>-133</v>
      </c>
      <c r="H6" s="82">
        <v>-83</v>
      </c>
      <c r="I6" s="82">
        <v>-2</v>
      </c>
      <c r="J6" s="82">
        <v>-74</v>
      </c>
      <c r="K6" s="82">
        <v>-162</v>
      </c>
      <c r="L6" s="82">
        <v>-150</v>
      </c>
      <c r="M6" s="82">
        <v>-41</v>
      </c>
      <c r="N6" s="82">
        <v>-131</v>
      </c>
      <c r="O6" s="82">
        <v>-124</v>
      </c>
      <c r="P6" s="82">
        <v>-84</v>
      </c>
      <c r="Q6" s="82">
        <v>-13</v>
      </c>
      <c r="R6" s="82">
        <v>-13</v>
      </c>
      <c r="S6" s="82">
        <v>-63</v>
      </c>
      <c r="T6" s="82">
        <v>-15</v>
      </c>
      <c r="U6" s="82">
        <v>-52</v>
      </c>
      <c r="V6" s="82">
        <v>-17</v>
      </c>
      <c r="W6" s="82">
        <v>-54</v>
      </c>
      <c r="X6" s="83"/>
      <c r="Y6" s="83"/>
    </row>
    <row r="7" spans="2:25" ht="30" x14ac:dyDescent="0.25">
      <c r="B7" s="77" t="s">
        <v>32</v>
      </c>
      <c r="C7" s="84">
        <f>SUM(C4:C6)</f>
        <v>1848</v>
      </c>
      <c r="D7" s="84">
        <f>SUM(D4:D6)</f>
        <v>2311</v>
      </c>
      <c r="E7" s="84">
        <f>SUM(E4:E6)</f>
        <v>2673</v>
      </c>
      <c r="F7" s="84">
        <f>SUM(F4:F6)</f>
        <v>3097</v>
      </c>
      <c r="G7" s="84">
        <f>SUM(G4:G6)</f>
        <v>3559</v>
      </c>
      <c r="H7" s="84">
        <f>SUM(H4:H6)</f>
        <v>4048</v>
      </c>
      <c r="I7" s="84">
        <f>SUM(I4:I6)</f>
        <v>4217</v>
      </c>
      <c r="J7" s="84">
        <f>SUM(J4:J6)</f>
        <v>4288</v>
      </c>
      <c r="K7" s="84">
        <f>SUM(K4:K6)</f>
        <v>4805</v>
      </c>
      <c r="L7" s="84">
        <f>SUM(L4:L6)</f>
        <v>4808</v>
      </c>
      <c r="M7" s="84">
        <f>SUM(M4:M6)</f>
        <v>5520</v>
      </c>
      <c r="N7" s="84">
        <f>SUM(N4:N6)</f>
        <v>5503</v>
      </c>
      <c r="O7" s="84">
        <f>SUM(O4:O6)</f>
        <v>5936</v>
      </c>
      <c r="P7" s="84">
        <f>SUM(P4:P6)</f>
        <v>7173</v>
      </c>
      <c r="Q7" s="84">
        <f>SUM(Q4:Q6)</f>
        <v>6936</v>
      </c>
      <c r="R7" s="84">
        <f>SUM(R4:R6)</f>
        <v>7795</v>
      </c>
      <c r="S7" s="84">
        <f>SUM(S4:S6)</f>
        <v>8378</v>
      </c>
      <c r="T7" s="84">
        <f>SUM(T4:T6)</f>
        <v>8441</v>
      </c>
      <c r="U7" s="84">
        <f>SUM(U4:U6)</f>
        <v>8204</v>
      </c>
      <c r="V7" s="85">
        <v>8063</v>
      </c>
      <c r="W7" s="85">
        <v>8313</v>
      </c>
      <c r="X7" s="85">
        <v>8117</v>
      </c>
      <c r="Y7" s="85">
        <v>8117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tabSelected="1" workbookViewId="0">
      <selection activeCell="F4" sqref="F4"/>
    </sheetView>
  </sheetViews>
  <sheetFormatPr baseColWidth="10" defaultRowHeight="15" x14ac:dyDescent="0.25"/>
  <cols>
    <col min="1" max="1" width="8.28515625" customWidth="1"/>
    <col min="2" max="2" width="7.28515625" customWidth="1"/>
    <col min="3" max="3" width="11.42578125" style="58"/>
    <col min="5" max="5" width="17.140625" customWidth="1"/>
    <col min="8" max="8" width="17.7109375" bestFit="1" customWidth="1"/>
  </cols>
  <sheetData>
    <row r="1" spans="1:8" ht="15.75" thickBot="1" x14ac:dyDescent="0.3"/>
    <row r="2" spans="1:8" ht="45.75" thickBot="1" x14ac:dyDescent="0.3">
      <c r="A2" s="40"/>
      <c r="C2" s="54" t="s">
        <v>31</v>
      </c>
      <c r="D2" s="60" t="s">
        <v>29</v>
      </c>
      <c r="E2" s="54" t="s">
        <v>28</v>
      </c>
      <c r="F2" s="61" t="s">
        <v>26</v>
      </c>
      <c r="G2" s="61" t="s">
        <v>30</v>
      </c>
    </row>
    <row r="3" spans="1:8" x14ac:dyDescent="0.25">
      <c r="A3" s="40"/>
      <c r="B3" s="45">
        <v>1995</v>
      </c>
      <c r="C3" s="62">
        <v>380000</v>
      </c>
      <c r="D3" s="68">
        <v>1848000</v>
      </c>
      <c r="E3" s="72">
        <f>D3/C3</f>
        <v>4.8631578947368421</v>
      </c>
      <c r="F3" s="68">
        <v>1781000</v>
      </c>
      <c r="G3" s="49"/>
    </row>
    <row r="4" spans="1:8" x14ac:dyDescent="0.25">
      <c r="A4" s="41"/>
      <c r="B4" s="46">
        <f t="shared" ref="B4:B5" si="0">B5-1</f>
        <v>1996</v>
      </c>
      <c r="C4" s="63">
        <v>716600</v>
      </c>
      <c r="D4" s="69">
        <v>2311000</v>
      </c>
      <c r="E4" s="73">
        <f t="shared" ref="E4:E25" si="1">D4/C4</f>
        <v>3.2249511582472787</v>
      </c>
      <c r="F4" s="69">
        <v>2033000</v>
      </c>
      <c r="G4" s="49"/>
    </row>
    <row r="5" spans="1:8" x14ac:dyDescent="0.25">
      <c r="A5" s="41"/>
      <c r="B5" s="46">
        <f t="shared" si="0"/>
        <v>1997</v>
      </c>
      <c r="C5" s="63">
        <v>881000</v>
      </c>
      <c r="D5" s="69">
        <v>2673000</v>
      </c>
      <c r="E5" s="73">
        <f t="shared" si="1"/>
        <v>3.0340522133938705</v>
      </c>
      <c r="F5" s="69">
        <v>2334000</v>
      </c>
      <c r="G5" s="49"/>
    </row>
    <row r="6" spans="1:8" x14ac:dyDescent="0.25">
      <c r="A6" s="41"/>
      <c r="B6" s="46">
        <f>B7-1</f>
        <v>1998</v>
      </c>
      <c r="C6" s="63">
        <v>1108100</v>
      </c>
      <c r="D6" s="69">
        <v>3097000</v>
      </c>
      <c r="E6" s="73">
        <f t="shared" si="1"/>
        <v>2.7948741088349429</v>
      </c>
      <c r="F6" s="69">
        <v>2632000</v>
      </c>
      <c r="G6" s="49"/>
    </row>
    <row r="7" spans="1:8" x14ac:dyDescent="0.25">
      <c r="A7" s="41"/>
      <c r="B7" s="46">
        <v>1999</v>
      </c>
      <c r="C7" s="63">
        <v>1362100</v>
      </c>
      <c r="D7" s="70">
        <v>3751887.0731488103</v>
      </c>
      <c r="E7" s="73">
        <f t="shared" si="1"/>
        <v>2.7544872426024596</v>
      </c>
      <c r="F7" s="69">
        <v>3311000</v>
      </c>
      <c r="G7" s="56"/>
      <c r="H7" t="s">
        <v>79</v>
      </c>
    </row>
    <row r="8" spans="1:8" x14ac:dyDescent="0.25">
      <c r="A8" s="41"/>
      <c r="B8" s="46">
        <v>2000</v>
      </c>
      <c r="C8" s="63">
        <v>1372300</v>
      </c>
      <c r="D8" s="70">
        <v>4198006.4045825303</v>
      </c>
      <c r="E8" s="73">
        <f t="shared" si="1"/>
        <v>3.0591025319409244</v>
      </c>
      <c r="F8" s="69">
        <v>3602000</v>
      </c>
      <c r="G8" s="56"/>
    </row>
    <row r="9" spans="1:8" x14ac:dyDescent="0.25">
      <c r="A9" s="41"/>
      <c r="B9" s="46">
        <v>2001</v>
      </c>
      <c r="C9" s="63">
        <v>1538200</v>
      </c>
      <c r="D9" s="70">
        <v>4287091.6968029495</v>
      </c>
      <c r="E9" s="73">
        <f t="shared" si="1"/>
        <v>2.7870834071011243</v>
      </c>
      <c r="F9" s="69">
        <v>3660000</v>
      </c>
      <c r="G9" s="56"/>
    </row>
    <row r="10" spans="1:8" x14ac:dyDescent="0.25">
      <c r="A10" s="41"/>
      <c r="B10" s="46">
        <v>2002</v>
      </c>
      <c r="C10" s="63">
        <v>1602000</v>
      </c>
      <c r="D10" s="70">
        <v>4432412.7157655284</v>
      </c>
      <c r="E10" s="73">
        <f>D10/C10</f>
        <v>2.7667994480434008</v>
      </c>
      <c r="F10" s="69">
        <v>3840000</v>
      </c>
      <c r="G10" s="56"/>
    </row>
    <row r="11" spans="1:8" x14ac:dyDescent="0.25">
      <c r="A11" s="41"/>
      <c r="B11" s="46">
        <v>2003</v>
      </c>
      <c r="C11" s="63">
        <v>1653100</v>
      </c>
      <c r="D11" s="70">
        <v>5047121.1539275935</v>
      </c>
      <c r="E11" s="73">
        <f t="shared" si="1"/>
        <v>3.0531251309222633</v>
      </c>
      <c r="F11" s="69">
        <v>4479000</v>
      </c>
      <c r="G11" s="76">
        <v>1</v>
      </c>
    </row>
    <row r="12" spans="1:8" x14ac:dyDescent="0.25">
      <c r="A12" s="41"/>
      <c r="B12" s="46">
        <v>2004</v>
      </c>
      <c r="C12" s="63">
        <v>1636300</v>
      </c>
      <c r="D12" s="70">
        <v>5038111.2962520402</v>
      </c>
      <c r="E12" s="73">
        <f t="shared" si="1"/>
        <v>3.0789655297024017</v>
      </c>
      <c r="F12" s="69">
        <v>4618000</v>
      </c>
      <c r="G12" s="76">
        <v>1</v>
      </c>
    </row>
    <row r="13" spans="1:8" x14ac:dyDescent="0.25">
      <c r="A13" s="41"/>
      <c r="B13" s="46">
        <v>2005</v>
      </c>
      <c r="C13" s="63">
        <v>1584600</v>
      </c>
      <c r="D13" s="70">
        <v>5650975.8220181009</v>
      </c>
      <c r="E13" s="73">
        <f t="shared" si="1"/>
        <v>3.5661844137435952</v>
      </c>
      <c r="F13" s="69">
        <v>5009000</v>
      </c>
      <c r="G13" s="76">
        <v>0.93</v>
      </c>
      <c r="H13" s="44"/>
    </row>
    <row r="14" spans="1:8" x14ac:dyDescent="0.25">
      <c r="A14" s="41"/>
      <c r="B14" s="46">
        <v>2006</v>
      </c>
      <c r="C14" s="63">
        <v>1691800</v>
      </c>
      <c r="D14" s="70">
        <v>5725228.2888907827</v>
      </c>
      <c r="E14" s="73">
        <f t="shared" si="1"/>
        <v>3.3841046748379138</v>
      </c>
      <c r="F14" s="69">
        <v>5027000</v>
      </c>
      <c r="G14" s="76">
        <v>0.94</v>
      </c>
      <c r="H14" s="44"/>
    </row>
    <row r="15" spans="1:8" ht="20.25" x14ac:dyDescent="0.3">
      <c r="A15" s="41"/>
      <c r="B15" s="46">
        <v>2007</v>
      </c>
      <c r="C15" s="63">
        <v>1832100.0000000002</v>
      </c>
      <c r="D15" s="70">
        <v>6157730.5561404834</v>
      </c>
      <c r="E15" s="73">
        <f t="shared" si="1"/>
        <v>3.3610231734842437</v>
      </c>
      <c r="F15" s="69">
        <v>4775000</v>
      </c>
      <c r="G15" s="76">
        <v>0.87</v>
      </c>
      <c r="H15" s="57"/>
    </row>
    <row r="16" spans="1:8" ht="20.25" x14ac:dyDescent="0.3">
      <c r="A16" s="41"/>
      <c r="B16" s="46">
        <v>2008</v>
      </c>
      <c r="C16" s="63">
        <v>1970999.9999999998</v>
      </c>
      <c r="D16" s="70">
        <v>7373746.3198176837</v>
      </c>
      <c r="E16" s="73">
        <f t="shared" si="1"/>
        <v>3.7411193910794949</v>
      </c>
      <c r="F16" s="69">
        <v>4858000</v>
      </c>
      <c r="G16" s="76">
        <v>0.74</v>
      </c>
      <c r="H16" s="57"/>
    </row>
    <row r="17" spans="1:8" ht="20.25" x14ac:dyDescent="0.3">
      <c r="A17" s="41"/>
      <c r="B17" s="46">
        <v>2009</v>
      </c>
      <c r="C17" s="63">
        <v>2117500</v>
      </c>
      <c r="D17" s="70">
        <v>7060402.481703111</v>
      </c>
      <c r="E17" s="73">
        <f t="shared" si="1"/>
        <v>3.3343104990333465</v>
      </c>
      <c r="F17" s="69">
        <v>5077000</v>
      </c>
      <c r="G17" s="76">
        <v>0.76</v>
      </c>
      <c r="H17" s="57"/>
    </row>
    <row r="18" spans="1:8" ht="20.25" x14ac:dyDescent="0.3">
      <c r="A18" s="41"/>
      <c r="B18" s="46">
        <v>2010</v>
      </c>
      <c r="C18" s="63">
        <v>2088500.0000000005</v>
      </c>
      <c r="D18" s="70">
        <v>7933278.6659017541</v>
      </c>
      <c r="E18" s="73">
        <f t="shared" si="1"/>
        <v>3.7985533473314592</v>
      </c>
      <c r="F18" s="69">
        <v>5164000</v>
      </c>
      <c r="G18" s="76">
        <v>0.75</v>
      </c>
      <c r="H18" s="57"/>
    </row>
    <row r="19" spans="1:8" ht="20.25" x14ac:dyDescent="0.3">
      <c r="A19" s="41"/>
      <c r="B19" s="46">
        <v>2011</v>
      </c>
      <c r="C19" s="63">
        <v>2024800.0000000002</v>
      </c>
      <c r="D19" s="70">
        <v>8576577.0157263372</v>
      </c>
      <c r="E19" s="73">
        <f t="shared" si="1"/>
        <v>4.2357650215953857</v>
      </c>
      <c r="F19" s="69">
        <v>5277000</v>
      </c>
      <c r="G19" s="76">
        <v>0.7</v>
      </c>
      <c r="H19" s="57"/>
    </row>
    <row r="20" spans="1:8" ht="20.25" x14ac:dyDescent="0.3">
      <c r="A20" s="41"/>
      <c r="B20" s="46">
        <v>2012</v>
      </c>
      <c r="C20" s="63">
        <v>2028800.0000000002</v>
      </c>
      <c r="D20" s="70">
        <v>8591868.7910942305</v>
      </c>
      <c r="E20" s="73">
        <f t="shared" si="1"/>
        <v>4.2349510997112727</v>
      </c>
      <c r="F20" s="69">
        <v>5245000</v>
      </c>
      <c r="G20" s="76">
        <v>0.72</v>
      </c>
      <c r="H20" s="57"/>
    </row>
    <row r="21" spans="1:8" ht="20.25" x14ac:dyDescent="0.3">
      <c r="A21" s="41"/>
      <c r="B21" s="46">
        <v>2013</v>
      </c>
      <c r="C21" s="63">
        <v>1932899.9999999995</v>
      </c>
      <c r="D21" s="70">
        <v>8388998.8187770694</v>
      </c>
      <c r="E21" s="73">
        <f t="shared" si="1"/>
        <v>4.3401101033561345</v>
      </c>
      <c r="F21" s="69">
        <v>5422000</v>
      </c>
      <c r="G21" s="76">
        <v>0.71</v>
      </c>
      <c r="H21" s="57"/>
    </row>
    <row r="22" spans="1:8" ht="20.25" x14ac:dyDescent="0.3">
      <c r="A22" s="41"/>
      <c r="B22" s="46">
        <v>2014</v>
      </c>
      <c r="C22" s="63">
        <v>1843999.9999999998</v>
      </c>
      <c r="D22" s="70">
        <v>8063294.320499463</v>
      </c>
      <c r="E22" s="73">
        <f t="shared" si="1"/>
        <v>4.3727192627437441</v>
      </c>
      <c r="F22" s="69">
        <v>5741000</v>
      </c>
      <c r="G22" s="76">
        <v>0.72</v>
      </c>
      <c r="H22" s="57"/>
    </row>
    <row r="23" spans="1:8" ht="20.25" x14ac:dyDescent="0.3">
      <c r="A23" s="42"/>
      <c r="B23" s="46">
        <v>2015</v>
      </c>
      <c r="C23" s="63">
        <v>1778400.0000000002</v>
      </c>
      <c r="D23" s="70">
        <v>8313470.399999992</v>
      </c>
      <c r="E23" s="73">
        <f t="shared" si="1"/>
        <v>4.6746909581646374</v>
      </c>
      <c r="F23" s="69">
        <v>5748300.0000000177</v>
      </c>
      <c r="G23" s="76">
        <v>0.69</v>
      </c>
      <c r="H23" s="57"/>
    </row>
    <row r="24" spans="1:8" x14ac:dyDescent="0.25">
      <c r="A24" s="42"/>
      <c r="B24" s="46">
        <v>2016</v>
      </c>
      <c r="C24" s="63">
        <v>1660300.0000000002</v>
      </c>
      <c r="D24" s="70">
        <v>8117624.288000023</v>
      </c>
      <c r="E24" s="73">
        <f t="shared" si="1"/>
        <v>4.8892515135818959</v>
      </c>
      <c r="F24" s="69">
        <v>5708039</v>
      </c>
      <c r="G24" s="76">
        <v>0.65</v>
      </c>
      <c r="H24" s="44"/>
    </row>
    <row r="25" spans="1:8" ht="15.75" thickBot="1" x14ac:dyDescent="0.3">
      <c r="A25" s="43"/>
      <c r="B25" s="47">
        <v>2017</v>
      </c>
      <c r="C25" s="64">
        <v>1620000</v>
      </c>
      <c r="D25" s="71">
        <v>7848788.9919999931</v>
      </c>
      <c r="E25" s="74">
        <f t="shared" si="1"/>
        <v>4.8449314765432057</v>
      </c>
      <c r="F25" s="75">
        <v>5869720.0000000009</v>
      </c>
      <c r="G25" s="59"/>
      <c r="H25" s="44"/>
    </row>
    <row r="26" spans="1:8" x14ac:dyDescent="0.25">
      <c r="A26" s="43"/>
      <c r="B26" s="159">
        <v>2018</v>
      </c>
      <c r="C26" s="65">
        <v>1560000</v>
      </c>
      <c r="D26" s="48"/>
      <c r="E26" s="147"/>
      <c r="F26" s="48"/>
      <c r="G26" s="48"/>
      <c r="H26" s="44"/>
    </row>
    <row r="27" spans="1:8" x14ac:dyDescent="0.25">
      <c r="A27" s="43"/>
      <c r="B27" s="51">
        <v>2019</v>
      </c>
      <c r="C27" s="66">
        <v>1540000</v>
      </c>
      <c r="D27" s="49"/>
      <c r="E27" s="55"/>
      <c r="F27" s="49"/>
      <c r="G27" s="49"/>
      <c r="H27" s="44"/>
    </row>
    <row r="28" spans="1:8" ht="15.75" thickBot="1" x14ac:dyDescent="0.3">
      <c r="A28" s="43"/>
      <c r="B28" s="53">
        <v>2020</v>
      </c>
      <c r="C28" s="67">
        <v>1490000</v>
      </c>
      <c r="D28" s="50"/>
      <c r="E28" s="148"/>
      <c r="F28" s="50"/>
      <c r="G28" s="50"/>
      <c r="H28" s="44"/>
    </row>
    <row r="29" spans="1:8" x14ac:dyDescent="0.25">
      <c r="A29" s="43"/>
      <c r="B29" s="159">
        <v>2021</v>
      </c>
      <c r="C29" s="65">
        <v>1500000</v>
      </c>
      <c r="D29" s="48"/>
      <c r="E29" s="147"/>
      <c r="F29" s="48"/>
      <c r="G29" s="48"/>
      <c r="H29" s="44"/>
    </row>
    <row r="30" spans="1:8" x14ac:dyDescent="0.25">
      <c r="A30" s="43"/>
      <c r="B30" s="52">
        <v>2022</v>
      </c>
      <c r="C30" s="66">
        <v>1350000</v>
      </c>
      <c r="D30" s="49"/>
      <c r="E30" s="55"/>
      <c r="F30" s="49"/>
      <c r="G30" s="49"/>
      <c r="H30" s="44"/>
    </row>
    <row r="31" spans="1:8" x14ac:dyDescent="0.25">
      <c r="A31" s="43"/>
      <c r="B31" s="51">
        <v>2023</v>
      </c>
      <c r="C31" s="66">
        <v>1255000</v>
      </c>
      <c r="D31" s="49"/>
      <c r="E31" s="55"/>
      <c r="F31" s="49"/>
      <c r="G31" s="49"/>
      <c r="H31" s="44"/>
    </row>
    <row r="32" spans="1:8" x14ac:dyDescent="0.25">
      <c r="A32" s="43"/>
      <c r="B32" s="51">
        <v>2024</v>
      </c>
      <c r="C32" s="66">
        <v>940000</v>
      </c>
      <c r="D32" s="49"/>
      <c r="E32" s="55"/>
      <c r="F32" s="49"/>
      <c r="G32" s="49"/>
    </row>
    <row r="33" spans="1:7" ht="15.75" thickBot="1" x14ac:dyDescent="0.3">
      <c r="A33" s="43"/>
      <c r="B33" s="53">
        <v>2025</v>
      </c>
      <c r="C33" s="67">
        <v>830000</v>
      </c>
      <c r="D33" s="50"/>
      <c r="E33" s="148"/>
      <c r="F33" s="50"/>
      <c r="G33" s="50"/>
    </row>
    <row r="34" spans="1:7" x14ac:dyDescent="0.25">
      <c r="A34" s="43"/>
      <c r="B34" s="157">
        <v>2026</v>
      </c>
      <c r="C34" s="158">
        <v>740000</v>
      </c>
      <c r="D34" s="49"/>
      <c r="E34" s="55"/>
      <c r="F34" s="49"/>
      <c r="G34" s="49"/>
    </row>
    <row r="35" spans="1:7" x14ac:dyDescent="0.25">
      <c r="A35" s="43"/>
      <c r="B35" s="51">
        <v>2027</v>
      </c>
      <c r="C35" s="66">
        <v>700000</v>
      </c>
      <c r="D35" s="49"/>
      <c r="E35" s="55"/>
      <c r="F35" s="49"/>
      <c r="G35" s="49"/>
    </row>
    <row r="36" spans="1:7" x14ac:dyDescent="0.25">
      <c r="A36" s="43"/>
      <c r="B36" s="51">
        <v>2028</v>
      </c>
      <c r="C36" s="66">
        <v>550000</v>
      </c>
      <c r="D36" s="49"/>
      <c r="E36" s="55"/>
      <c r="F36" s="49"/>
      <c r="G36" s="49"/>
    </row>
    <row r="37" spans="1:7" x14ac:dyDescent="0.25">
      <c r="A37" s="43"/>
      <c r="B37" s="51">
        <v>2029</v>
      </c>
      <c r="C37" s="66">
        <v>520000</v>
      </c>
      <c r="D37" s="49"/>
      <c r="E37" s="55"/>
      <c r="F37" s="49"/>
      <c r="G37" s="49"/>
    </row>
    <row r="38" spans="1:7" ht="15.75" thickBot="1" x14ac:dyDescent="0.3">
      <c r="A38" s="43"/>
      <c r="B38" s="53">
        <v>2030</v>
      </c>
      <c r="C38" s="67">
        <v>500000</v>
      </c>
      <c r="D38" s="50"/>
      <c r="E38" s="148"/>
      <c r="F38" s="50"/>
      <c r="G38" s="50"/>
    </row>
    <row r="39" spans="1:7" x14ac:dyDescent="0.25">
      <c r="B39" s="149">
        <f>B38+1</f>
        <v>2031</v>
      </c>
      <c r="C39" s="154"/>
      <c r="D39" s="150"/>
      <c r="E39" s="48"/>
      <c r="F39" s="150"/>
      <c r="G39" s="48"/>
    </row>
    <row r="40" spans="1:7" x14ac:dyDescent="0.25">
      <c r="B40" s="151">
        <f t="shared" ref="B40:B43" si="2">B39+1</f>
        <v>2032</v>
      </c>
      <c r="C40" s="155"/>
      <c r="D40" s="44"/>
      <c r="E40" s="49"/>
      <c r="F40" s="44"/>
      <c r="G40" s="49"/>
    </row>
    <row r="41" spans="1:7" x14ac:dyDescent="0.25">
      <c r="B41" s="151">
        <f t="shared" si="2"/>
        <v>2033</v>
      </c>
      <c r="C41" s="155"/>
      <c r="D41" s="44"/>
      <c r="E41" s="49"/>
      <c r="F41" s="44"/>
      <c r="G41" s="49"/>
    </row>
    <row r="42" spans="1:7" x14ac:dyDescent="0.25">
      <c r="B42" s="151">
        <f t="shared" si="2"/>
        <v>2034</v>
      </c>
      <c r="C42" s="155"/>
      <c r="D42" s="44"/>
      <c r="E42" s="49"/>
      <c r="F42" s="44"/>
      <c r="G42" s="49"/>
    </row>
    <row r="43" spans="1:7" ht="15.75" thickBot="1" x14ac:dyDescent="0.3">
      <c r="B43" s="152">
        <f t="shared" si="2"/>
        <v>2035</v>
      </c>
      <c r="C43" s="156"/>
      <c r="D43" s="153"/>
      <c r="E43" s="50"/>
      <c r="F43" s="153"/>
      <c r="G43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"/>
  <sheetViews>
    <sheetView topLeftCell="H16" zoomScale="70" zoomScaleNormal="70" workbookViewId="0">
      <selection activeCell="K23" sqref="K23"/>
    </sheetView>
  </sheetViews>
  <sheetFormatPr baseColWidth="10" defaultRowHeight="15" x14ac:dyDescent="0.25"/>
  <cols>
    <col min="1" max="1" width="63.5703125" customWidth="1"/>
    <col min="2" max="2" width="16.42578125" customWidth="1"/>
    <col min="3" max="3" width="6.7109375" bestFit="1" customWidth="1"/>
    <col min="4" max="4" width="6.28515625" bestFit="1" customWidth="1"/>
    <col min="5" max="5" width="12.85546875" bestFit="1" customWidth="1"/>
    <col min="6" max="6" width="8.5703125" bestFit="1" customWidth="1"/>
    <col min="7" max="7" width="11.42578125" bestFit="1" customWidth="1"/>
    <col min="8" max="8" width="10.140625" bestFit="1" customWidth="1"/>
    <col min="9" max="23" width="11.28515625" bestFit="1" customWidth="1"/>
    <col min="24" max="24" width="9.28515625" bestFit="1" customWidth="1"/>
    <col min="25" max="25" width="9.140625" customWidth="1"/>
    <col min="26" max="26" width="8.5703125" bestFit="1" customWidth="1"/>
    <col min="29" max="29" width="14" customWidth="1"/>
    <col min="30" max="30" width="19.7109375" customWidth="1"/>
    <col min="41" max="43" width="11.42578125" style="3"/>
    <col min="44" max="44" width="27" style="3" customWidth="1"/>
    <col min="45" max="46" width="11.42578125" style="3"/>
    <col min="47" max="47" width="12.85546875" style="3" bestFit="1" customWidth="1"/>
    <col min="48" max="54" width="11.42578125" style="3"/>
  </cols>
  <sheetData>
    <row r="1" spans="1:54" ht="15.75" thickBot="1" x14ac:dyDescent="0.3">
      <c r="A1" s="86" t="s">
        <v>37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8"/>
    </row>
    <row r="2" spans="1:54" ht="15.75" thickBot="1" x14ac:dyDescent="0.3">
      <c r="A2" s="89"/>
      <c r="B2" s="90" t="s">
        <v>38</v>
      </c>
      <c r="C2" s="90"/>
      <c r="D2" s="90"/>
      <c r="E2" s="90"/>
      <c r="F2" s="90">
        <v>1996</v>
      </c>
      <c r="G2" s="90">
        <v>1997</v>
      </c>
      <c r="H2" s="90">
        <v>1998</v>
      </c>
      <c r="I2" s="90">
        <v>1999</v>
      </c>
      <c r="J2" s="90">
        <v>2000</v>
      </c>
      <c r="K2" s="90">
        <v>2001</v>
      </c>
      <c r="L2" s="90">
        <v>2002</v>
      </c>
      <c r="M2" s="90">
        <v>2003</v>
      </c>
      <c r="N2" s="90">
        <v>2004</v>
      </c>
      <c r="O2" s="90">
        <v>2005</v>
      </c>
      <c r="P2" s="90">
        <v>2006</v>
      </c>
      <c r="Q2" s="90">
        <v>2007</v>
      </c>
      <c r="R2" s="90">
        <v>2008</v>
      </c>
      <c r="S2" s="90">
        <v>2009</v>
      </c>
      <c r="T2" s="90">
        <v>2010</v>
      </c>
      <c r="U2" s="90">
        <v>2011</v>
      </c>
      <c r="V2" s="90">
        <v>2012</v>
      </c>
      <c r="W2" s="90">
        <v>2013</v>
      </c>
      <c r="X2" s="90">
        <v>2014</v>
      </c>
      <c r="Y2" s="90">
        <v>2015</v>
      </c>
      <c r="Z2" s="90">
        <v>2016</v>
      </c>
      <c r="AA2" s="90">
        <v>2017</v>
      </c>
      <c r="AB2" s="90">
        <v>2018</v>
      </c>
      <c r="AC2" s="90">
        <v>2019</v>
      </c>
      <c r="AD2" s="90">
        <v>2020</v>
      </c>
      <c r="AE2" s="90">
        <v>2021</v>
      </c>
      <c r="AF2" s="90">
        <v>2022</v>
      </c>
      <c r="AG2" s="90">
        <v>2023</v>
      </c>
      <c r="AH2" s="90">
        <v>2024</v>
      </c>
      <c r="AI2" s="90">
        <f>AH2+1</f>
        <v>2025</v>
      </c>
      <c r="AJ2" s="90">
        <f t="shared" ref="AJ2:AM2" si="0">AI2+1</f>
        <v>2026</v>
      </c>
      <c r="AK2" s="90">
        <f t="shared" si="0"/>
        <v>2027</v>
      </c>
      <c r="AL2" s="90">
        <f t="shared" si="0"/>
        <v>2028</v>
      </c>
      <c r="AM2" s="90">
        <f t="shared" si="0"/>
        <v>2029</v>
      </c>
      <c r="AN2" s="90">
        <f>AM2+1</f>
        <v>2030</v>
      </c>
    </row>
    <row r="3" spans="1:54" s="3" customFormat="1" ht="15.75" thickBot="1" x14ac:dyDescent="0.3">
      <c r="A3" s="91" t="s">
        <v>39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</row>
    <row r="4" spans="1:54" ht="15.75" thickBot="1" x14ac:dyDescent="0.3">
      <c r="A4" s="93" t="s">
        <v>40</v>
      </c>
      <c r="B4" s="90" t="s">
        <v>41</v>
      </c>
      <c r="C4" s="94">
        <v>1915</v>
      </c>
      <c r="D4" s="94"/>
      <c r="E4" s="95">
        <v>687627.53508516215</v>
      </c>
      <c r="F4" s="96">
        <f>G4</f>
        <v>238.20000000000005</v>
      </c>
      <c r="G4" s="96">
        <f>650.2-412</f>
        <v>238.20000000000005</v>
      </c>
      <c r="H4" s="96">
        <f>154.502+72</f>
        <v>226.50200000000001</v>
      </c>
      <c r="I4" s="96">
        <f>154.502+207</f>
        <v>361.50200000000001</v>
      </c>
      <c r="J4" s="96">
        <f>154.502+203</f>
        <v>357.50200000000001</v>
      </c>
      <c r="K4" s="96">
        <f>154.502+188</f>
        <v>342.50200000000001</v>
      </c>
      <c r="L4" s="96">
        <f>154.502+170</f>
        <v>324.50200000000001</v>
      </c>
      <c r="M4" s="96">
        <f>154.502+185</f>
        <v>339.50200000000001</v>
      </c>
      <c r="N4" s="96">
        <f>154.502+204</f>
        <v>358.50200000000001</v>
      </c>
      <c r="O4" s="97">
        <f>154.502+71</f>
        <v>225.50200000000001</v>
      </c>
      <c r="P4" s="97">
        <f>154.502+106</f>
        <v>260.50200000000001</v>
      </c>
      <c r="Q4" s="97">
        <f>154.502+137</f>
        <v>291.50200000000001</v>
      </c>
      <c r="R4" s="97">
        <f>154.502+92</f>
        <v>246.50200000000001</v>
      </c>
      <c r="S4" s="97">
        <f>154.502+126</f>
        <v>280.50200000000001</v>
      </c>
      <c r="T4" s="97">
        <f>154.502+34</f>
        <v>188.50200000000001</v>
      </c>
      <c r="U4" s="97">
        <f>154.502-47</f>
        <v>107.50200000000001</v>
      </c>
      <c r="V4" s="97">
        <f>154.502-19</f>
        <v>135.50200000000001</v>
      </c>
      <c r="W4" s="97">
        <f>154.502-36</f>
        <v>118.50200000000001</v>
      </c>
      <c r="X4" s="97">
        <v>340</v>
      </c>
      <c r="Y4" s="98">
        <v>309</v>
      </c>
      <c r="Z4" s="98">
        <v>302</v>
      </c>
      <c r="AA4" s="99"/>
      <c r="AB4" s="99"/>
      <c r="AC4" s="99"/>
      <c r="AD4" s="100" t="s">
        <v>42</v>
      </c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54" ht="15.75" thickBot="1" x14ac:dyDescent="0.3">
      <c r="A5" s="101" t="s">
        <v>43</v>
      </c>
      <c r="B5" s="102" t="s">
        <v>41</v>
      </c>
      <c r="C5" s="103">
        <v>1997</v>
      </c>
      <c r="D5" s="103">
        <v>2020</v>
      </c>
      <c r="E5" s="95">
        <v>573022.94590430183</v>
      </c>
      <c r="F5" s="104"/>
      <c r="G5" s="105">
        <v>4</v>
      </c>
      <c r="H5" s="105">
        <v>161.9</v>
      </c>
      <c r="I5" s="105">
        <v>190.1</v>
      </c>
      <c r="J5" s="105">
        <v>191.4</v>
      </c>
      <c r="K5" s="105">
        <v>260.3</v>
      </c>
      <c r="L5" s="105">
        <v>297.10000000000002</v>
      </c>
      <c r="M5" s="105">
        <v>306.10000000000002</v>
      </c>
      <c r="N5" s="105">
        <v>291</v>
      </c>
      <c r="O5" s="105">
        <v>288.8</v>
      </c>
      <c r="P5" s="105">
        <v>306.60000000000002</v>
      </c>
      <c r="Q5" s="105">
        <v>281.3</v>
      </c>
      <c r="R5" s="105">
        <v>285.39999999999998</v>
      </c>
      <c r="S5" s="105">
        <v>300.7</v>
      </c>
      <c r="T5" s="105">
        <v>375.3</v>
      </c>
      <c r="U5" s="105">
        <v>470.1</v>
      </c>
      <c r="V5" s="105">
        <v>427.8</v>
      </c>
      <c r="W5" s="105">
        <v>379.6</v>
      </c>
      <c r="X5" s="105">
        <v>327.3</v>
      </c>
      <c r="Y5" s="106">
        <v>315.7</v>
      </c>
      <c r="Z5" s="106">
        <v>318.3</v>
      </c>
      <c r="AA5" s="107"/>
      <c r="AB5" s="107"/>
      <c r="AC5" s="107"/>
      <c r="AD5" s="108" t="s">
        <v>42</v>
      </c>
      <c r="AE5" s="107"/>
      <c r="AF5" s="107"/>
      <c r="AG5" s="107"/>
      <c r="AH5" s="107"/>
      <c r="AI5" s="107"/>
      <c r="AJ5" s="107"/>
      <c r="AK5" s="107"/>
      <c r="AL5" s="107"/>
      <c r="AM5" s="107"/>
      <c r="AN5" s="107"/>
    </row>
    <row r="6" spans="1:54" ht="15.75" thickBot="1" x14ac:dyDescent="0.3">
      <c r="A6" s="109" t="s">
        <v>44</v>
      </c>
      <c r="B6" s="102" t="s">
        <v>41</v>
      </c>
      <c r="C6" s="103">
        <v>2008</v>
      </c>
      <c r="D6" s="103">
        <v>2028</v>
      </c>
      <c r="E6" s="95">
        <v>744929.82967559237</v>
      </c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  <c r="R6" s="105">
        <v>148.1</v>
      </c>
      <c r="S6" s="105">
        <v>144.80000000000001</v>
      </c>
      <c r="T6" s="105">
        <v>141.5</v>
      </c>
      <c r="U6" s="105">
        <v>138.19999999999999</v>
      </c>
      <c r="V6" s="105">
        <v>134.9</v>
      </c>
      <c r="W6" s="105">
        <v>131.6</v>
      </c>
      <c r="X6" s="105">
        <v>128.30000000000001</v>
      </c>
      <c r="Y6" s="106">
        <v>125</v>
      </c>
      <c r="Z6" s="106">
        <v>121.70000000000002</v>
      </c>
      <c r="AA6" s="107"/>
      <c r="AB6" s="107"/>
      <c r="AC6" s="107"/>
      <c r="AD6" s="107"/>
      <c r="AE6" s="107"/>
      <c r="AF6" s="107"/>
      <c r="AG6" s="107"/>
      <c r="AH6" s="107"/>
      <c r="AI6" s="112"/>
      <c r="AJ6" s="107"/>
      <c r="AK6" s="107"/>
      <c r="AL6" s="108" t="s">
        <v>42</v>
      </c>
      <c r="AM6" s="107"/>
      <c r="AN6" s="107"/>
    </row>
    <row r="7" spans="1:54" ht="15.75" thickBot="1" x14ac:dyDescent="0.3">
      <c r="A7" s="109" t="s">
        <v>45</v>
      </c>
      <c r="B7" s="102" t="s">
        <v>46</v>
      </c>
      <c r="C7" s="103"/>
      <c r="D7" s="103">
        <v>1959</v>
      </c>
      <c r="E7" s="95">
        <v>286511.47295215091</v>
      </c>
      <c r="F7" s="105">
        <v>89.9</v>
      </c>
      <c r="G7" s="105">
        <v>88.3</v>
      </c>
      <c r="H7" s="105">
        <v>88.1</v>
      </c>
      <c r="I7" s="105">
        <v>91.7</v>
      </c>
      <c r="J7" s="105">
        <v>80.5</v>
      </c>
      <c r="K7" s="105">
        <v>81.2</v>
      </c>
      <c r="L7" s="105">
        <v>72.8</v>
      </c>
      <c r="M7" s="105">
        <v>80.099999999999994</v>
      </c>
      <c r="N7" s="105">
        <v>74.900000000000006</v>
      </c>
      <c r="O7" s="105">
        <v>77.5</v>
      </c>
      <c r="P7" s="105">
        <v>80.599999999999994</v>
      </c>
      <c r="Q7" s="105">
        <v>63.9</v>
      </c>
      <c r="R7" s="105">
        <v>42.7</v>
      </c>
      <c r="S7" s="105">
        <v>65.5</v>
      </c>
      <c r="T7" s="105">
        <v>76.199999999999989</v>
      </c>
      <c r="U7" s="105">
        <v>68.999999999999986</v>
      </c>
      <c r="V7" s="105">
        <v>62.699999999999996</v>
      </c>
      <c r="W7" s="106">
        <v>54.300000000000004</v>
      </c>
      <c r="X7" s="106">
        <v>53.999999999999993</v>
      </c>
      <c r="Y7" s="106">
        <v>48.6</v>
      </c>
      <c r="Z7" s="106">
        <v>59.800000000000004</v>
      </c>
      <c r="AA7" s="107"/>
      <c r="AB7" s="107"/>
      <c r="AC7" s="107"/>
      <c r="AD7" s="107"/>
      <c r="AE7" s="107"/>
      <c r="AF7" s="107"/>
      <c r="AG7" s="107"/>
      <c r="AH7" s="107"/>
      <c r="AI7" s="112"/>
      <c r="AJ7" s="107"/>
      <c r="AK7" s="107"/>
      <c r="AL7" s="107"/>
      <c r="AM7" s="107"/>
      <c r="AN7" s="107"/>
    </row>
    <row r="8" spans="1:54" ht="15.75" thickBot="1" x14ac:dyDescent="0.3">
      <c r="A8" s="89" t="s">
        <v>47</v>
      </c>
      <c r="B8" s="90"/>
      <c r="C8" s="90"/>
      <c r="D8" s="90"/>
      <c r="E8" s="113">
        <f>SUM(E4:E7)</f>
        <v>2292091.7836172073</v>
      </c>
      <c r="F8" s="114">
        <f>SUM(F4:F7)</f>
        <v>328.1</v>
      </c>
      <c r="G8" s="114">
        <f t="shared" ref="G8:V8" si="1">SUM(G4:G7)</f>
        <v>330.50000000000006</v>
      </c>
      <c r="H8" s="114">
        <f t="shared" si="1"/>
        <v>476.50200000000007</v>
      </c>
      <c r="I8" s="114">
        <f t="shared" si="1"/>
        <v>643.30200000000002</v>
      </c>
      <c r="J8" s="114">
        <f>SUM(J4:J7)</f>
        <v>629.40200000000004</v>
      </c>
      <c r="K8" s="114">
        <f t="shared" si="1"/>
        <v>684.00200000000007</v>
      </c>
      <c r="L8" s="114">
        <f t="shared" si="1"/>
        <v>694.40200000000004</v>
      </c>
      <c r="M8" s="114">
        <f t="shared" si="1"/>
        <v>725.70200000000011</v>
      </c>
      <c r="N8" s="114">
        <f t="shared" si="1"/>
        <v>724.40199999999993</v>
      </c>
      <c r="O8" s="114">
        <f t="shared" si="1"/>
        <v>591.80200000000002</v>
      </c>
      <c r="P8" s="114">
        <f t="shared" si="1"/>
        <v>647.70200000000011</v>
      </c>
      <c r="Q8" s="114">
        <f t="shared" si="1"/>
        <v>636.702</v>
      </c>
      <c r="R8" s="114">
        <f t="shared" si="1"/>
        <v>722.70200000000011</v>
      </c>
      <c r="S8" s="114">
        <f t="shared" si="1"/>
        <v>791.50199999999995</v>
      </c>
      <c r="T8" s="114">
        <f t="shared" si="1"/>
        <v>781.50199999999995</v>
      </c>
      <c r="U8" s="114">
        <f>SUM(U4:U7)</f>
        <v>784.80200000000013</v>
      </c>
      <c r="V8" s="114">
        <f t="shared" si="1"/>
        <v>760.90200000000004</v>
      </c>
      <c r="W8" s="114">
        <f>SUM(W4:W7)</f>
        <v>684.00199999999995</v>
      </c>
      <c r="X8" s="114">
        <f>SUM(X4:X7)</f>
        <v>849.59999999999991</v>
      </c>
      <c r="Y8" s="114">
        <f>SUM(Y4:Y7)</f>
        <v>798.30000000000007</v>
      </c>
      <c r="Z8" s="114">
        <f>SUM(Z4:Z7)</f>
        <v>801.8</v>
      </c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</row>
    <row r="9" spans="1:54" s="44" customFormat="1" ht="15.75" thickBot="1" x14ac:dyDescent="0.3">
      <c r="A9" s="115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54" ht="15.75" thickBot="1" x14ac:dyDescent="0.3">
      <c r="A10" s="89"/>
      <c r="B10" s="90" t="s">
        <v>38</v>
      </c>
      <c r="C10" s="90"/>
      <c r="D10" s="90"/>
      <c r="E10" s="90"/>
      <c r="F10" s="90">
        <v>1996</v>
      </c>
      <c r="G10" s="90">
        <v>1997</v>
      </c>
      <c r="H10" s="90">
        <v>1998</v>
      </c>
      <c r="I10" s="90">
        <v>1999</v>
      </c>
      <c r="J10" s="90">
        <v>2000</v>
      </c>
      <c r="K10" s="90">
        <v>2001</v>
      </c>
      <c r="L10" s="90">
        <v>2002</v>
      </c>
      <c r="M10" s="90">
        <v>2003</v>
      </c>
      <c r="N10" s="90">
        <v>2004</v>
      </c>
      <c r="O10" s="90">
        <v>2005</v>
      </c>
      <c r="P10" s="90">
        <v>2006</v>
      </c>
      <c r="Q10" s="90">
        <v>2007</v>
      </c>
      <c r="R10" s="90">
        <v>2008</v>
      </c>
      <c r="S10" s="90">
        <v>2009</v>
      </c>
      <c r="T10" s="90">
        <v>2010</v>
      </c>
      <c r="U10" s="90">
        <v>2011</v>
      </c>
      <c r="V10" s="90">
        <v>2012</v>
      </c>
      <c r="W10" s="89">
        <v>2013</v>
      </c>
      <c r="X10" s="90">
        <v>2014</v>
      </c>
      <c r="Y10" s="90">
        <v>2015</v>
      </c>
      <c r="Z10" s="90">
        <v>2016</v>
      </c>
      <c r="AA10" s="90">
        <v>2017</v>
      </c>
      <c r="AB10" s="90">
        <v>2018</v>
      </c>
      <c r="AC10" s="90">
        <v>2019</v>
      </c>
      <c r="AD10" s="90">
        <v>2020</v>
      </c>
      <c r="AE10" s="90">
        <v>2021</v>
      </c>
      <c r="AF10" s="90">
        <v>2022</v>
      </c>
      <c r="AG10" s="90">
        <v>2023</v>
      </c>
      <c r="AH10" s="90">
        <v>2024</v>
      </c>
      <c r="AI10" s="90">
        <f>AH10+1</f>
        <v>2025</v>
      </c>
      <c r="AJ10" s="90">
        <f t="shared" ref="AJ10:AM10" si="2">AI10+1</f>
        <v>2026</v>
      </c>
      <c r="AK10" s="90">
        <f t="shared" si="2"/>
        <v>2027</v>
      </c>
      <c r="AL10" s="90">
        <f t="shared" si="2"/>
        <v>2028</v>
      </c>
      <c r="AM10" s="90">
        <f t="shared" si="2"/>
        <v>2029</v>
      </c>
      <c r="AN10" s="90">
        <f>AM10+1</f>
        <v>2030</v>
      </c>
    </row>
    <row r="11" spans="1:54" ht="15.75" thickBot="1" x14ac:dyDescent="0.3">
      <c r="A11" s="117" t="s">
        <v>48</v>
      </c>
      <c r="B11" s="102" t="s">
        <v>49</v>
      </c>
      <c r="C11" s="103">
        <v>1994</v>
      </c>
      <c r="D11" s="103">
        <v>2021</v>
      </c>
      <c r="E11" s="112">
        <v>80000</v>
      </c>
      <c r="F11" s="104">
        <v>67.7</v>
      </c>
      <c r="G11" s="105">
        <v>66.8</v>
      </c>
      <c r="H11" s="105">
        <v>71.099999999999994</v>
      </c>
      <c r="I11" s="105">
        <v>73.099999999999994</v>
      </c>
      <c r="J11" s="105">
        <v>68.599999999999994</v>
      </c>
      <c r="K11" s="105">
        <v>74.599999999999994</v>
      </c>
      <c r="L11" s="105">
        <v>73.8</v>
      </c>
      <c r="M11" s="105">
        <v>80.099999999999994</v>
      </c>
      <c r="N11" s="105">
        <v>76.3</v>
      </c>
      <c r="O11" s="105">
        <v>81</v>
      </c>
      <c r="P11" s="105">
        <v>82.4</v>
      </c>
      <c r="Q11" s="105">
        <v>82.9</v>
      </c>
      <c r="R11" s="105">
        <v>85.399999999999991</v>
      </c>
      <c r="S11" s="105">
        <v>87.399999999999991</v>
      </c>
      <c r="T11" s="105">
        <v>86.2</v>
      </c>
      <c r="U11" s="105">
        <v>63.400000000000006</v>
      </c>
      <c r="V11" s="105">
        <v>62.399999999999991</v>
      </c>
      <c r="W11" s="106">
        <v>56.2</v>
      </c>
      <c r="X11" s="106">
        <v>48.099999999999994</v>
      </c>
      <c r="Y11" s="106">
        <v>39.1</v>
      </c>
      <c r="Z11" s="106">
        <v>34.700000000000003</v>
      </c>
      <c r="AA11" s="107"/>
      <c r="AB11" s="107"/>
      <c r="AC11" s="107"/>
      <c r="AD11" s="112">
        <v>0</v>
      </c>
      <c r="AE11" s="108" t="s">
        <v>42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R11" s="93" t="s">
        <v>1</v>
      </c>
      <c r="AS11" s="118"/>
    </row>
    <row r="12" spans="1:54" ht="15.75" thickBot="1" x14ac:dyDescent="0.3">
      <c r="A12" s="117" t="s">
        <v>50</v>
      </c>
      <c r="B12" s="102" t="s">
        <v>49</v>
      </c>
      <c r="C12" s="103">
        <v>2004</v>
      </c>
      <c r="D12" s="103">
        <v>2026</v>
      </c>
      <c r="E12" s="112">
        <v>250000</v>
      </c>
      <c r="F12" s="104">
        <v>59.3</v>
      </c>
      <c r="G12" s="105">
        <v>60.3</v>
      </c>
      <c r="H12" s="105">
        <v>75</v>
      </c>
      <c r="I12" s="105">
        <v>100.2</v>
      </c>
      <c r="J12" s="105">
        <v>119.2</v>
      </c>
      <c r="K12" s="105">
        <v>133.9</v>
      </c>
      <c r="L12" s="105">
        <v>128.30000000000001</v>
      </c>
      <c r="M12" s="105">
        <v>131.5</v>
      </c>
      <c r="N12" s="105">
        <v>119.5</v>
      </c>
      <c r="O12" s="105">
        <v>90.4</v>
      </c>
      <c r="P12" s="105">
        <v>115.5</v>
      </c>
      <c r="Q12" s="105">
        <v>98.699999999999974</v>
      </c>
      <c r="R12" s="105">
        <v>104.19999999999999</v>
      </c>
      <c r="S12" s="105">
        <v>93.699999999999989</v>
      </c>
      <c r="T12" s="105">
        <v>88.999999999999986</v>
      </c>
      <c r="U12" s="105">
        <v>94.300000000000011</v>
      </c>
      <c r="V12" s="105">
        <v>73.099999999999994</v>
      </c>
      <c r="W12" s="106">
        <v>73.600000000000009</v>
      </c>
      <c r="X12" s="106">
        <v>79.599999999999994</v>
      </c>
      <c r="Y12" s="106">
        <v>74.399999999999991</v>
      </c>
      <c r="Z12" s="106">
        <v>74</v>
      </c>
      <c r="AA12" s="107"/>
      <c r="AB12" s="107"/>
      <c r="AC12" s="107"/>
      <c r="AD12" s="107"/>
      <c r="AE12" s="107"/>
      <c r="AF12" s="107"/>
      <c r="AG12" s="112">
        <v>0</v>
      </c>
      <c r="AH12" s="107"/>
      <c r="AI12" s="107"/>
      <c r="AJ12" s="108" t="s">
        <v>42</v>
      </c>
      <c r="AK12" s="107"/>
      <c r="AL12" s="107"/>
      <c r="AM12" s="107"/>
      <c r="AN12" s="107"/>
      <c r="AR12" s="93" t="s">
        <v>3</v>
      </c>
      <c r="AS12" s="118">
        <v>172681</v>
      </c>
      <c r="AT12" s="119">
        <f>SUM(W11:W13)</f>
        <v>158.19</v>
      </c>
      <c r="AU12" s="120">
        <v>158190</v>
      </c>
      <c r="AV12" s="39">
        <f>AS12-AU12</f>
        <v>14491</v>
      </c>
      <c r="AW12" s="120"/>
    </row>
    <row r="13" spans="1:54" ht="15.75" thickBot="1" x14ac:dyDescent="0.3">
      <c r="A13" s="117" t="s">
        <v>51</v>
      </c>
      <c r="B13" s="121" t="s">
        <v>49</v>
      </c>
      <c r="C13" s="122">
        <v>1999</v>
      </c>
      <c r="D13" s="122">
        <v>2015</v>
      </c>
      <c r="E13" s="123">
        <v>80000</v>
      </c>
      <c r="F13" s="124"/>
      <c r="G13" s="124"/>
      <c r="H13" s="124"/>
      <c r="I13" s="124"/>
      <c r="J13" s="105">
        <v>37.06</v>
      </c>
      <c r="K13" s="105">
        <v>38.479999999999997</v>
      </c>
      <c r="L13" s="105">
        <v>36.799999999999997</v>
      </c>
      <c r="M13" s="105">
        <v>33.549999999999997</v>
      </c>
      <c r="N13" s="105">
        <v>40.880000000000003</v>
      </c>
      <c r="O13" s="105">
        <v>36.29</v>
      </c>
      <c r="P13" s="105">
        <v>37.4</v>
      </c>
      <c r="Q13" s="105">
        <v>38.4</v>
      </c>
      <c r="R13" s="105">
        <v>39.47</v>
      </c>
      <c r="S13" s="105">
        <v>43.13</v>
      </c>
      <c r="T13" s="105">
        <v>38.83</v>
      </c>
      <c r="U13" s="105">
        <v>36</v>
      </c>
      <c r="V13" s="105">
        <v>36.799999999999997</v>
      </c>
      <c r="W13" s="105">
        <v>28.39</v>
      </c>
      <c r="X13" s="105">
        <v>30</v>
      </c>
      <c r="Y13" s="125"/>
      <c r="Z13" s="104"/>
      <c r="AA13" s="107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07"/>
      <c r="AR13" s="93" t="s">
        <v>4</v>
      </c>
      <c r="AS13" s="118">
        <v>2059805</v>
      </c>
      <c r="AT13" s="120">
        <f>SUM(W4:W6)+SUM(W14:W35)</f>
        <v>14716.091999999999</v>
      </c>
      <c r="AU13" s="120">
        <v>1717856.0000000002</v>
      </c>
      <c r="AV13" s="39">
        <f t="shared" ref="AV13:AV14" si="3">AS13-AU13</f>
        <v>341948.99999999977</v>
      </c>
      <c r="AW13" s="120"/>
    </row>
    <row r="14" spans="1:54" ht="15.75" thickBot="1" x14ac:dyDescent="0.3">
      <c r="A14" s="89" t="s">
        <v>52</v>
      </c>
      <c r="B14" s="90" t="s">
        <v>41</v>
      </c>
      <c r="C14" s="103">
        <v>1990</v>
      </c>
      <c r="D14" s="103"/>
      <c r="E14" s="104">
        <v>700000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05">
        <v>143.91999999999999</v>
      </c>
      <c r="P14" s="105">
        <v>134.35</v>
      </c>
      <c r="Q14" s="105">
        <v>238.357</v>
      </c>
      <c r="R14" s="105">
        <v>257.52800000000002</v>
      </c>
      <c r="S14" s="105">
        <v>327.96900000000005</v>
      </c>
      <c r="T14" s="105">
        <v>300.09700000000009</v>
      </c>
      <c r="U14" s="105">
        <v>281.92400000000009</v>
      </c>
      <c r="V14" s="105">
        <v>310.35900000000004</v>
      </c>
      <c r="W14" s="106">
        <v>305.35400000000004</v>
      </c>
      <c r="X14" s="106">
        <v>301.52899999999988</v>
      </c>
      <c r="Y14" s="106">
        <v>326</v>
      </c>
      <c r="Z14" s="106">
        <v>312</v>
      </c>
      <c r="AA14" s="107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7"/>
      <c r="AR14" s="93" t="s">
        <v>5</v>
      </c>
      <c r="AS14" s="118">
        <v>192208</v>
      </c>
      <c r="AT14" s="120">
        <f>SUM(W22:W38)+W7</f>
        <v>13245.394999999999</v>
      </c>
      <c r="AU14" s="120">
        <v>147059</v>
      </c>
      <c r="AV14" s="39">
        <f t="shared" si="3"/>
        <v>45149</v>
      </c>
      <c r="AW14" s="120"/>
    </row>
    <row r="15" spans="1:54" ht="15.75" thickBot="1" x14ac:dyDescent="0.3">
      <c r="A15" s="117" t="s">
        <v>53</v>
      </c>
      <c r="B15" s="121" t="s">
        <v>41</v>
      </c>
      <c r="C15" s="122"/>
      <c r="D15" s="122">
        <v>2028</v>
      </c>
      <c r="E15" s="123">
        <v>720000</v>
      </c>
      <c r="F15" s="105">
        <v>51</v>
      </c>
      <c r="G15" s="105">
        <v>194.1</v>
      </c>
      <c r="H15" s="105">
        <v>198.7</v>
      </c>
      <c r="I15" s="105">
        <v>220.1</v>
      </c>
      <c r="J15" s="105">
        <v>197.2</v>
      </c>
      <c r="K15" s="105">
        <v>217.6</v>
      </c>
      <c r="L15" s="105">
        <v>225.2</v>
      </c>
      <c r="M15" s="105">
        <v>226.6</v>
      </c>
      <c r="N15" s="105">
        <v>218</v>
      </c>
      <c r="O15" s="105">
        <v>210.6</v>
      </c>
      <c r="P15" s="105">
        <v>218.6</v>
      </c>
      <c r="Q15" s="105">
        <v>166.00000000000003</v>
      </c>
      <c r="R15" s="105">
        <v>165.8</v>
      </c>
      <c r="S15" s="105">
        <v>164.1</v>
      </c>
      <c r="T15" s="105">
        <v>145.19999999999999</v>
      </c>
      <c r="U15" s="105">
        <v>123.39999999999999</v>
      </c>
      <c r="V15" s="105">
        <v>153.69999999999999</v>
      </c>
      <c r="W15" s="106">
        <v>155.6</v>
      </c>
      <c r="X15" s="106">
        <v>166.40000000000003</v>
      </c>
      <c r="Y15" s="126">
        <v>147.19999999999999</v>
      </c>
      <c r="Z15" s="126">
        <v>99.899999999999991</v>
      </c>
      <c r="AA15" s="127"/>
      <c r="AB15" s="127"/>
      <c r="AC15" s="127"/>
      <c r="AD15" s="107"/>
      <c r="AE15" s="107"/>
      <c r="AF15" s="107"/>
      <c r="AG15" s="107"/>
      <c r="AH15" s="107"/>
      <c r="AI15" s="107"/>
      <c r="AJ15" s="107"/>
      <c r="AK15" s="107"/>
      <c r="AL15" s="108" t="s">
        <v>42</v>
      </c>
      <c r="AM15" s="107"/>
      <c r="AN15" s="107"/>
      <c r="AR15" s="93" t="s">
        <v>6</v>
      </c>
      <c r="AS15" s="118">
        <v>21080</v>
      </c>
      <c r="AT15" s="120">
        <f>W41</f>
        <v>7</v>
      </c>
      <c r="AU15" s="120">
        <v>7000</v>
      </c>
      <c r="AV15" s="39">
        <f>AS16-AU15</f>
        <v>14554</v>
      </c>
      <c r="AW15" s="120"/>
    </row>
    <row r="16" spans="1:54" ht="15.75" thickBot="1" x14ac:dyDescent="0.3">
      <c r="A16" s="117" t="s">
        <v>54</v>
      </c>
      <c r="B16" s="121" t="s">
        <v>41</v>
      </c>
      <c r="C16" s="122"/>
      <c r="D16" s="122">
        <v>2030</v>
      </c>
      <c r="E16" s="123">
        <v>250000</v>
      </c>
      <c r="F16" s="105"/>
      <c r="G16" s="105"/>
      <c r="H16" s="105">
        <v>19.3</v>
      </c>
      <c r="I16" s="105">
        <v>44.6</v>
      </c>
      <c r="J16" s="105">
        <v>51.3</v>
      </c>
      <c r="K16" s="105">
        <v>56.3</v>
      </c>
      <c r="L16" s="105">
        <v>59.3</v>
      </c>
      <c r="M16" s="105">
        <v>60.4</v>
      </c>
      <c r="N16" s="105">
        <v>62</v>
      </c>
      <c r="O16" s="105">
        <v>63.2</v>
      </c>
      <c r="P16" s="105">
        <v>64.3</v>
      </c>
      <c r="Q16" s="105">
        <v>61.5</v>
      </c>
      <c r="R16" s="105">
        <v>59.199999999999996</v>
      </c>
      <c r="S16" s="105">
        <v>73.099999999999994</v>
      </c>
      <c r="T16" s="105">
        <v>71.8</v>
      </c>
      <c r="U16" s="105">
        <v>73.600000000000009</v>
      </c>
      <c r="V16" s="105">
        <v>73.3</v>
      </c>
      <c r="W16" s="106">
        <v>74.199999999999989</v>
      </c>
      <c r="X16" s="106">
        <v>66.400000000000006</v>
      </c>
      <c r="Y16" s="106">
        <v>70.599999999999994</v>
      </c>
      <c r="Z16" s="106">
        <v>80.099999999999994</v>
      </c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8" t="s">
        <v>42</v>
      </c>
      <c r="AR16" s="93" t="s">
        <v>7</v>
      </c>
      <c r="AS16" s="118">
        <v>21554</v>
      </c>
      <c r="AT16" s="120">
        <f>W42</f>
        <v>43</v>
      </c>
      <c r="AU16" s="120">
        <v>43000</v>
      </c>
      <c r="AV16" s="39">
        <f>AS17-AU16</f>
        <v>-41700</v>
      </c>
      <c r="AW16" s="120"/>
    </row>
    <row r="17" spans="1:49" ht="15.75" thickBot="1" x14ac:dyDescent="0.3">
      <c r="A17" s="117" t="s">
        <v>55</v>
      </c>
      <c r="B17" s="121" t="s">
        <v>41</v>
      </c>
      <c r="C17" s="122"/>
      <c r="D17" s="122"/>
      <c r="E17" s="123">
        <v>690000</v>
      </c>
      <c r="F17" s="105">
        <v>77.5</v>
      </c>
      <c r="G17" s="105">
        <v>96.2</v>
      </c>
      <c r="H17" s="105">
        <v>135</v>
      </c>
      <c r="I17" s="105">
        <v>150.4</v>
      </c>
      <c r="J17" s="105">
        <v>147.69999999999999</v>
      </c>
      <c r="K17" s="105">
        <v>140.4</v>
      </c>
      <c r="L17" s="105">
        <v>147.80000000000001</v>
      </c>
      <c r="M17" s="105">
        <v>150.5</v>
      </c>
      <c r="N17" s="105">
        <v>147.6</v>
      </c>
      <c r="O17" s="105">
        <v>123.3</v>
      </c>
      <c r="P17" s="105">
        <v>146.30000000000001</v>
      </c>
      <c r="Q17" s="105">
        <v>142.9</v>
      </c>
      <c r="R17" s="105">
        <v>133.5</v>
      </c>
      <c r="S17" s="105">
        <v>136.99999999999997</v>
      </c>
      <c r="T17" s="105">
        <v>144.39999999999998</v>
      </c>
      <c r="U17" s="105">
        <v>132.30000000000001</v>
      </c>
      <c r="V17" s="105">
        <v>131.10000000000002</v>
      </c>
      <c r="W17" s="106">
        <v>126.5</v>
      </c>
      <c r="X17" s="106">
        <v>100.59999999999998</v>
      </c>
      <c r="Y17" s="106">
        <v>103.39999999999999</v>
      </c>
      <c r="Z17" s="106">
        <v>103.39999999999999</v>
      </c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8" t="s">
        <v>42</v>
      </c>
      <c r="AN17" s="107"/>
      <c r="AR17" s="93" t="s">
        <v>8</v>
      </c>
      <c r="AS17" s="118">
        <v>1300</v>
      </c>
      <c r="AT17" s="120"/>
      <c r="AU17" s="120"/>
      <c r="AV17" s="39"/>
      <c r="AW17" s="120"/>
    </row>
    <row r="18" spans="1:49" ht="15.75" thickBot="1" x14ac:dyDescent="0.3">
      <c r="A18" s="117" t="s">
        <v>56</v>
      </c>
      <c r="B18" s="121" t="s">
        <v>41</v>
      </c>
      <c r="C18" s="122"/>
      <c r="D18" s="122">
        <v>2015</v>
      </c>
      <c r="E18" s="123">
        <f>(38000*4.2)</f>
        <v>159600</v>
      </c>
      <c r="F18" s="105">
        <v>63</v>
      </c>
      <c r="G18" s="105">
        <v>62.7</v>
      </c>
      <c r="H18" s="105">
        <v>62.1</v>
      </c>
      <c r="I18" s="105">
        <v>60.6</v>
      </c>
      <c r="J18" s="105">
        <v>52.2</v>
      </c>
      <c r="K18" s="105">
        <v>49.6</v>
      </c>
      <c r="L18" s="105">
        <v>51.8</v>
      </c>
      <c r="M18" s="105">
        <v>52.7</v>
      </c>
      <c r="N18" s="105">
        <v>50</v>
      </c>
      <c r="O18" s="105">
        <v>46.4</v>
      </c>
      <c r="P18" s="105">
        <v>47.3</v>
      </c>
      <c r="Q18" s="105">
        <v>45.1</v>
      </c>
      <c r="R18" s="105">
        <v>47.7</v>
      </c>
      <c r="S18" s="105">
        <v>40.6</v>
      </c>
      <c r="T18" s="105">
        <v>41.199999999999996</v>
      </c>
      <c r="U18" s="105">
        <v>41.6</v>
      </c>
      <c r="V18" s="105">
        <v>37.700000000000003</v>
      </c>
      <c r="W18" s="106">
        <v>38.300000000000004</v>
      </c>
      <c r="X18" s="106">
        <v>47.000000000000007</v>
      </c>
      <c r="Y18" s="106">
        <v>29.4</v>
      </c>
      <c r="Z18" s="106" t="s">
        <v>2</v>
      </c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R18" s="93" t="s">
        <v>9</v>
      </c>
      <c r="AS18" s="118">
        <v>0</v>
      </c>
      <c r="AU18" s="39">
        <v>50000</v>
      </c>
      <c r="AW18" s="120"/>
    </row>
    <row r="19" spans="1:49" ht="15.75" thickBot="1" x14ac:dyDescent="0.3">
      <c r="A19" s="117" t="s">
        <v>57</v>
      </c>
      <c r="B19" s="121" t="s">
        <v>41</v>
      </c>
      <c r="C19" s="122"/>
      <c r="D19" s="122"/>
      <c r="E19" s="123">
        <v>450000</v>
      </c>
      <c r="F19" s="124"/>
      <c r="G19" s="124"/>
      <c r="H19" s="124"/>
      <c r="I19" s="124"/>
      <c r="J19" s="124"/>
      <c r="K19" s="105">
        <v>43</v>
      </c>
      <c r="L19" s="105">
        <v>84.3</v>
      </c>
      <c r="M19" s="105">
        <v>92.4</v>
      </c>
      <c r="N19" s="105">
        <v>97.8</v>
      </c>
      <c r="O19" s="105">
        <v>98.1</v>
      </c>
      <c r="P19" s="105">
        <v>94</v>
      </c>
      <c r="Q19" s="105">
        <v>93</v>
      </c>
      <c r="R19" s="105">
        <v>90.8</v>
      </c>
      <c r="S19" s="105">
        <v>90.199999999999989</v>
      </c>
      <c r="T19" s="105">
        <v>95.299999999999983</v>
      </c>
      <c r="U19" s="105">
        <v>97.100000000000009</v>
      </c>
      <c r="V19" s="105">
        <v>104.99999999999999</v>
      </c>
      <c r="W19" s="106">
        <v>102.60000000000001</v>
      </c>
      <c r="X19" s="106">
        <v>93.8</v>
      </c>
      <c r="Y19" s="106">
        <v>75.900000000000006</v>
      </c>
      <c r="Z19" s="106">
        <v>55.800000000000004</v>
      </c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R19" s="93" t="s">
        <v>18</v>
      </c>
      <c r="AS19" s="118"/>
      <c r="AT19" s="128">
        <f>SUM(AT12:AT17)</f>
        <v>28169.676999999996</v>
      </c>
      <c r="AU19" s="120">
        <f>SUM(AU12:AU18)</f>
        <v>2123105</v>
      </c>
      <c r="AV19" s="39">
        <f>SUM(AV12:AV18)</f>
        <v>374442.99999999977</v>
      </c>
    </row>
    <row r="20" spans="1:49" ht="15.75" thickBot="1" x14ac:dyDescent="0.3">
      <c r="A20" s="117" t="s">
        <v>58</v>
      </c>
      <c r="B20" s="121" t="s">
        <v>41</v>
      </c>
      <c r="C20" s="122"/>
      <c r="D20" s="122">
        <v>2029</v>
      </c>
      <c r="E20" s="123">
        <v>350000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05">
        <v>4.3</v>
      </c>
      <c r="Q20" s="105">
        <v>128.1</v>
      </c>
      <c r="R20" s="105">
        <v>164.79999999999998</v>
      </c>
      <c r="S20" s="105">
        <v>162.30000000000001</v>
      </c>
      <c r="T20" s="105">
        <v>178.1</v>
      </c>
      <c r="U20" s="105">
        <v>181</v>
      </c>
      <c r="V20" s="105">
        <v>166.70000000000002</v>
      </c>
      <c r="W20" s="106">
        <v>151.6</v>
      </c>
      <c r="X20" s="106">
        <v>176.1</v>
      </c>
      <c r="Y20" s="106">
        <v>175.6</v>
      </c>
      <c r="Z20" s="106">
        <v>167.4</v>
      </c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8" t="s">
        <v>42</v>
      </c>
      <c r="AN20" s="107"/>
      <c r="AR20" s="93" t="s">
        <v>10</v>
      </c>
      <c r="AS20" s="118">
        <f>SUM(AS11:AS19)</f>
        <v>2468628</v>
      </c>
    </row>
    <row r="21" spans="1:49" ht="15.75" thickBot="1" x14ac:dyDescent="0.3">
      <c r="A21" s="117" t="s">
        <v>59</v>
      </c>
      <c r="B21" s="121" t="s">
        <v>41</v>
      </c>
      <c r="C21" s="122">
        <v>2009</v>
      </c>
      <c r="D21" s="122">
        <v>2019</v>
      </c>
      <c r="E21" s="123">
        <v>200000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05">
        <v>6.1</v>
      </c>
      <c r="T21" s="105">
        <v>16.899999999999999</v>
      </c>
      <c r="U21" s="105">
        <v>15.1</v>
      </c>
      <c r="V21" s="105">
        <v>17.899999999999999</v>
      </c>
      <c r="W21" s="106">
        <v>19.900000000000002</v>
      </c>
      <c r="X21" s="106">
        <v>19.200000000000003</v>
      </c>
      <c r="Y21" s="106">
        <v>20.100000000000001</v>
      </c>
      <c r="Z21" s="106">
        <v>17.8</v>
      </c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</row>
    <row r="22" spans="1:49" ht="15.75" thickBot="1" x14ac:dyDescent="0.3">
      <c r="A22" s="117" t="s">
        <v>60</v>
      </c>
      <c r="B22" s="121" t="s">
        <v>46</v>
      </c>
      <c r="C22" s="122">
        <v>2014</v>
      </c>
      <c r="D22" s="122">
        <v>2042</v>
      </c>
      <c r="E22" s="123">
        <f>(33000*2.1)</f>
        <v>69300</v>
      </c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06">
        <v>16.2</v>
      </c>
      <c r="X22" s="106">
        <v>44.6</v>
      </c>
      <c r="Y22" s="106">
        <v>74.899999999999991</v>
      </c>
      <c r="Z22" s="106">
        <v>117.3</v>
      </c>
      <c r="AA22" s="112"/>
      <c r="AB22" s="112"/>
      <c r="AC22" s="112"/>
      <c r="AD22" s="112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U22" s="3">
        <f>1-AU25</f>
        <v>0.13996560032536287</v>
      </c>
    </row>
    <row r="23" spans="1:49" ht="15.75" thickBot="1" x14ac:dyDescent="0.3">
      <c r="A23" s="117" t="s">
        <v>18</v>
      </c>
      <c r="B23" s="121"/>
      <c r="C23" s="129"/>
      <c r="D23" s="129"/>
      <c r="E23" s="123">
        <v>130000</v>
      </c>
      <c r="F23" s="105">
        <v>70</v>
      </c>
      <c r="G23" s="105">
        <v>70</v>
      </c>
      <c r="H23" s="105">
        <v>70</v>
      </c>
      <c r="I23" s="105">
        <v>70</v>
      </c>
      <c r="J23" s="105">
        <v>70</v>
      </c>
      <c r="K23" s="105">
        <v>100</v>
      </c>
      <c r="L23" s="105">
        <v>100</v>
      </c>
      <c r="M23" s="105">
        <v>100</v>
      </c>
      <c r="N23" s="105">
        <v>100</v>
      </c>
      <c r="O23" s="105">
        <v>100</v>
      </c>
      <c r="P23" s="105">
        <v>100</v>
      </c>
      <c r="Q23" s="105">
        <v>100</v>
      </c>
      <c r="R23" s="105">
        <v>100</v>
      </c>
      <c r="S23" s="105">
        <v>100</v>
      </c>
      <c r="T23" s="105">
        <v>100</v>
      </c>
      <c r="U23" s="105">
        <v>100</v>
      </c>
      <c r="V23" s="105">
        <v>100</v>
      </c>
      <c r="W23" s="105">
        <v>100</v>
      </c>
      <c r="X23" s="105">
        <v>100</v>
      </c>
      <c r="Y23" s="105">
        <v>100</v>
      </c>
      <c r="Z23" s="105">
        <v>100</v>
      </c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</row>
    <row r="24" spans="1:49" ht="15.75" thickBot="1" x14ac:dyDescent="0.3">
      <c r="A24" s="130" t="s">
        <v>61</v>
      </c>
      <c r="B24" s="130"/>
      <c r="C24" s="130"/>
      <c r="D24" s="130"/>
      <c r="E24" s="130">
        <f>SUM(E11:E23)</f>
        <v>4128900</v>
      </c>
      <c r="F24" s="114">
        <f>SUM(F11:F23)</f>
        <v>388.5</v>
      </c>
      <c r="G24" s="114">
        <f t="shared" ref="G24:Z24" si="4">SUM(G11:G23)</f>
        <v>550.09999999999991</v>
      </c>
      <c r="H24" s="114">
        <f t="shared" si="4"/>
        <v>631.19999999999993</v>
      </c>
      <c r="I24" s="114">
        <f>SUM(I11:I23)</f>
        <v>719</v>
      </c>
      <c r="J24" s="114">
        <f>SUM(J11:J23)</f>
        <v>743.26</v>
      </c>
      <c r="K24" s="114">
        <f t="shared" si="4"/>
        <v>853.88</v>
      </c>
      <c r="L24" s="114">
        <f t="shared" si="4"/>
        <v>907.3</v>
      </c>
      <c r="M24" s="114">
        <f t="shared" si="4"/>
        <v>927.75</v>
      </c>
      <c r="N24" s="114">
        <f t="shared" si="4"/>
        <v>912.08</v>
      </c>
      <c r="O24" s="114">
        <f t="shared" si="4"/>
        <v>993.21</v>
      </c>
      <c r="P24" s="114">
        <f t="shared" si="4"/>
        <v>1044.4499999999998</v>
      </c>
      <c r="Q24" s="114">
        <f t="shared" si="4"/>
        <v>1194.9569999999999</v>
      </c>
      <c r="R24" s="114">
        <f t="shared" si="4"/>
        <v>1248.3979999999999</v>
      </c>
      <c r="S24" s="114">
        <f t="shared" si="4"/>
        <v>1325.5989999999999</v>
      </c>
      <c r="T24" s="114">
        <f t="shared" si="4"/>
        <v>1307.027</v>
      </c>
      <c r="U24" s="114">
        <f t="shared" si="4"/>
        <v>1239.7240000000002</v>
      </c>
      <c r="V24" s="114">
        <f t="shared" si="4"/>
        <v>1268.0590000000002</v>
      </c>
      <c r="W24" s="114">
        <f t="shared" si="4"/>
        <v>1248.4440000000002</v>
      </c>
      <c r="X24" s="114">
        <f>SUM(X11:X23)</f>
        <v>1273.3289999999997</v>
      </c>
      <c r="Y24" s="114">
        <f t="shared" si="4"/>
        <v>1236.5999999999999</v>
      </c>
      <c r="Z24" s="114">
        <f t="shared" si="4"/>
        <v>1162.3999999999999</v>
      </c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T24" s="120">
        <f>SUM(W39)</f>
        <v>4.4000000000000004</v>
      </c>
      <c r="AU24" s="120">
        <v>4400</v>
      </c>
      <c r="AV24" s="39">
        <f>AS15-AU24</f>
        <v>16680</v>
      </c>
      <c r="AW24" s="120"/>
    </row>
    <row r="25" spans="1:49" ht="15.75" thickBot="1" x14ac:dyDescent="0.3">
      <c r="A25" s="131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U25" s="3">
        <f>AU19/AS20</f>
        <v>0.86003439967463713</v>
      </c>
    </row>
    <row r="26" spans="1:49" ht="15.75" thickBot="1" x14ac:dyDescent="0.3">
      <c r="A26" s="130" t="s">
        <v>62</v>
      </c>
      <c r="B26" s="130"/>
      <c r="C26" s="130"/>
      <c r="D26" s="130"/>
      <c r="E26" s="130">
        <f t="shared" ref="E26:Z26" si="5">E24+E8</f>
        <v>6420991.7836172078</v>
      </c>
      <c r="F26" s="132">
        <f t="shared" si="5"/>
        <v>716.6</v>
      </c>
      <c r="G26" s="132">
        <f t="shared" si="5"/>
        <v>880.59999999999991</v>
      </c>
      <c r="H26" s="132">
        <f t="shared" si="5"/>
        <v>1107.702</v>
      </c>
      <c r="I26" s="132">
        <f t="shared" si="5"/>
        <v>1362.3020000000001</v>
      </c>
      <c r="J26" s="132">
        <f t="shared" si="5"/>
        <v>1372.662</v>
      </c>
      <c r="K26" s="132">
        <f t="shared" si="5"/>
        <v>1537.8820000000001</v>
      </c>
      <c r="L26" s="132">
        <f t="shared" si="5"/>
        <v>1601.702</v>
      </c>
      <c r="M26" s="132">
        <f t="shared" si="5"/>
        <v>1653.4520000000002</v>
      </c>
      <c r="N26" s="132">
        <f t="shared" si="5"/>
        <v>1636.482</v>
      </c>
      <c r="O26" s="114">
        <f t="shared" si="5"/>
        <v>1585.0120000000002</v>
      </c>
      <c r="P26" s="114">
        <f t="shared" si="5"/>
        <v>1692.152</v>
      </c>
      <c r="Q26" s="114">
        <f t="shared" si="5"/>
        <v>1831.6589999999999</v>
      </c>
      <c r="R26" s="114">
        <f t="shared" si="5"/>
        <v>1971.1</v>
      </c>
      <c r="S26" s="114">
        <f t="shared" si="5"/>
        <v>2117.1009999999997</v>
      </c>
      <c r="T26" s="114">
        <f t="shared" si="5"/>
        <v>2088.529</v>
      </c>
      <c r="U26" s="114">
        <f t="shared" si="5"/>
        <v>2024.5260000000003</v>
      </c>
      <c r="V26" s="114">
        <f t="shared" si="5"/>
        <v>2028.9610000000002</v>
      </c>
      <c r="W26" s="114">
        <f t="shared" si="5"/>
        <v>1932.4460000000001</v>
      </c>
      <c r="X26" s="114">
        <f t="shared" si="5"/>
        <v>2122.9289999999996</v>
      </c>
      <c r="Y26" s="114">
        <f t="shared" si="5"/>
        <v>2034.9</v>
      </c>
      <c r="Z26" s="114">
        <f t="shared" si="5"/>
        <v>1964.1999999999998</v>
      </c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</row>
    <row r="28" spans="1:49" ht="15.75" thickBot="1" x14ac:dyDescent="0.3"/>
    <row r="29" spans="1:49" x14ac:dyDescent="0.25">
      <c r="F29" s="133">
        <v>1996</v>
      </c>
      <c r="G29" s="133">
        <v>1997</v>
      </c>
      <c r="H29" s="133">
        <v>1998</v>
      </c>
      <c r="I29" s="133">
        <v>1999</v>
      </c>
      <c r="J29" s="133">
        <v>2000</v>
      </c>
      <c r="K29" s="133">
        <v>2001</v>
      </c>
      <c r="L29" s="133">
        <v>2002</v>
      </c>
      <c r="M29" s="133">
        <v>2003</v>
      </c>
      <c r="N29" s="133">
        <v>2004</v>
      </c>
      <c r="O29" s="133">
        <v>2005</v>
      </c>
      <c r="P29" s="133">
        <v>2006</v>
      </c>
      <c r="Q29" s="133">
        <v>2007</v>
      </c>
      <c r="R29" s="133">
        <v>2008</v>
      </c>
      <c r="S29" s="133">
        <v>2009</v>
      </c>
      <c r="T29" s="133">
        <v>2010</v>
      </c>
      <c r="U29" s="133">
        <v>2011</v>
      </c>
      <c r="V29" s="133">
        <v>2012</v>
      </c>
      <c r="W29" s="134">
        <v>2013</v>
      </c>
      <c r="X29" s="133">
        <v>2014</v>
      </c>
      <c r="Y29" s="133">
        <v>2015</v>
      </c>
      <c r="Z29" s="133">
        <v>2016</v>
      </c>
      <c r="AA29" s="133">
        <v>2017</v>
      </c>
      <c r="AB29" s="133">
        <v>2018</v>
      </c>
      <c r="AC29" s="133">
        <v>2019</v>
      </c>
      <c r="AD29" s="133">
        <v>2020</v>
      </c>
      <c r="AE29" s="133">
        <v>2021</v>
      </c>
      <c r="AF29" s="133">
        <v>2022</v>
      </c>
      <c r="AG29" s="133">
        <v>2023</v>
      </c>
      <c r="AH29" s="133">
        <v>2024</v>
      </c>
      <c r="AI29" s="133">
        <v>2025</v>
      </c>
      <c r="AJ29" s="133">
        <v>2026</v>
      </c>
      <c r="AK29" s="133">
        <v>2027</v>
      </c>
      <c r="AL29" s="133">
        <v>2028</v>
      </c>
      <c r="AM29" s="133">
        <v>2029</v>
      </c>
      <c r="AN29" s="133">
        <v>2030</v>
      </c>
    </row>
    <row r="30" spans="1:49" ht="15.75" thickBot="1" x14ac:dyDescent="0.3">
      <c r="G30" s="135">
        <v>3392</v>
      </c>
      <c r="H30" s="135">
        <v>3686.9</v>
      </c>
      <c r="I30" s="135">
        <v>4391.2</v>
      </c>
      <c r="J30" s="135">
        <v>4602</v>
      </c>
      <c r="K30" s="135">
        <v>4739</v>
      </c>
      <c r="L30" s="135">
        <v>4580.6000000000004</v>
      </c>
      <c r="M30" s="135">
        <v>4904.2</v>
      </c>
      <c r="N30" s="135">
        <v>5412.5</v>
      </c>
      <c r="O30" s="135">
        <v>5320.5</v>
      </c>
      <c r="P30" s="135">
        <v>5360.8</v>
      </c>
      <c r="Q30" s="135">
        <v>5557.03</v>
      </c>
      <c r="R30" s="135">
        <v>5327.6</v>
      </c>
      <c r="S30" s="135">
        <v>5394.4</v>
      </c>
      <c r="T30" s="135">
        <v>5418.9</v>
      </c>
      <c r="U30" s="135">
        <v>5262.7999999999993</v>
      </c>
      <c r="V30" s="135">
        <v>5433.9</v>
      </c>
      <c r="W30" s="135">
        <v>5775.9999999999991</v>
      </c>
      <c r="X30" s="135">
        <v>5761.1</v>
      </c>
      <c r="Y30" s="135">
        <v>5772.1</v>
      </c>
      <c r="Z30" s="135">
        <v>5552.6000000000013</v>
      </c>
    </row>
    <row r="31" spans="1:49" ht="15.75" thickBot="1" x14ac:dyDescent="0.3">
      <c r="A31" s="136" t="s">
        <v>63</v>
      </c>
      <c r="F31" s="137">
        <f>F26</f>
        <v>716.6</v>
      </c>
      <c r="G31" s="137">
        <v>881</v>
      </c>
      <c r="H31" s="137">
        <v>1108.0999999999999</v>
      </c>
      <c r="I31" s="137">
        <v>1362.1</v>
      </c>
      <c r="J31" s="137">
        <v>1372.3</v>
      </c>
      <c r="K31" s="137">
        <v>1538.2</v>
      </c>
      <c r="L31" s="137">
        <v>1602</v>
      </c>
      <c r="M31" s="137">
        <v>1653.1</v>
      </c>
      <c r="N31" s="137">
        <v>1636.3</v>
      </c>
      <c r="O31" s="137">
        <v>1584.6</v>
      </c>
      <c r="P31" s="137">
        <v>1691.8</v>
      </c>
      <c r="Q31" s="137">
        <v>1832.1000000000001</v>
      </c>
      <c r="R31" s="137">
        <v>1970.9999999999998</v>
      </c>
      <c r="S31" s="137">
        <v>2117.5</v>
      </c>
      <c r="T31" s="137">
        <v>2088.5000000000005</v>
      </c>
      <c r="U31" s="137">
        <v>2024.8000000000002</v>
      </c>
      <c r="V31" s="137">
        <v>2028.8000000000002</v>
      </c>
      <c r="W31" s="137">
        <v>1932.8999999999996</v>
      </c>
      <c r="X31" s="137">
        <v>1843.9999999999998</v>
      </c>
      <c r="Y31" s="137">
        <v>1778.4000000000003</v>
      </c>
      <c r="Z31" s="137">
        <v>1660.3000000000002</v>
      </c>
      <c r="AA31" s="137">
        <v>1620</v>
      </c>
      <c r="AB31" s="138">
        <v>1560</v>
      </c>
      <c r="AC31" s="139">
        <v>1540</v>
      </c>
      <c r="AD31" s="139">
        <v>1490</v>
      </c>
      <c r="AE31" s="139">
        <v>1500</v>
      </c>
      <c r="AF31" s="139">
        <v>1350</v>
      </c>
      <c r="AG31" s="139">
        <v>1255</v>
      </c>
      <c r="AH31" s="139">
        <v>940</v>
      </c>
      <c r="AI31" s="139">
        <v>830</v>
      </c>
      <c r="AJ31" s="139">
        <v>740</v>
      </c>
      <c r="AK31" s="139">
        <v>700</v>
      </c>
      <c r="AL31" s="139">
        <v>550</v>
      </c>
      <c r="AM31" s="139">
        <v>520</v>
      </c>
      <c r="AN31" s="139">
        <v>500</v>
      </c>
    </row>
    <row r="32" spans="1:49" ht="15.75" thickBot="1" x14ac:dyDescent="0.3">
      <c r="F32" s="140">
        <f t="shared" ref="F32:N32" si="6">F26-F31</f>
        <v>0</v>
      </c>
      <c r="G32" s="140">
        <f t="shared" si="6"/>
        <v>-0.40000000000009095</v>
      </c>
      <c r="H32" s="140">
        <f t="shared" si="6"/>
        <v>-0.39799999999991087</v>
      </c>
      <c r="I32" s="140">
        <f t="shared" si="6"/>
        <v>0.20200000000022555</v>
      </c>
      <c r="J32" s="140">
        <f t="shared" si="6"/>
        <v>0.36200000000008004</v>
      </c>
      <c r="K32" s="140">
        <f t="shared" si="6"/>
        <v>-0.31799999999998363</v>
      </c>
      <c r="L32" s="140">
        <f t="shared" si="6"/>
        <v>-0.29800000000000182</v>
      </c>
      <c r="M32" s="140">
        <f t="shared" si="6"/>
        <v>0.3520000000003165</v>
      </c>
      <c r="N32" s="140">
        <f t="shared" si="6"/>
        <v>0.18200000000001637</v>
      </c>
      <c r="O32" s="140">
        <f>O26-O31</f>
        <v>0.41200000000026193</v>
      </c>
      <c r="P32" s="140">
        <f t="shared" ref="P32:W32" si="7">P26-P31</f>
        <v>0.35200000000008913</v>
      </c>
      <c r="Q32" s="140">
        <f t="shared" si="7"/>
        <v>-0.4410000000002583</v>
      </c>
      <c r="R32" s="140">
        <f t="shared" si="7"/>
        <v>0.10000000000013642</v>
      </c>
      <c r="S32" s="140">
        <f t="shared" si="7"/>
        <v>-0.39900000000034197</v>
      </c>
      <c r="T32" s="140">
        <f t="shared" si="7"/>
        <v>2.8999999999541615E-2</v>
      </c>
      <c r="U32" s="140">
        <f t="shared" si="7"/>
        <v>-0.27399999999988722</v>
      </c>
      <c r="V32" s="140">
        <f t="shared" si="7"/>
        <v>0.16100000000005821</v>
      </c>
      <c r="W32" s="140">
        <f t="shared" si="7"/>
        <v>-0.45399999999949614</v>
      </c>
      <c r="X32" s="140">
        <f>X26-X31</f>
        <v>278.92899999999986</v>
      </c>
      <c r="Y32" s="140">
        <f t="shared" ref="Y32:Z32" si="8">Y26-Y31</f>
        <v>256.49999999999977</v>
      </c>
      <c r="Z32" s="140">
        <f t="shared" si="8"/>
        <v>303.89999999999964</v>
      </c>
      <c r="AA32" s="140"/>
      <c r="AB32" s="140"/>
    </row>
    <row r="33" spans="1:49" ht="15.75" thickBot="1" x14ac:dyDescent="0.3">
      <c r="A33" s="101" t="s">
        <v>64</v>
      </c>
      <c r="B33" s="121" t="s">
        <v>49</v>
      </c>
      <c r="C33" s="122">
        <v>2004</v>
      </c>
      <c r="D33" s="122"/>
      <c r="E33" s="123">
        <v>105000</v>
      </c>
      <c r="F33" s="123"/>
      <c r="G33" s="123"/>
      <c r="H33" s="123"/>
      <c r="I33" s="123"/>
      <c r="J33" s="123"/>
      <c r="K33" s="123"/>
      <c r="L33" s="123"/>
      <c r="M33" s="123"/>
      <c r="N33" s="123">
        <v>4.3</v>
      </c>
      <c r="O33" s="123">
        <v>11.2</v>
      </c>
      <c r="P33" s="123">
        <v>15.200000000000001</v>
      </c>
      <c r="Q33" s="123">
        <v>14.200000000000001</v>
      </c>
      <c r="R33" s="123">
        <v>17.2</v>
      </c>
      <c r="S33" s="123">
        <v>12.999999999999998</v>
      </c>
      <c r="T33" s="123">
        <v>15.700000000000005</v>
      </c>
      <c r="U33" s="123">
        <v>15.4</v>
      </c>
      <c r="V33" s="123">
        <v>13.5</v>
      </c>
      <c r="W33" s="123">
        <v>14.399999999999999</v>
      </c>
      <c r="X33" s="123">
        <v>10.000000000000002</v>
      </c>
      <c r="Y33" s="123">
        <v>9.7000000000000011</v>
      </c>
      <c r="Z33" s="141">
        <v>0.2</v>
      </c>
      <c r="AA33" s="107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07"/>
      <c r="AR33" s="93"/>
      <c r="AS33" s="118"/>
      <c r="AT33" s="120"/>
      <c r="AU33" s="120"/>
      <c r="AV33" s="39"/>
      <c r="AW33" s="120"/>
    </row>
    <row r="34" spans="1:49" ht="15.75" thickBot="1" x14ac:dyDescent="0.3">
      <c r="A34" s="109" t="s">
        <v>65</v>
      </c>
      <c r="B34" s="102" t="s">
        <v>41</v>
      </c>
      <c r="C34" s="90">
        <v>1961</v>
      </c>
      <c r="D34" s="90">
        <v>2009</v>
      </c>
      <c r="E34" s="99">
        <v>500000</v>
      </c>
      <c r="F34" s="99"/>
      <c r="G34" s="99"/>
      <c r="H34" s="99"/>
      <c r="I34" s="99"/>
      <c r="J34" s="99"/>
      <c r="K34" s="99"/>
      <c r="L34" s="99"/>
      <c r="M34" s="99">
        <v>51.628</v>
      </c>
      <c r="N34" s="99">
        <v>36.707999999999998</v>
      </c>
      <c r="O34" s="99">
        <v>39.107999999999997</v>
      </c>
      <c r="P34" s="99">
        <v>49.137999999999998</v>
      </c>
      <c r="Q34" s="99">
        <v>50.463999999999999</v>
      </c>
      <c r="R34" s="99">
        <v>40.914000000000001</v>
      </c>
      <c r="S34" s="99">
        <v>50</v>
      </c>
      <c r="T34" s="99">
        <v>50</v>
      </c>
      <c r="U34" s="99">
        <v>50</v>
      </c>
      <c r="V34" s="99">
        <v>53</v>
      </c>
      <c r="W34" s="99">
        <v>56.4</v>
      </c>
      <c r="X34" s="99">
        <v>54</v>
      </c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</row>
    <row r="35" spans="1:49" ht="15.75" thickBot="1" x14ac:dyDescent="0.3">
      <c r="A35" s="109" t="s">
        <v>66</v>
      </c>
      <c r="B35" s="102" t="s">
        <v>41</v>
      </c>
      <c r="C35" s="90"/>
      <c r="D35" s="90"/>
      <c r="E35" s="99">
        <v>110000</v>
      </c>
      <c r="F35" s="99"/>
      <c r="G35" s="99"/>
      <c r="H35" s="99"/>
      <c r="I35" s="99"/>
      <c r="J35" s="99"/>
      <c r="K35" s="99"/>
      <c r="L35" s="99"/>
      <c r="M35" s="99"/>
      <c r="N35" s="99"/>
      <c r="O35" s="99">
        <v>20</v>
      </c>
      <c r="P35" s="99">
        <v>20</v>
      </c>
      <c r="Q35" s="99">
        <v>20</v>
      </c>
      <c r="R35" s="99">
        <v>20</v>
      </c>
      <c r="S35" s="99">
        <v>20</v>
      </c>
      <c r="T35" s="99">
        <v>23</v>
      </c>
      <c r="U35" s="99">
        <v>23</v>
      </c>
      <c r="V35" s="99">
        <v>23</v>
      </c>
      <c r="W35" s="99">
        <v>23</v>
      </c>
      <c r="X35" s="99">
        <v>23</v>
      </c>
      <c r="Y35" s="99">
        <v>23</v>
      </c>
      <c r="Z35" s="99">
        <f>SUM(M35:Y35)</f>
        <v>238</v>
      </c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</row>
    <row r="36" spans="1:49" ht="15.75" thickBot="1" x14ac:dyDescent="0.3">
      <c r="A36" s="109" t="s">
        <v>67</v>
      </c>
      <c r="B36" s="90" t="s">
        <v>46</v>
      </c>
      <c r="C36" s="90">
        <v>1995</v>
      </c>
      <c r="D36" s="90">
        <v>2019</v>
      </c>
      <c r="E36" s="142">
        <v>230000</v>
      </c>
      <c r="F36" s="142"/>
      <c r="G36" s="142"/>
      <c r="H36" s="142"/>
      <c r="I36" s="142"/>
      <c r="J36" s="142"/>
      <c r="K36" s="142"/>
      <c r="L36" s="142"/>
      <c r="M36" s="99">
        <v>60.225999999999999</v>
      </c>
      <c r="N36" s="99">
        <v>60.110999999999997</v>
      </c>
      <c r="O36" s="99">
        <v>62</v>
      </c>
      <c r="P36" s="99">
        <v>60.322000000000003</v>
      </c>
      <c r="Q36" s="99">
        <v>61.000999999999998</v>
      </c>
      <c r="R36" s="99">
        <v>62.500999999999998</v>
      </c>
      <c r="S36" s="143">
        <v>60</v>
      </c>
      <c r="T36" s="143">
        <v>60</v>
      </c>
      <c r="U36" s="143">
        <v>60</v>
      </c>
      <c r="V36" s="99">
        <v>62</v>
      </c>
      <c r="W36" s="99">
        <v>55</v>
      </c>
      <c r="X36" s="99">
        <v>50</v>
      </c>
      <c r="Y36" s="142"/>
      <c r="Z36" s="142"/>
      <c r="AA36" s="142"/>
      <c r="AB36" s="142"/>
      <c r="AC36" s="144">
        <v>0</v>
      </c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99"/>
    </row>
    <row r="37" spans="1:49" ht="15.75" thickBot="1" x14ac:dyDescent="0.3">
      <c r="A37" s="109" t="s">
        <v>68</v>
      </c>
      <c r="B37" s="102" t="s">
        <v>46</v>
      </c>
      <c r="C37" s="90">
        <v>1994</v>
      </c>
      <c r="D37" s="90">
        <v>2026</v>
      </c>
      <c r="E37" s="142">
        <v>23000</v>
      </c>
      <c r="F37" s="142"/>
      <c r="G37" s="142"/>
      <c r="H37" s="142"/>
      <c r="I37" s="142"/>
      <c r="J37" s="142"/>
      <c r="K37" s="142"/>
      <c r="L37" s="142"/>
      <c r="M37" s="99"/>
      <c r="N37" s="99"/>
      <c r="O37" s="99">
        <v>9.0540000000000003</v>
      </c>
      <c r="P37" s="99">
        <v>9.3219999999999992</v>
      </c>
      <c r="Q37" s="99">
        <v>8.3249999999999993</v>
      </c>
      <c r="R37" s="99">
        <v>9.0440000000000005</v>
      </c>
      <c r="S37" s="99">
        <v>5.36</v>
      </c>
      <c r="T37" s="99">
        <v>6.4710000000000001</v>
      </c>
      <c r="U37" s="99">
        <v>6.1420000000000003</v>
      </c>
      <c r="V37" s="99">
        <v>6.5720000000000001</v>
      </c>
      <c r="W37" s="99">
        <v>5.7590000000000003</v>
      </c>
      <c r="X37" s="99">
        <v>7.3570000000000002</v>
      </c>
      <c r="Y37" s="99"/>
      <c r="Z37" s="99">
        <f t="shared" ref="Z37:Z42" si="9">SUM(M37:Y37)</f>
        <v>73.406000000000006</v>
      </c>
      <c r="AA37" s="99"/>
      <c r="AB37" s="99"/>
      <c r="AC37" s="99"/>
      <c r="AD37" s="99"/>
      <c r="AE37" s="99"/>
      <c r="AF37" s="99"/>
      <c r="AG37" s="99"/>
      <c r="AH37" s="99"/>
      <c r="AI37" s="99"/>
      <c r="AJ37" s="144" t="s">
        <v>69</v>
      </c>
      <c r="AK37" s="99"/>
      <c r="AL37" s="99"/>
      <c r="AM37" s="99"/>
      <c r="AN37" s="99"/>
    </row>
    <row r="38" spans="1:49" ht="15.75" thickBot="1" x14ac:dyDescent="0.3">
      <c r="A38" s="109" t="s">
        <v>70</v>
      </c>
      <c r="B38" s="102" t="s">
        <v>46</v>
      </c>
      <c r="C38" s="90"/>
      <c r="D38" s="90"/>
      <c r="E38" s="142">
        <v>60000</v>
      </c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99"/>
      <c r="U38" s="99">
        <v>20</v>
      </c>
      <c r="V38" s="99">
        <v>20</v>
      </c>
      <c r="W38" s="99">
        <v>18</v>
      </c>
      <c r="X38" s="99">
        <v>20</v>
      </c>
      <c r="Y38" s="99"/>
      <c r="Z38" s="99">
        <f t="shared" si="9"/>
        <v>78</v>
      </c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</row>
    <row r="39" spans="1:49" ht="15.75" thickBot="1" x14ac:dyDescent="0.3">
      <c r="A39" s="109" t="s">
        <v>71</v>
      </c>
      <c r="B39" s="102" t="s">
        <v>72</v>
      </c>
      <c r="C39" s="90">
        <v>1996</v>
      </c>
      <c r="D39" s="90">
        <v>2018</v>
      </c>
      <c r="E39" s="142">
        <v>50000</v>
      </c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99">
        <v>4</v>
      </c>
      <c r="U39" s="99">
        <v>4</v>
      </c>
      <c r="V39" s="99">
        <v>4</v>
      </c>
      <c r="W39" s="99">
        <v>4.4000000000000004</v>
      </c>
      <c r="X39" s="99">
        <v>4</v>
      </c>
      <c r="Y39" s="99"/>
      <c r="Z39" s="99">
        <f t="shared" si="9"/>
        <v>20.399999999999999</v>
      </c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</row>
    <row r="40" spans="1:49" ht="15.75" thickBot="1" x14ac:dyDescent="0.3">
      <c r="A40" s="101" t="s">
        <v>73</v>
      </c>
      <c r="B40" s="102" t="s">
        <v>72</v>
      </c>
      <c r="C40" s="90">
        <v>2010</v>
      </c>
      <c r="D40" s="90">
        <v>2022</v>
      </c>
      <c r="E40" s="142">
        <v>45000</v>
      </c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99"/>
      <c r="U40" s="99"/>
      <c r="V40" s="99"/>
      <c r="W40" s="99">
        <v>14</v>
      </c>
      <c r="X40" s="99">
        <v>14</v>
      </c>
      <c r="Y40" s="99"/>
      <c r="Z40" s="99">
        <f t="shared" si="9"/>
        <v>28</v>
      </c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</row>
    <row r="41" spans="1:49" ht="15.75" thickBot="1" x14ac:dyDescent="0.3">
      <c r="A41" s="109" t="s">
        <v>74</v>
      </c>
      <c r="B41" s="102" t="s">
        <v>75</v>
      </c>
      <c r="C41" s="90">
        <v>1842</v>
      </c>
      <c r="D41" s="90">
        <v>2024</v>
      </c>
      <c r="E41" s="143">
        <v>28000</v>
      </c>
      <c r="F41" s="142"/>
      <c r="G41" s="142"/>
      <c r="H41" s="142"/>
      <c r="I41" s="142"/>
      <c r="J41" s="142"/>
      <c r="K41" s="142"/>
      <c r="L41" s="142"/>
      <c r="M41" s="99">
        <v>8.0020000000000007</v>
      </c>
      <c r="N41" s="99">
        <v>8.1050000000000004</v>
      </c>
      <c r="O41" s="99">
        <v>6.508</v>
      </c>
      <c r="P41" s="99">
        <v>6.4969999999999999</v>
      </c>
      <c r="Q41" s="99">
        <v>7.4710000000000001</v>
      </c>
      <c r="R41" s="99">
        <v>6.72</v>
      </c>
      <c r="S41" s="99">
        <v>7</v>
      </c>
      <c r="T41" s="99">
        <v>7</v>
      </c>
      <c r="U41" s="99">
        <v>7</v>
      </c>
      <c r="V41" s="99">
        <v>7</v>
      </c>
      <c r="W41" s="99">
        <v>7</v>
      </c>
      <c r="X41" s="99">
        <v>7</v>
      </c>
      <c r="Y41" s="99"/>
      <c r="Z41" s="99">
        <f t="shared" si="9"/>
        <v>85.302999999999997</v>
      </c>
      <c r="AA41" s="99"/>
      <c r="AB41" s="99"/>
      <c r="AC41" s="99"/>
      <c r="AD41" s="99"/>
      <c r="AE41" s="99"/>
      <c r="AF41" s="99"/>
      <c r="AG41" s="99"/>
      <c r="AH41" s="144">
        <v>0</v>
      </c>
      <c r="AI41" s="99"/>
      <c r="AJ41" s="99"/>
      <c r="AK41" s="99"/>
      <c r="AL41" s="99"/>
      <c r="AM41" s="99"/>
      <c r="AN41" s="99"/>
    </row>
    <row r="42" spans="1:49" ht="15.75" thickBot="1" x14ac:dyDescent="0.3">
      <c r="A42" s="109" t="s">
        <v>76</v>
      </c>
      <c r="B42" s="102" t="s">
        <v>77</v>
      </c>
      <c r="C42" s="90">
        <v>1917</v>
      </c>
      <c r="D42" s="90">
        <v>2044</v>
      </c>
      <c r="E42" s="142">
        <v>100000</v>
      </c>
      <c r="F42" s="142"/>
      <c r="G42" s="142"/>
      <c r="H42" s="142"/>
      <c r="I42" s="142"/>
      <c r="J42" s="142"/>
      <c r="K42" s="142"/>
      <c r="L42" s="142"/>
      <c r="M42" s="99">
        <v>27.716999999999999</v>
      </c>
      <c r="N42" s="99">
        <v>31.728999999999999</v>
      </c>
      <c r="O42" s="99">
        <v>38.834000000000003</v>
      </c>
      <c r="P42" s="99">
        <v>42.533000000000001</v>
      </c>
      <c r="Q42" s="99">
        <v>46.42</v>
      </c>
      <c r="R42" s="99">
        <v>43.679000000000002</v>
      </c>
      <c r="S42" s="143">
        <v>45</v>
      </c>
      <c r="T42" s="143">
        <v>45</v>
      </c>
      <c r="U42" s="143">
        <v>45</v>
      </c>
      <c r="V42" s="143">
        <v>45</v>
      </c>
      <c r="W42" s="99">
        <v>43</v>
      </c>
      <c r="X42" s="99">
        <v>39</v>
      </c>
      <c r="Y42" s="99"/>
      <c r="Z42" s="99">
        <f t="shared" si="9"/>
        <v>492.91200000000003</v>
      </c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</row>
    <row r="43" spans="1:49" x14ac:dyDescent="0.25">
      <c r="M43" s="140">
        <f t="shared" ref="M43:Z43" si="10">SUM(M34:M42)</f>
        <v>147.57299999999998</v>
      </c>
      <c r="N43" s="140">
        <f t="shared" si="10"/>
        <v>136.65299999999999</v>
      </c>
      <c r="O43" s="140">
        <f t="shared" si="10"/>
        <v>175.50400000000002</v>
      </c>
      <c r="P43" s="140">
        <f t="shared" si="10"/>
        <v>187.81200000000001</v>
      </c>
      <c r="Q43" s="140">
        <f t="shared" si="10"/>
        <v>193.68099999999998</v>
      </c>
      <c r="R43" s="140">
        <f t="shared" si="10"/>
        <v>182.858</v>
      </c>
      <c r="S43" s="140">
        <f t="shared" si="10"/>
        <v>187.36</v>
      </c>
      <c r="T43" s="140">
        <f t="shared" si="10"/>
        <v>195.471</v>
      </c>
      <c r="U43" s="140">
        <f t="shared" si="10"/>
        <v>215.142</v>
      </c>
      <c r="V43" s="140">
        <f t="shared" si="10"/>
        <v>220.572</v>
      </c>
      <c r="W43" s="140">
        <f t="shared" si="10"/>
        <v>226.559</v>
      </c>
      <c r="X43" s="140">
        <f t="shared" si="10"/>
        <v>218.357</v>
      </c>
      <c r="Y43" s="145">
        <f t="shared" si="10"/>
        <v>23</v>
      </c>
      <c r="Z43" s="140">
        <f t="shared" si="10"/>
        <v>1016.021</v>
      </c>
    </row>
    <row r="45" spans="1:49" x14ac:dyDescent="0.25">
      <c r="A45" s="146" t="s">
        <v>78</v>
      </c>
    </row>
  </sheetData>
  <mergeCells count="2">
    <mergeCell ref="A1:W1"/>
    <mergeCell ref="A3:AN3"/>
  </mergeCells>
  <hyperlinks>
    <hyperlink ref="A4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OLD</vt:lpstr>
      <vt:lpstr>Acido</vt:lpstr>
      <vt:lpstr>Datos</vt:lpstr>
      <vt:lpstr>Mineras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Yañez Carvajal</dc:creator>
  <cp:lastModifiedBy>CODELCO</cp:lastModifiedBy>
  <cp:lastPrinted>2015-06-07T18:51:52Z</cp:lastPrinted>
  <dcterms:created xsi:type="dcterms:W3CDTF">2015-05-22T02:45:47Z</dcterms:created>
  <dcterms:modified xsi:type="dcterms:W3CDTF">2018-03-25T20:15:09Z</dcterms:modified>
</cp:coreProperties>
</file>