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3.xml" ContentType="application/vnd.openxmlformats-officedocument.drawing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4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5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drawings/drawing6.xml" ContentType="application/vnd.openxmlformats-officedocument.drawing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210" windowWidth="15240" windowHeight="7245" activeTab="5"/>
  </bookViews>
  <sheets>
    <sheet name="BASE" sheetId="4" r:id="rId1"/>
    <sheet name="OLD" sheetId="1" state="hidden" r:id="rId2"/>
    <sheet name="CASO 1" sheetId="5" r:id="rId3"/>
    <sheet name="CASO 2" sheetId="7" r:id="rId4"/>
    <sheet name="CASO 3" sheetId="8" r:id="rId5"/>
    <sheet name="CASO 4" sheetId="9" r:id="rId6"/>
    <sheet name="Hoja1" sheetId="10" r:id="rId7"/>
  </sheets>
  <definedNames>
    <definedName name="_xlnm.Print_Area" localSheetId="6">Hoja1!$A$3:$Z$47</definedName>
  </definedNames>
  <calcPr calcId="145621"/>
</workbook>
</file>

<file path=xl/calcChain.xml><?xml version="1.0" encoding="utf-8"?>
<calcChain xmlns="http://schemas.openxmlformats.org/spreadsheetml/2006/main">
  <c r="J47" i="4" l="1"/>
  <c r="M58" i="9"/>
  <c r="M57" i="9"/>
  <c r="M56" i="9"/>
  <c r="L56" i="9"/>
  <c r="K58" i="9"/>
  <c r="K57" i="9"/>
  <c r="L57" i="9" s="1"/>
  <c r="K56" i="9"/>
  <c r="J58" i="9"/>
  <c r="J57" i="9"/>
  <c r="J56" i="9"/>
  <c r="E79" i="9"/>
  <c r="F79" i="9" s="1"/>
  <c r="E78" i="9"/>
  <c r="F78" i="9" s="1"/>
  <c r="F77" i="9"/>
  <c r="E77" i="9"/>
  <c r="E76" i="9"/>
  <c r="F76" i="9" s="1"/>
  <c r="E75" i="9"/>
  <c r="F75" i="9" s="1"/>
  <c r="F74" i="9"/>
  <c r="E74" i="9"/>
  <c r="F73" i="9"/>
  <c r="E73" i="9"/>
  <c r="E72" i="9"/>
  <c r="F72" i="9" s="1"/>
  <c r="E71" i="9"/>
  <c r="F71" i="9" s="1"/>
  <c r="F70" i="9"/>
  <c r="E70" i="9"/>
  <c r="F69" i="9"/>
  <c r="E69" i="9"/>
  <c r="E68" i="9"/>
  <c r="F68" i="9" s="1"/>
  <c r="E67" i="9"/>
  <c r="F67" i="9" s="1"/>
  <c r="G66" i="9"/>
  <c r="G67" i="9" s="1"/>
  <c r="G68" i="9" s="1"/>
  <c r="G69" i="9" s="1"/>
  <c r="G70" i="9" s="1"/>
  <c r="G71" i="9" s="1"/>
  <c r="G72" i="9" s="1"/>
  <c r="G73" i="9" s="1"/>
  <c r="G74" i="9" s="1"/>
  <c r="G75" i="9" s="1"/>
  <c r="G76" i="9" s="1"/>
  <c r="G77" i="9" s="1"/>
  <c r="G78" i="9" s="1"/>
  <c r="G79" i="9" s="1"/>
  <c r="F66" i="9"/>
  <c r="E66" i="9"/>
  <c r="G65" i="9"/>
  <c r="F65" i="9"/>
  <c r="E65" i="9"/>
  <c r="G64" i="9"/>
  <c r="E64" i="9"/>
  <c r="F64" i="9" s="1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64" i="9"/>
  <c r="F63" i="9"/>
  <c r="F62" i="9"/>
  <c r="F61" i="9"/>
  <c r="F60" i="9"/>
  <c r="F59" i="9"/>
  <c r="F58" i="9"/>
  <c r="F57" i="9"/>
  <c r="F56" i="9"/>
  <c r="F55" i="9"/>
  <c r="F54" i="9"/>
  <c r="F53" i="9"/>
  <c r="F52" i="9"/>
  <c r="F51" i="9"/>
  <c r="F50" i="9"/>
  <c r="F49" i="9"/>
  <c r="F48" i="9"/>
  <c r="L58" i="9" l="1"/>
  <c r="L53" i="8"/>
  <c r="K55" i="8"/>
  <c r="K54" i="8"/>
  <c r="K53" i="8"/>
  <c r="J55" i="8"/>
  <c r="J54" i="8"/>
  <c r="J53" i="8"/>
  <c r="M55" i="7"/>
  <c r="M54" i="7"/>
  <c r="M53" i="7"/>
  <c r="L55" i="7"/>
  <c r="L54" i="7"/>
  <c r="L53" i="7"/>
  <c r="K55" i="7"/>
  <c r="K54" i="7"/>
  <c r="K53" i="7"/>
  <c r="J55" i="7"/>
  <c r="J54" i="7"/>
  <c r="J53" i="7"/>
  <c r="M57" i="5"/>
  <c r="M56" i="5"/>
  <c r="M55" i="5"/>
  <c r="L57" i="5"/>
  <c r="L56" i="5"/>
  <c r="L55" i="5"/>
  <c r="K57" i="5"/>
  <c r="K56" i="5"/>
  <c r="K55" i="5"/>
  <c r="J57" i="5"/>
  <c r="J56" i="5"/>
  <c r="J55" i="5"/>
  <c r="K56" i="4"/>
  <c r="L56" i="4" s="1"/>
  <c r="J56" i="4"/>
  <c r="K55" i="4"/>
  <c r="L55" i="4" s="1"/>
  <c r="J55" i="4"/>
  <c r="L54" i="4"/>
  <c r="K54" i="4"/>
  <c r="J54" i="4"/>
  <c r="G61" i="4"/>
  <c r="L55" i="8" l="1"/>
  <c r="L54" i="8"/>
  <c r="W35" i="10"/>
  <c r="X35" i="10" s="1"/>
  <c r="V35" i="10"/>
  <c r="W34" i="10"/>
  <c r="X34" i="10" s="1"/>
  <c r="V34" i="10"/>
  <c r="X33" i="10"/>
  <c r="W33" i="10"/>
  <c r="V33" i="10"/>
  <c r="W32" i="10"/>
  <c r="X32" i="10" s="1"/>
  <c r="V32" i="10"/>
  <c r="W31" i="10"/>
  <c r="V31" i="10"/>
  <c r="X31" i="10" s="1"/>
  <c r="W30" i="10"/>
  <c r="X30" i="10" s="1"/>
  <c r="V30" i="10"/>
  <c r="X29" i="10"/>
  <c r="W29" i="10"/>
  <c r="V29" i="10"/>
  <c r="W28" i="10"/>
  <c r="X28" i="10" s="1"/>
  <c r="V28" i="10"/>
  <c r="W27" i="10"/>
  <c r="V27" i="10"/>
  <c r="X27" i="10" s="1"/>
  <c r="W26" i="10"/>
  <c r="X26" i="10" s="1"/>
  <c r="V26" i="10"/>
  <c r="X25" i="10"/>
  <c r="W25" i="10"/>
  <c r="V25" i="10"/>
  <c r="W24" i="10"/>
  <c r="X24" i="10" s="1"/>
  <c r="V24" i="10"/>
  <c r="W23" i="10"/>
  <c r="V23" i="10"/>
  <c r="X23" i="10" s="1"/>
  <c r="W22" i="10"/>
  <c r="X22" i="10" s="1"/>
  <c r="V22" i="10"/>
  <c r="Y21" i="10"/>
  <c r="Y22" i="10" s="1"/>
  <c r="Y23" i="10" s="1"/>
  <c r="Y24" i="10" s="1"/>
  <c r="Y25" i="10" s="1"/>
  <c r="Y26" i="10" s="1"/>
  <c r="Y27" i="10" s="1"/>
  <c r="Y28" i="10" s="1"/>
  <c r="Y29" i="10" s="1"/>
  <c r="Y30" i="10" s="1"/>
  <c r="Y31" i="10" s="1"/>
  <c r="Y32" i="10" s="1"/>
  <c r="Y33" i="10" s="1"/>
  <c r="Y34" i="10" s="1"/>
  <c r="Y35" i="10" s="1"/>
  <c r="W21" i="10"/>
  <c r="X21" i="10" s="1"/>
  <c r="V21" i="10"/>
  <c r="Y20" i="10"/>
  <c r="W20" i="10"/>
  <c r="X20" i="10" s="1"/>
  <c r="V20" i="10"/>
  <c r="X19" i="10"/>
  <c r="X18" i="10"/>
  <c r="X17" i="10"/>
  <c r="X16" i="10"/>
  <c r="X15" i="10"/>
  <c r="X14" i="10"/>
  <c r="X13" i="10"/>
  <c r="X12" i="10"/>
  <c r="X11" i="10"/>
  <c r="X10" i="10"/>
  <c r="X9" i="10"/>
  <c r="X8" i="10"/>
  <c r="X7" i="10"/>
  <c r="X6" i="10"/>
  <c r="X5" i="10"/>
  <c r="X4" i="10"/>
  <c r="C35" i="10"/>
  <c r="B35" i="10"/>
  <c r="C34" i="10"/>
  <c r="D34" i="10" s="1"/>
  <c r="B34" i="10"/>
  <c r="C33" i="10"/>
  <c r="D33" i="10" s="1"/>
  <c r="B33" i="10"/>
  <c r="C32" i="10"/>
  <c r="B32" i="10"/>
  <c r="C31" i="10"/>
  <c r="B31" i="10"/>
  <c r="C30" i="10"/>
  <c r="B30" i="10"/>
  <c r="C29" i="10"/>
  <c r="D29" i="10" s="1"/>
  <c r="B29" i="10"/>
  <c r="C28" i="10"/>
  <c r="B28" i="10"/>
  <c r="C27" i="10"/>
  <c r="D27" i="10" s="1"/>
  <c r="B27" i="10"/>
  <c r="C26" i="10"/>
  <c r="B26" i="10"/>
  <c r="D25" i="10"/>
  <c r="C25" i="10"/>
  <c r="B25" i="10"/>
  <c r="C24" i="10"/>
  <c r="B24" i="10"/>
  <c r="C23" i="10"/>
  <c r="B23" i="10"/>
  <c r="C22" i="10"/>
  <c r="B22" i="10"/>
  <c r="E21" i="10"/>
  <c r="C21" i="10"/>
  <c r="B21" i="10"/>
  <c r="E20" i="10"/>
  <c r="C20" i="10"/>
  <c r="B20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G64" i="5"/>
  <c r="F62" i="5"/>
  <c r="D20" i="10" l="1"/>
  <c r="D23" i="10"/>
  <c r="D30" i="10"/>
  <c r="D32" i="10"/>
  <c r="D22" i="10"/>
  <c r="D24" i="10"/>
  <c r="D31" i="10"/>
  <c r="D21" i="10"/>
  <c r="D26" i="10"/>
  <c r="D28" i="10"/>
  <c r="D35" i="10"/>
  <c r="J51" i="9"/>
  <c r="L51" i="9" s="1"/>
  <c r="J50" i="9"/>
  <c r="L50" i="9" s="1"/>
  <c r="L49" i="9"/>
  <c r="J49" i="9"/>
  <c r="R22" i="9"/>
  <c r="R23" i="9" s="1"/>
  <c r="Q22" i="9"/>
  <c r="Q23" i="9" s="1"/>
  <c r="P22" i="9"/>
  <c r="P23" i="9" s="1"/>
  <c r="O22" i="9"/>
  <c r="O23" i="9" s="1"/>
  <c r="N22" i="9"/>
  <c r="N23" i="9" s="1"/>
  <c r="M22" i="9"/>
  <c r="M23" i="9" s="1"/>
  <c r="L22" i="9"/>
  <c r="L23" i="9" s="1"/>
  <c r="K22" i="9"/>
  <c r="K23" i="9" s="1"/>
  <c r="J22" i="9"/>
  <c r="J23" i="9" s="1"/>
  <c r="I22" i="9"/>
  <c r="I23" i="9" s="1"/>
  <c r="H22" i="9"/>
  <c r="H23" i="9" s="1"/>
  <c r="G22" i="9"/>
  <c r="G23" i="9" s="1"/>
  <c r="F22" i="9"/>
  <c r="F23" i="9" s="1"/>
  <c r="E22" i="9"/>
  <c r="E23" i="9" s="1"/>
  <c r="D22" i="9"/>
  <c r="D23" i="9" s="1"/>
  <c r="C22" i="9"/>
  <c r="C23" i="9" s="1"/>
  <c r="AH16" i="9"/>
  <c r="AC16" i="9"/>
  <c r="X16" i="9"/>
  <c r="R16" i="9"/>
  <c r="Q16" i="9"/>
  <c r="P16" i="9"/>
  <c r="O16" i="9"/>
  <c r="N16" i="9"/>
  <c r="M16" i="9"/>
  <c r="L16" i="9"/>
  <c r="K16" i="9"/>
  <c r="J16" i="9"/>
  <c r="I16" i="9"/>
  <c r="H16" i="9"/>
  <c r="G16" i="9"/>
  <c r="F16" i="9"/>
  <c r="E16" i="9"/>
  <c r="D16" i="9"/>
  <c r="C16" i="9"/>
  <c r="D61" i="8"/>
  <c r="D62" i="8"/>
  <c r="F62" i="8" s="1"/>
  <c r="D63" i="8"/>
  <c r="D64" i="8"/>
  <c r="D65" i="8"/>
  <c r="F65" i="8" s="1"/>
  <c r="D66" i="8"/>
  <c r="D67" i="8"/>
  <c r="D68" i="8"/>
  <c r="D69" i="8"/>
  <c r="D70" i="8"/>
  <c r="D71" i="8"/>
  <c r="D72" i="8"/>
  <c r="D73" i="8"/>
  <c r="F73" i="8" s="1"/>
  <c r="D74" i="8"/>
  <c r="D75" i="8"/>
  <c r="D76" i="8"/>
  <c r="F61" i="8"/>
  <c r="E76" i="8"/>
  <c r="F76" i="8" s="1"/>
  <c r="F75" i="8"/>
  <c r="E75" i="8"/>
  <c r="E74" i="8"/>
  <c r="E73" i="8"/>
  <c r="E72" i="8"/>
  <c r="F72" i="8" s="1"/>
  <c r="F71" i="8"/>
  <c r="E71" i="8"/>
  <c r="E70" i="8"/>
  <c r="E69" i="8"/>
  <c r="F69" i="8"/>
  <c r="E68" i="8"/>
  <c r="F68" i="8" s="1"/>
  <c r="F67" i="8"/>
  <c r="E67" i="8"/>
  <c r="E66" i="8"/>
  <c r="E65" i="8"/>
  <c r="E64" i="8"/>
  <c r="F64" i="8" s="1"/>
  <c r="F63" i="8"/>
  <c r="E63" i="8"/>
  <c r="G62" i="8"/>
  <c r="E62" i="8"/>
  <c r="G61" i="8"/>
  <c r="E61" i="8"/>
  <c r="F60" i="8"/>
  <c r="F59" i="8"/>
  <c r="F58" i="8"/>
  <c r="F57" i="8"/>
  <c r="F56" i="8"/>
  <c r="F55" i="8"/>
  <c r="F54" i="8"/>
  <c r="F53" i="8"/>
  <c r="F52" i="8"/>
  <c r="F51" i="8"/>
  <c r="F50" i="8"/>
  <c r="F49" i="8"/>
  <c r="J48" i="8"/>
  <c r="L48" i="8" s="1"/>
  <c r="F48" i="8"/>
  <c r="L47" i="8"/>
  <c r="J47" i="8"/>
  <c r="F47" i="8"/>
  <c r="L46" i="8"/>
  <c r="J46" i="8"/>
  <c r="F46" i="8"/>
  <c r="F45" i="8"/>
  <c r="R19" i="8"/>
  <c r="R20" i="8" s="1"/>
  <c r="Q19" i="8"/>
  <c r="Q20" i="8" s="1"/>
  <c r="P19" i="8"/>
  <c r="P20" i="8" s="1"/>
  <c r="O19" i="8"/>
  <c r="O20" i="8" s="1"/>
  <c r="N19" i="8"/>
  <c r="N20" i="8" s="1"/>
  <c r="M19" i="8"/>
  <c r="M20" i="8" s="1"/>
  <c r="L19" i="8"/>
  <c r="L20" i="8" s="1"/>
  <c r="K19" i="8"/>
  <c r="K20" i="8" s="1"/>
  <c r="J19" i="8"/>
  <c r="J20" i="8" s="1"/>
  <c r="I19" i="8"/>
  <c r="I20" i="8" s="1"/>
  <c r="H19" i="8"/>
  <c r="H20" i="8" s="1"/>
  <c r="G19" i="8"/>
  <c r="G20" i="8" s="1"/>
  <c r="F19" i="8"/>
  <c r="F20" i="8" s="1"/>
  <c r="E19" i="8"/>
  <c r="E20" i="8" s="1"/>
  <c r="D19" i="8"/>
  <c r="D20" i="8" s="1"/>
  <c r="C19" i="8"/>
  <c r="C20" i="8" s="1"/>
  <c r="AH13" i="8"/>
  <c r="AC13" i="8"/>
  <c r="X13" i="8"/>
  <c r="R13" i="8"/>
  <c r="Q13" i="8"/>
  <c r="P13" i="8"/>
  <c r="O13" i="8"/>
  <c r="N13" i="8"/>
  <c r="M13" i="8"/>
  <c r="L13" i="8"/>
  <c r="K13" i="8"/>
  <c r="J13" i="8"/>
  <c r="I13" i="8"/>
  <c r="H13" i="8"/>
  <c r="G13" i="8"/>
  <c r="F13" i="8"/>
  <c r="E13" i="8"/>
  <c r="D13" i="8"/>
  <c r="C13" i="8"/>
  <c r="E61" i="7"/>
  <c r="E62" i="7"/>
  <c r="E63" i="7"/>
  <c r="E64" i="7"/>
  <c r="F64" i="7" s="1"/>
  <c r="E65" i="7"/>
  <c r="E66" i="7"/>
  <c r="E67" i="7"/>
  <c r="E68" i="7"/>
  <c r="F68" i="7" s="1"/>
  <c r="E69" i="7"/>
  <c r="E70" i="7"/>
  <c r="E71" i="7"/>
  <c r="E72" i="7"/>
  <c r="F72" i="7" s="1"/>
  <c r="E73" i="7"/>
  <c r="E74" i="7"/>
  <c r="E75" i="7"/>
  <c r="E76" i="7"/>
  <c r="F76" i="7" s="1"/>
  <c r="F61" i="7"/>
  <c r="D76" i="7"/>
  <c r="F75" i="7"/>
  <c r="D75" i="7"/>
  <c r="F74" i="7"/>
  <c r="D74" i="7"/>
  <c r="F73" i="7"/>
  <c r="D73" i="7"/>
  <c r="D72" i="7"/>
  <c r="F71" i="7"/>
  <c r="D71" i="7"/>
  <c r="F70" i="7"/>
  <c r="D70" i="7"/>
  <c r="F69" i="7"/>
  <c r="D69" i="7"/>
  <c r="D68" i="7"/>
  <c r="F67" i="7"/>
  <c r="D67" i="7"/>
  <c r="F66" i="7"/>
  <c r="D66" i="7"/>
  <c r="F65" i="7"/>
  <c r="D65" i="7"/>
  <c r="D64" i="7"/>
  <c r="F63" i="7"/>
  <c r="D63" i="7"/>
  <c r="G62" i="7"/>
  <c r="F62" i="7"/>
  <c r="D62" i="7"/>
  <c r="G61" i="7"/>
  <c r="D61" i="7"/>
  <c r="F60" i="7"/>
  <c r="F59" i="7"/>
  <c r="F58" i="7"/>
  <c r="F57" i="7"/>
  <c r="F56" i="7"/>
  <c r="F55" i="7"/>
  <c r="F54" i="7"/>
  <c r="F53" i="7"/>
  <c r="F52" i="7"/>
  <c r="F51" i="7"/>
  <c r="F50" i="7"/>
  <c r="F49" i="7"/>
  <c r="J48" i="7"/>
  <c r="L48" i="7" s="1"/>
  <c r="F48" i="7"/>
  <c r="L47" i="7"/>
  <c r="J47" i="7"/>
  <c r="F47" i="7"/>
  <c r="J46" i="7"/>
  <c r="L46" i="7" s="1"/>
  <c r="F46" i="7"/>
  <c r="F45" i="7"/>
  <c r="R19" i="7"/>
  <c r="R20" i="7" s="1"/>
  <c r="Q19" i="7"/>
  <c r="Q20" i="7" s="1"/>
  <c r="P19" i="7"/>
  <c r="P20" i="7" s="1"/>
  <c r="O19" i="7"/>
  <c r="O20" i="7" s="1"/>
  <c r="N19" i="7"/>
  <c r="N20" i="7" s="1"/>
  <c r="M19" i="7"/>
  <c r="M20" i="7" s="1"/>
  <c r="L19" i="7"/>
  <c r="L20" i="7" s="1"/>
  <c r="K19" i="7"/>
  <c r="K20" i="7" s="1"/>
  <c r="J19" i="7"/>
  <c r="J20" i="7" s="1"/>
  <c r="I19" i="7"/>
  <c r="I20" i="7" s="1"/>
  <c r="H19" i="7"/>
  <c r="H20" i="7" s="1"/>
  <c r="G19" i="7"/>
  <c r="G20" i="7" s="1"/>
  <c r="F19" i="7"/>
  <c r="F20" i="7" s="1"/>
  <c r="E19" i="7"/>
  <c r="E20" i="7" s="1"/>
  <c r="D19" i="7"/>
  <c r="D20" i="7" s="1"/>
  <c r="C19" i="7"/>
  <c r="C20" i="7" s="1"/>
  <c r="AH13" i="7"/>
  <c r="AC13" i="7"/>
  <c r="X13" i="7"/>
  <c r="R13" i="7"/>
  <c r="Q13" i="7"/>
  <c r="P13" i="7"/>
  <c r="O13" i="7"/>
  <c r="N13" i="7"/>
  <c r="M13" i="7"/>
  <c r="L13" i="7"/>
  <c r="K13" i="7"/>
  <c r="J13" i="7"/>
  <c r="I13" i="7"/>
  <c r="H13" i="7"/>
  <c r="G13" i="7"/>
  <c r="F13" i="7"/>
  <c r="E13" i="7"/>
  <c r="D13" i="7"/>
  <c r="C13" i="7"/>
  <c r="G65" i="5"/>
  <c r="G66" i="5" s="1"/>
  <c r="G67" i="5" s="1"/>
  <c r="G68" i="5" s="1"/>
  <c r="G69" i="5" s="1"/>
  <c r="G70" i="5" s="1"/>
  <c r="G71" i="5" s="1"/>
  <c r="G72" i="5" s="1"/>
  <c r="G73" i="5" s="1"/>
  <c r="G74" i="5" s="1"/>
  <c r="G75" i="5" s="1"/>
  <c r="G76" i="5" s="1"/>
  <c r="G77" i="5" s="1"/>
  <c r="F77" i="5"/>
  <c r="E77" i="5"/>
  <c r="D77" i="5"/>
  <c r="E76" i="5"/>
  <c r="F76" i="5" s="1"/>
  <c r="D76" i="5"/>
  <c r="E75" i="5"/>
  <c r="F75" i="5" s="1"/>
  <c r="D75" i="5"/>
  <c r="F74" i="5"/>
  <c r="E74" i="5"/>
  <c r="D74" i="5"/>
  <c r="F73" i="5"/>
  <c r="E73" i="5"/>
  <c r="D73" i="5"/>
  <c r="E72" i="5"/>
  <c r="F72" i="5" s="1"/>
  <c r="D72" i="5"/>
  <c r="E71" i="5"/>
  <c r="F71" i="5" s="1"/>
  <c r="D71" i="5"/>
  <c r="F70" i="5"/>
  <c r="E70" i="5"/>
  <c r="D70" i="5"/>
  <c r="E69" i="5"/>
  <c r="F69" i="5" s="1"/>
  <c r="D69" i="5"/>
  <c r="E68" i="5"/>
  <c r="F68" i="5" s="1"/>
  <c r="D68" i="5"/>
  <c r="E67" i="5"/>
  <c r="F67" i="5" s="1"/>
  <c r="D67" i="5"/>
  <c r="F66" i="5"/>
  <c r="E66" i="5"/>
  <c r="D66" i="5"/>
  <c r="E65" i="5"/>
  <c r="F65" i="5" s="1"/>
  <c r="D65" i="5"/>
  <c r="E64" i="5"/>
  <c r="F64" i="5" s="1"/>
  <c r="D64" i="5"/>
  <c r="G63" i="5"/>
  <c r="E63" i="5"/>
  <c r="F63" i="5" s="1"/>
  <c r="D63" i="5"/>
  <c r="G62" i="5"/>
  <c r="E62" i="5"/>
  <c r="D62" i="5"/>
  <c r="F61" i="5"/>
  <c r="F60" i="5"/>
  <c r="F59" i="5"/>
  <c r="F58" i="5"/>
  <c r="F57" i="5"/>
  <c r="F56" i="5"/>
  <c r="F55" i="5"/>
  <c r="F54" i="5"/>
  <c r="F53" i="5"/>
  <c r="F52" i="5"/>
  <c r="F51" i="5"/>
  <c r="F50" i="5"/>
  <c r="J49" i="5"/>
  <c r="L49" i="5" s="1"/>
  <c r="F49" i="5"/>
  <c r="L48" i="5"/>
  <c r="J48" i="5"/>
  <c r="F48" i="5"/>
  <c r="L47" i="5"/>
  <c r="J47" i="5"/>
  <c r="F47" i="5"/>
  <c r="F46" i="5"/>
  <c r="R20" i="5"/>
  <c r="R21" i="5" s="1"/>
  <c r="Q20" i="5"/>
  <c r="Q21" i="5" s="1"/>
  <c r="P20" i="5"/>
  <c r="P21" i="5" s="1"/>
  <c r="O20" i="5"/>
  <c r="O21" i="5" s="1"/>
  <c r="N20" i="5"/>
  <c r="N21" i="5" s="1"/>
  <c r="M20" i="5"/>
  <c r="M21" i="5" s="1"/>
  <c r="L20" i="5"/>
  <c r="L21" i="5" s="1"/>
  <c r="K20" i="5"/>
  <c r="K21" i="5" s="1"/>
  <c r="J20" i="5"/>
  <c r="J21" i="5" s="1"/>
  <c r="I20" i="5"/>
  <c r="I21" i="5" s="1"/>
  <c r="H20" i="5"/>
  <c r="H21" i="5" s="1"/>
  <c r="G20" i="5"/>
  <c r="G21" i="5" s="1"/>
  <c r="F20" i="5"/>
  <c r="F21" i="5" s="1"/>
  <c r="E20" i="5"/>
  <c r="E21" i="5" s="1"/>
  <c r="D20" i="5"/>
  <c r="D21" i="5" s="1"/>
  <c r="C20" i="5"/>
  <c r="C21" i="5" s="1"/>
  <c r="AH14" i="5"/>
  <c r="AC14" i="5"/>
  <c r="X14" i="5"/>
  <c r="R14" i="5"/>
  <c r="Q14" i="5"/>
  <c r="P14" i="5"/>
  <c r="O14" i="5"/>
  <c r="N14" i="5"/>
  <c r="M14" i="5"/>
  <c r="L14" i="5"/>
  <c r="K14" i="5"/>
  <c r="J14" i="5"/>
  <c r="I14" i="5"/>
  <c r="H14" i="5"/>
  <c r="G14" i="5"/>
  <c r="F14" i="5"/>
  <c r="E14" i="5"/>
  <c r="D14" i="5"/>
  <c r="C14" i="5"/>
  <c r="F66" i="8" l="1"/>
  <c r="F74" i="8"/>
  <c r="F70" i="8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G62" i="4"/>
  <c r="D61" i="4"/>
  <c r="D62" i="4"/>
  <c r="D63" i="4"/>
  <c r="F63" i="4" s="1"/>
  <c r="D64" i="4"/>
  <c r="D65" i="4"/>
  <c r="D66" i="4"/>
  <c r="D67" i="4"/>
  <c r="F67" i="4" s="1"/>
  <c r="D68" i="4"/>
  <c r="D69" i="4"/>
  <c r="D70" i="4"/>
  <c r="D71" i="4"/>
  <c r="F71" i="4" s="1"/>
  <c r="D72" i="4"/>
  <c r="D73" i="4"/>
  <c r="D74" i="4"/>
  <c r="D75" i="4"/>
  <c r="F75" i="4" s="1"/>
  <c r="D76" i="4"/>
  <c r="F60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F59" i="4"/>
  <c r="F58" i="4"/>
  <c r="F57" i="4"/>
  <c r="F56" i="4"/>
  <c r="F55" i="4"/>
  <c r="F54" i="4"/>
  <c r="F53" i="4"/>
  <c r="F52" i="4"/>
  <c r="F51" i="4"/>
  <c r="F50" i="4"/>
  <c r="F49" i="4"/>
  <c r="J48" i="4"/>
  <c r="L48" i="4" s="1"/>
  <c r="F48" i="4"/>
  <c r="L47" i="4"/>
  <c r="F47" i="4"/>
  <c r="J46" i="4"/>
  <c r="L46" i="4" s="1"/>
  <c r="F46" i="4"/>
  <c r="F45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AH13" i="4"/>
  <c r="AC13" i="4"/>
  <c r="X13" i="4"/>
  <c r="C74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R73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F68" i="4" l="1"/>
  <c r="E20" i="4"/>
  <c r="I20" i="4"/>
  <c r="M20" i="4"/>
  <c r="Q20" i="4"/>
  <c r="F65" i="4"/>
  <c r="R20" i="4"/>
  <c r="F61" i="4"/>
  <c r="C20" i="4"/>
  <c r="G20" i="4"/>
  <c r="K20" i="4"/>
  <c r="O20" i="4"/>
  <c r="D20" i="4"/>
  <c r="H20" i="4"/>
  <c r="L20" i="4"/>
  <c r="P20" i="4"/>
  <c r="F73" i="4"/>
  <c r="F69" i="4"/>
  <c r="F76" i="4"/>
  <c r="F74" i="4"/>
  <c r="F70" i="4"/>
  <c r="F66" i="4"/>
  <c r="F62" i="4"/>
  <c r="F20" i="4"/>
  <c r="J20" i="4"/>
  <c r="N20" i="4"/>
  <c r="F64" i="4"/>
  <c r="F72" i="4"/>
  <c r="E136" i="1"/>
  <c r="E142" i="1"/>
  <c r="E141" i="1"/>
  <c r="E143" i="1"/>
  <c r="E134" i="1"/>
  <c r="E144" i="1"/>
  <c r="E139" i="1"/>
  <c r="E138" i="1"/>
  <c r="E137" i="1"/>
  <c r="E133" i="1"/>
  <c r="E132" i="1"/>
  <c r="E131" i="1"/>
  <c r="E130" i="1"/>
  <c r="E129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E114" i="1" l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F129" i="1" l="1"/>
  <c r="F130" i="1"/>
  <c r="F131" i="1"/>
  <c r="F132" i="1"/>
  <c r="H114" i="1"/>
  <c r="J114" i="1" s="1"/>
  <c r="C169" i="1"/>
  <c r="C170" i="1"/>
  <c r="F170" i="1"/>
  <c r="C168" i="1"/>
  <c r="F168" i="1"/>
  <c r="D170" i="1"/>
  <c r="D169" i="1"/>
  <c r="F169" i="1" s="1"/>
  <c r="D168" i="1"/>
  <c r="H117" i="1"/>
  <c r="J117" i="1" s="1"/>
  <c r="H116" i="1"/>
  <c r="J116" i="1" s="1"/>
  <c r="H115" i="1"/>
  <c r="J115" i="1" s="1"/>
  <c r="E140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C129" i="1"/>
  <c r="C130" i="1"/>
  <c r="C131" i="1"/>
  <c r="C132" i="1"/>
  <c r="C133" i="1"/>
  <c r="C134" i="1"/>
  <c r="C135" i="1"/>
  <c r="E135" i="1" s="1"/>
  <c r="C136" i="1"/>
  <c r="C137" i="1"/>
  <c r="C138" i="1"/>
  <c r="C139" i="1"/>
  <c r="C140" i="1"/>
  <c r="C141" i="1"/>
  <c r="C142" i="1"/>
  <c r="C143" i="1"/>
  <c r="C144" i="1"/>
  <c r="C145" i="1"/>
  <c r="E145" i="1" s="1"/>
  <c r="AH13" i="1" l="1"/>
  <c r="AC13" i="1"/>
  <c r="R13" i="1"/>
  <c r="X13" i="1"/>
  <c r="Q13" i="1" l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C73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</calcChain>
</file>

<file path=xl/sharedStrings.xml><?xml version="1.0" encoding="utf-8"?>
<sst xmlns="http://schemas.openxmlformats.org/spreadsheetml/2006/main" count="248" uniqueCount="36">
  <si>
    <t>Región/Año</t>
  </si>
  <si>
    <t>Arica y Parinacota (15)</t>
  </si>
  <si>
    <t>-</t>
  </si>
  <si>
    <t>Tarapacá (01)</t>
  </si>
  <si>
    <t>Antofagasta (02)</t>
  </si>
  <si>
    <t>Atacama (03)</t>
  </si>
  <si>
    <t>Coquimbo (04)</t>
  </si>
  <si>
    <t>Valparaíso (05)</t>
  </si>
  <si>
    <t>Metropolitana (13)</t>
  </si>
  <si>
    <t>Lib. Gral. B. O'Higgins (06)</t>
  </si>
  <si>
    <t>Total Cu fino</t>
  </si>
  <si>
    <t>Año</t>
  </si>
  <si>
    <t>Grandes</t>
  </si>
  <si>
    <t>Medianas</t>
  </si>
  <si>
    <t>Pequeñas</t>
  </si>
  <si>
    <t>[miles Ton]</t>
  </si>
  <si>
    <t xml:space="preserve">PRODUCCIÓN </t>
  </si>
  <si>
    <t>CONSUMO TOTAL ACÍDO</t>
  </si>
  <si>
    <t>Otros</t>
  </si>
  <si>
    <t>Relación</t>
  </si>
  <si>
    <t>Produccion Catodo</t>
  </si>
  <si>
    <t>Consumo Acido</t>
  </si>
  <si>
    <t>Produccion de acido</t>
  </si>
  <si>
    <t>Proyeccion</t>
  </si>
  <si>
    <t>Dato</t>
  </si>
  <si>
    <t>Capacidad maxima de produccion  Chile</t>
  </si>
  <si>
    <t>Produccion de Acido</t>
  </si>
  <si>
    <t>IMPORTACIONES</t>
  </si>
  <si>
    <t>RELACIÓN CONSUMO V/S PRODUCCIÓN</t>
  </si>
  <si>
    <t>Produccion
Catodo</t>
  </si>
  <si>
    <t>Consumo
Acido</t>
  </si>
  <si>
    <t>Produccion
Acido</t>
  </si>
  <si>
    <t>AUMENTO DE CAPACIDAD DE PRODUCCIÓN DE ACIDO</t>
  </si>
  <si>
    <t xml:space="preserve">AUMENTO EN LA PRODUCCIÓN DE COBRE EN UN </t>
  </si>
  <si>
    <t>AUMENTO EN LA RELACIÓN DE CONSUMO DE ACIDO</t>
  </si>
  <si>
    <t>AUMENTO EN LA PRODUCCIÓN DE COBRE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</si>
</sst>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_-* #,##0_-;\-* #,##0_-;_-* &quot;-&quot;??_-;_-@_-"/>
    <numFmt numFmtId="165" formatCode="#,##0.00_ ;\-#,##0.00\ "/>
    <numFmt numFmtId="166" formatCode="#,##0.0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3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00">
    <xf numFmtId="0" fontId="0" fillId="0" borderId="0" xfId="0"/>
    <xf numFmtId="0" fontId="0" fillId="3" borderId="1" xfId="0" applyFill="1" applyBorder="1"/>
    <xf numFmtId="164" fontId="0" fillId="3" borderId="1" xfId="1" applyNumberFormat="1" applyFont="1" applyFill="1" applyBorder="1"/>
    <xf numFmtId="0" fontId="0" fillId="3" borderId="0" xfId="0" applyFill="1"/>
    <xf numFmtId="164" fontId="2" fillId="3" borderId="1" xfId="1" applyNumberFormat="1" applyFont="1" applyFill="1" applyBorder="1"/>
    <xf numFmtId="0" fontId="0" fillId="3" borderId="2" xfId="0" applyFill="1" applyBorder="1"/>
    <xf numFmtId="0" fontId="0" fillId="3" borderId="0" xfId="0" applyFill="1" applyBorder="1"/>
    <xf numFmtId="164" fontId="0" fillId="3" borderId="2" xfId="1" applyNumberFormat="1" applyFont="1" applyFill="1" applyBorder="1"/>
    <xf numFmtId="0" fontId="0" fillId="3" borderId="3" xfId="0" applyFill="1" applyBorder="1"/>
    <xf numFmtId="164" fontId="0" fillId="3" borderId="3" xfId="1" applyNumberFormat="1" applyFont="1" applyFill="1" applyBorder="1"/>
    <xf numFmtId="0" fontId="0" fillId="2" borderId="1" xfId="0" applyFill="1" applyBorder="1"/>
    <xf numFmtId="164" fontId="0" fillId="2" borderId="1" xfId="1" applyNumberFormat="1" applyFont="1" applyFill="1" applyBorder="1"/>
    <xf numFmtId="0" fontId="2" fillId="3" borderId="1" xfId="0" applyFont="1" applyFill="1" applyBorder="1"/>
    <xf numFmtId="43" fontId="0" fillId="3" borderId="0" xfId="1" applyNumberFormat="1" applyFont="1" applyFill="1"/>
    <xf numFmtId="164" fontId="0" fillId="3" borderId="0" xfId="1" applyNumberFormat="1" applyFont="1" applyFill="1" applyBorder="1"/>
    <xf numFmtId="0" fontId="0" fillId="4" borderId="1" xfId="0" applyFill="1" applyBorder="1"/>
    <xf numFmtId="164" fontId="0" fillId="4" borderId="1" xfId="1" applyNumberFormat="1" applyFont="1" applyFill="1" applyBorder="1"/>
    <xf numFmtId="164" fontId="2" fillId="4" borderId="1" xfId="1" applyNumberFormat="1" applyFont="1" applyFill="1" applyBorder="1"/>
    <xf numFmtId="165" fontId="0" fillId="3" borderId="0" xfId="0" applyNumberFormat="1" applyFill="1"/>
    <xf numFmtId="164" fontId="2" fillId="3" borderId="2" xfId="1" applyNumberFormat="1" applyFont="1" applyFill="1" applyBorder="1"/>
    <xf numFmtId="164" fontId="0" fillId="4" borderId="2" xfId="1" applyNumberFormat="1" applyFont="1" applyFill="1" applyBorder="1"/>
    <xf numFmtId="4" fontId="0" fillId="3" borderId="0" xfId="0" applyNumberFormat="1" applyFill="1"/>
    <xf numFmtId="3" fontId="0" fillId="3" borderId="0" xfId="0" applyNumberFormat="1" applyFill="1"/>
    <xf numFmtId="166" fontId="0" fillId="3" borderId="0" xfId="0" applyNumberFormat="1" applyFill="1"/>
    <xf numFmtId="3" fontId="0" fillId="4" borderId="1" xfId="0" applyNumberFormat="1" applyFill="1" applyBorder="1"/>
    <xf numFmtId="0" fontId="0" fillId="5" borderId="1" xfId="0" applyFill="1" applyBorder="1"/>
    <xf numFmtId="3" fontId="0" fillId="5" borderId="1" xfId="0" applyNumberFormat="1" applyFill="1" applyBorder="1"/>
    <xf numFmtId="0" fontId="0" fillId="5" borderId="0" xfId="0" applyFill="1"/>
    <xf numFmtId="2" fontId="0" fillId="5" borderId="1" xfId="0" applyNumberFormat="1" applyFill="1" applyBorder="1"/>
    <xf numFmtId="4" fontId="0" fillId="4" borderId="1" xfId="0" applyNumberFormat="1" applyFill="1" applyBorder="1"/>
    <xf numFmtId="0" fontId="0" fillId="4" borderId="0" xfId="0" applyFill="1"/>
    <xf numFmtId="3" fontId="2" fillId="4" borderId="1" xfId="0" applyNumberFormat="1" applyFont="1" applyFill="1" applyBorder="1"/>
    <xf numFmtId="3" fontId="3" fillId="4" borderId="1" xfId="0" applyNumberFormat="1" applyFont="1" applyFill="1" applyBorder="1"/>
    <xf numFmtId="4" fontId="0" fillId="5" borderId="0" xfId="0" applyNumberFormat="1" applyFill="1"/>
    <xf numFmtId="3" fontId="0" fillId="5" borderId="0" xfId="0" applyNumberFormat="1" applyFill="1"/>
    <xf numFmtId="4" fontId="0" fillId="4" borderId="0" xfId="0" applyNumberFormat="1" applyFill="1"/>
    <xf numFmtId="3" fontId="0" fillId="4" borderId="0" xfId="0" applyNumberFormat="1" applyFill="1"/>
    <xf numFmtId="0" fontId="0" fillId="3" borderId="0" xfId="0" applyFill="1" applyAlignment="1">
      <alignment wrapText="1"/>
    </xf>
    <xf numFmtId="3" fontId="3" fillId="3" borderId="0" xfId="0" applyNumberFormat="1" applyFont="1" applyFill="1"/>
    <xf numFmtId="165" fontId="2" fillId="3" borderId="1" xfId="1" applyNumberFormat="1" applyFont="1" applyFill="1" applyBorder="1"/>
    <xf numFmtId="3" fontId="0" fillId="3" borderId="1" xfId="0" applyNumberFormat="1" applyFill="1" applyBorder="1"/>
    <xf numFmtId="0" fontId="0" fillId="3" borderId="5" xfId="0" applyFill="1" applyBorder="1" applyAlignment="1">
      <alignment horizontal="center"/>
    </xf>
    <xf numFmtId="3" fontId="0" fillId="3" borderId="1" xfId="0" applyNumberFormat="1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3" fontId="0" fillId="3" borderId="8" xfId="0" applyNumberFormat="1" applyFill="1" applyBorder="1" applyAlignment="1">
      <alignment horizontal="center"/>
    </xf>
    <xf numFmtId="166" fontId="0" fillId="3" borderId="1" xfId="0" applyNumberFormat="1" applyFill="1" applyBorder="1" applyAlignment="1">
      <alignment horizontal="center"/>
    </xf>
    <xf numFmtId="3" fontId="3" fillId="3" borderId="1" xfId="0" applyNumberFormat="1" applyFont="1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2" fontId="0" fillId="3" borderId="11" xfId="0" applyNumberFormat="1" applyFill="1" applyBorder="1" applyAlignment="1">
      <alignment horizontal="center"/>
    </xf>
    <xf numFmtId="3" fontId="0" fillId="3" borderId="11" xfId="0" applyNumberFormat="1" applyFill="1" applyBorder="1" applyAlignment="1">
      <alignment horizontal="center"/>
    </xf>
    <xf numFmtId="3" fontId="0" fillId="3" borderId="12" xfId="0" applyNumberFormat="1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2" fontId="0" fillId="3" borderId="16" xfId="0" applyNumberFormat="1" applyFill="1" applyBorder="1" applyAlignment="1">
      <alignment horizontal="center"/>
    </xf>
    <xf numFmtId="3" fontId="0" fillId="3" borderId="16" xfId="0" applyNumberFormat="1" applyFill="1" applyBorder="1" applyAlignment="1">
      <alignment horizontal="center"/>
    </xf>
    <xf numFmtId="3" fontId="0" fillId="3" borderId="17" xfId="0" applyNumberFormat="1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4" fontId="0" fillId="3" borderId="19" xfId="0" applyNumberFormat="1" applyFill="1" applyBorder="1" applyAlignment="1">
      <alignment horizontal="center"/>
    </xf>
    <xf numFmtId="3" fontId="0" fillId="3" borderId="19" xfId="0" applyNumberFormat="1" applyFill="1" applyBorder="1" applyAlignment="1">
      <alignment horizontal="center"/>
    </xf>
    <xf numFmtId="3" fontId="0" fillId="3" borderId="20" xfId="0" applyNumberFormat="1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3" fontId="0" fillId="3" borderId="4" xfId="0" applyNumberFormat="1" applyFill="1" applyBorder="1" applyAlignment="1">
      <alignment horizontal="center"/>
    </xf>
    <xf numFmtId="3" fontId="3" fillId="3" borderId="8" xfId="0" applyNumberFormat="1" applyFont="1" applyFill="1" applyBorder="1" applyAlignment="1">
      <alignment horizontal="center"/>
    </xf>
    <xf numFmtId="3" fontId="4" fillId="3" borderId="6" xfId="0" applyNumberFormat="1" applyFont="1" applyFill="1" applyBorder="1" applyAlignment="1">
      <alignment horizontal="center"/>
    </xf>
    <xf numFmtId="3" fontId="4" fillId="3" borderId="9" xfId="0" applyNumberFormat="1" applyFont="1" applyFill="1" applyBorder="1" applyAlignment="1">
      <alignment horizontal="center"/>
    </xf>
    <xf numFmtId="3" fontId="5" fillId="3" borderId="4" xfId="0" applyNumberFormat="1" applyFont="1" applyFill="1" applyBorder="1" applyAlignment="1">
      <alignment horizontal="center"/>
    </xf>
    <xf numFmtId="3" fontId="5" fillId="3" borderId="1" xfId="0" applyNumberFormat="1" applyFont="1" applyFill="1" applyBorder="1" applyAlignment="1">
      <alignment horizontal="center"/>
    </xf>
    <xf numFmtId="0" fontId="2" fillId="3" borderId="10" xfId="0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 wrapText="1"/>
    </xf>
    <xf numFmtId="0" fontId="2" fillId="3" borderId="12" xfId="0" applyFont="1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/>
    </xf>
    <xf numFmtId="166" fontId="0" fillId="3" borderId="8" xfId="0" applyNumberFormat="1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166" fontId="0" fillId="3" borderId="4" xfId="0" applyNumberFormat="1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3" borderId="21" xfId="0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6" fontId="0" fillId="3" borderId="22" xfId="0" applyNumberFormat="1" applyFill="1" applyBorder="1" applyAlignment="1">
      <alignment horizontal="center"/>
    </xf>
    <xf numFmtId="3" fontId="0" fillId="3" borderId="22" xfId="0" applyNumberFormat="1" applyFill="1" applyBorder="1" applyAlignment="1">
      <alignment horizontal="center"/>
    </xf>
    <xf numFmtId="0" fontId="0" fillId="3" borderId="23" xfId="0" applyFill="1" applyBorder="1" applyAlignment="1">
      <alignment horizontal="center"/>
    </xf>
    <xf numFmtId="3" fontId="6" fillId="3" borderId="19" xfId="0" applyNumberFormat="1" applyFont="1" applyFill="1" applyBorder="1" applyAlignment="1">
      <alignment horizontal="center"/>
    </xf>
    <xf numFmtId="4" fontId="5" fillId="3" borderId="1" xfId="0" applyNumberFormat="1" applyFont="1" applyFill="1" applyBorder="1" applyAlignment="1">
      <alignment horizontal="center"/>
    </xf>
    <xf numFmtId="0" fontId="5" fillId="3" borderId="13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3" fontId="5" fillId="3" borderId="14" xfId="0" applyNumberFormat="1" applyFont="1" applyFill="1" applyBorder="1" applyAlignment="1">
      <alignment horizontal="center"/>
    </xf>
    <xf numFmtId="3" fontId="5" fillId="3" borderId="6" xfId="0" applyNumberFormat="1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4" fontId="4" fillId="3" borderId="1" xfId="0" applyNumberFormat="1" applyFont="1" applyFill="1" applyBorder="1" applyAlignment="1">
      <alignment horizontal="center"/>
    </xf>
    <xf numFmtId="3" fontId="4" fillId="3" borderId="1" xfId="0" applyNumberFormat="1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4" fontId="4" fillId="3" borderId="8" xfId="0" applyNumberFormat="1" applyFont="1" applyFill="1" applyBorder="1" applyAlignment="1">
      <alignment horizontal="center"/>
    </xf>
    <xf numFmtId="3" fontId="4" fillId="3" borderId="8" xfId="0" applyNumberFormat="1" applyFont="1" applyFill="1" applyBorder="1" applyAlignment="1">
      <alignment horizontal="center"/>
    </xf>
    <xf numFmtId="3" fontId="4" fillId="0" borderId="6" xfId="0" applyNumberFormat="1" applyFont="1" applyFill="1" applyBorder="1" applyAlignment="1">
      <alignment horizontal="center"/>
    </xf>
    <xf numFmtId="3" fontId="5" fillId="0" borderId="1" xfId="0" applyNumberFormat="1" applyFont="1" applyFill="1" applyBorder="1" applyAlignment="1">
      <alignment horizontal="center"/>
    </xf>
    <xf numFmtId="3" fontId="4" fillId="6" borderId="1" xfId="0" applyNumberFormat="1" applyFont="1" applyFill="1" applyBorder="1" applyAlignment="1">
      <alignment horizontal="center"/>
    </xf>
    <xf numFmtId="3" fontId="4" fillId="6" borderId="6" xfId="0" applyNumberFormat="1" applyFont="1" applyFill="1" applyBorder="1" applyAlignment="1">
      <alignment horizontal="center"/>
    </xf>
    <xf numFmtId="3" fontId="5" fillId="6" borderId="1" xfId="0" applyNumberFormat="1" applyFont="1" applyFill="1" applyBorder="1" applyAlignment="1">
      <alignment horizontal="center"/>
    </xf>
    <xf numFmtId="0" fontId="4" fillId="6" borderId="5" xfId="0" applyFont="1" applyFill="1" applyBorder="1" applyAlignment="1">
      <alignment horizontal="center"/>
    </xf>
    <xf numFmtId="4" fontId="4" fillId="6" borderId="1" xfId="0" applyNumberFormat="1" applyFont="1" applyFill="1" applyBorder="1" applyAlignment="1">
      <alignment horizontal="center"/>
    </xf>
    <xf numFmtId="0" fontId="5" fillId="6" borderId="5" xfId="0" applyFont="1" applyFill="1" applyBorder="1" applyAlignment="1">
      <alignment horizontal="center"/>
    </xf>
    <xf numFmtId="4" fontId="5" fillId="6" borderId="1" xfId="0" applyNumberFormat="1" applyFont="1" applyFill="1" applyBorder="1" applyAlignment="1">
      <alignment horizontal="center"/>
    </xf>
    <xf numFmtId="9" fontId="0" fillId="3" borderId="0" xfId="0" applyNumberFormat="1" applyFill="1"/>
    <xf numFmtId="0" fontId="5" fillId="0" borderId="5" xfId="0" applyFont="1" applyFill="1" applyBorder="1" applyAlignment="1">
      <alignment horizontal="center"/>
    </xf>
    <xf numFmtId="4" fontId="5" fillId="0" borderId="1" xfId="0" applyNumberFormat="1" applyFont="1" applyFill="1" applyBorder="1" applyAlignment="1">
      <alignment horizontal="center"/>
    </xf>
    <xf numFmtId="3" fontId="0" fillId="3" borderId="10" xfId="0" applyNumberFormat="1" applyFill="1" applyBorder="1" applyAlignment="1">
      <alignment horizontal="center"/>
    </xf>
    <xf numFmtId="3" fontId="0" fillId="3" borderId="15" xfId="0" applyNumberFormat="1" applyFill="1" applyBorder="1" applyAlignment="1">
      <alignment horizontal="center"/>
    </xf>
    <xf numFmtId="3" fontId="0" fillId="3" borderId="18" xfId="0" applyNumberFormat="1" applyFill="1" applyBorder="1" applyAlignment="1">
      <alignment horizontal="center"/>
    </xf>
    <xf numFmtId="3" fontId="5" fillId="3" borderId="13" xfId="0" applyNumberFormat="1" applyFont="1" applyFill="1" applyBorder="1" applyAlignment="1">
      <alignment horizontal="center"/>
    </xf>
    <xf numFmtId="3" fontId="5" fillId="3" borderId="5" xfId="0" applyNumberFormat="1" applyFont="1" applyFill="1" applyBorder="1" applyAlignment="1">
      <alignment horizontal="center"/>
    </xf>
    <xf numFmtId="3" fontId="4" fillId="3" borderId="5" xfId="0" applyNumberFormat="1" applyFont="1" applyFill="1" applyBorder="1" applyAlignment="1">
      <alignment horizontal="center"/>
    </xf>
    <xf numFmtId="3" fontId="5" fillId="0" borderId="5" xfId="0" applyNumberFormat="1" applyFont="1" applyFill="1" applyBorder="1" applyAlignment="1">
      <alignment horizontal="center"/>
    </xf>
    <xf numFmtId="3" fontId="5" fillId="6" borderId="5" xfId="0" applyNumberFormat="1" applyFont="1" applyFill="1" applyBorder="1" applyAlignment="1">
      <alignment horizontal="center"/>
    </xf>
    <xf numFmtId="3" fontId="4" fillId="3" borderId="7" xfId="0" applyNumberFormat="1" applyFont="1" applyFill="1" applyBorder="1" applyAlignment="1">
      <alignment horizontal="center"/>
    </xf>
    <xf numFmtId="3" fontId="4" fillId="6" borderId="5" xfId="0" applyNumberFormat="1" applyFont="1" applyFill="1" applyBorder="1" applyAlignment="1">
      <alignment horizontal="center"/>
    </xf>
    <xf numFmtId="0" fontId="0" fillId="3" borderId="24" xfId="0" applyFill="1" applyBorder="1"/>
    <xf numFmtId="0" fontId="0" fillId="3" borderId="25" xfId="0" applyFill="1" applyBorder="1"/>
    <xf numFmtId="9" fontId="0" fillId="3" borderId="26" xfId="0" applyNumberFormat="1" applyFill="1" applyBorder="1"/>
    <xf numFmtId="0" fontId="0" fillId="3" borderId="27" xfId="0" applyFill="1" applyBorder="1"/>
    <xf numFmtId="9" fontId="0" fillId="3" borderId="28" xfId="0" applyNumberFormat="1" applyFill="1" applyBorder="1"/>
    <xf numFmtId="0" fontId="0" fillId="3" borderId="29" xfId="0" applyFill="1" applyBorder="1"/>
    <xf numFmtId="0" fontId="0" fillId="3" borderId="30" xfId="0" applyFill="1" applyBorder="1"/>
    <xf numFmtId="9" fontId="0" fillId="3" borderId="31" xfId="0" applyNumberFormat="1" applyFill="1" applyBorder="1"/>
    <xf numFmtId="0" fontId="0" fillId="3" borderId="26" xfId="0" applyFill="1" applyBorder="1"/>
    <xf numFmtId="9" fontId="0" fillId="3" borderId="29" xfId="0" applyNumberFormat="1" applyFill="1" applyBorder="1"/>
    <xf numFmtId="0" fontId="0" fillId="3" borderId="31" xfId="0" applyFill="1" applyBorder="1"/>
    <xf numFmtId="164" fontId="0" fillId="3" borderId="23" xfId="1" applyNumberFormat="1" applyFont="1" applyFill="1" applyBorder="1" applyAlignment="1">
      <alignment horizontal="center"/>
    </xf>
    <xf numFmtId="164" fontId="0" fillId="3" borderId="14" xfId="1" applyNumberFormat="1" applyFont="1" applyFill="1" applyBorder="1" applyAlignment="1">
      <alignment horizontal="center"/>
    </xf>
    <xf numFmtId="164" fontId="0" fillId="3" borderId="6" xfId="1" applyNumberFormat="1" applyFont="1" applyFill="1" applyBorder="1" applyAlignment="1">
      <alignment horizontal="center"/>
    </xf>
    <xf numFmtId="164" fontId="0" fillId="3" borderId="9" xfId="1" applyNumberFormat="1" applyFont="1" applyFill="1" applyBorder="1" applyAlignment="1">
      <alignment horizontal="center"/>
    </xf>
    <xf numFmtId="3" fontId="6" fillId="3" borderId="22" xfId="0" applyNumberFormat="1" applyFont="1" applyFill="1" applyBorder="1" applyAlignment="1">
      <alignment horizontal="center"/>
    </xf>
    <xf numFmtId="3" fontId="7" fillId="3" borderId="4" xfId="0" applyNumberFormat="1" applyFont="1" applyFill="1" applyBorder="1" applyAlignment="1">
      <alignment horizontal="center"/>
    </xf>
    <xf numFmtId="3" fontId="7" fillId="3" borderId="1" xfId="0" applyNumberFormat="1" applyFont="1" applyFill="1" applyBorder="1" applyAlignment="1">
      <alignment horizontal="center"/>
    </xf>
    <xf numFmtId="3" fontId="7" fillId="3" borderId="8" xfId="0" applyNumberFormat="1" applyFont="1" applyFill="1" applyBorder="1" applyAlignment="1">
      <alignment horizontal="center"/>
    </xf>
    <xf numFmtId="3" fontId="7" fillId="3" borderId="22" xfId="0" applyNumberFormat="1" applyFont="1" applyFill="1" applyBorder="1" applyAlignment="1">
      <alignment horizontal="center"/>
    </xf>
    <xf numFmtId="0" fontId="6" fillId="3" borderId="21" xfId="0" applyFont="1" applyFill="1" applyBorder="1" applyAlignment="1">
      <alignment horizontal="center"/>
    </xf>
    <xf numFmtId="166" fontId="6" fillId="3" borderId="22" xfId="0" applyNumberFormat="1" applyFont="1" applyFill="1" applyBorder="1" applyAlignment="1">
      <alignment horizontal="center"/>
    </xf>
    <xf numFmtId="0" fontId="6" fillId="3" borderId="13" xfId="0" applyFont="1" applyFill="1" applyBorder="1" applyAlignment="1">
      <alignment horizontal="center"/>
    </xf>
    <xf numFmtId="166" fontId="6" fillId="3" borderId="4" xfId="0" applyNumberFormat="1" applyFont="1" applyFill="1" applyBorder="1" applyAlignment="1">
      <alignment horizontal="center"/>
    </xf>
    <xf numFmtId="3" fontId="6" fillId="3" borderId="4" xfId="0" applyNumberFormat="1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166" fontId="6" fillId="3" borderId="1" xfId="0" applyNumberFormat="1" applyFont="1" applyFill="1" applyBorder="1" applyAlignment="1">
      <alignment horizontal="center"/>
    </xf>
    <xf numFmtId="3" fontId="6" fillId="3" borderId="1" xfId="0" applyNumberFormat="1" applyFont="1" applyFill="1" applyBorder="1" applyAlignment="1">
      <alignment horizontal="center"/>
    </xf>
    <xf numFmtId="0" fontId="6" fillId="3" borderId="7" xfId="0" applyFont="1" applyFill="1" applyBorder="1" applyAlignment="1">
      <alignment horizontal="center"/>
    </xf>
    <xf numFmtId="166" fontId="6" fillId="3" borderId="8" xfId="0" applyNumberFormat="1" applyFont="1" applyFill="1" applyBorder="1" applyAlignment="1">
      <alignment horizontal="center"/>
    </xf>
    <xf numFmtId="3" fontId="6" fillId="3" borderId="8" xfId="0" applyNumberFormat="1" applyFont="1" applyFill="1" applyBorder="1" applyAlignment="1">
      <alignment horizontal="center"/>
    </xf>
    <xf numFmtId="164" fontId="6" fillId="3" borderId="23" xfId="1" applyNumberFormat="1" applyFont="1" applyFill="1" applyBorder="1" applyAlignment="1">
      <alignment horizontal="center"/>
    </xf>
    <xf numFmtId="164" fontId="6" fillId="3" borderId="14" xfId="1" applyNumberFormat="1" applyFont="1" applyFill="1" applyBorder="1" applyAlignment="1">
      <alignment horizontal="center"/>
    </xf>
    <xf numFmtId="164" fontId="6" fillId="3" borderId="6" xfId="1" applyNumberFormat="1" applyFont="1" applyFill="1" applyBorder="1" applyAlignment="1">
      <alignment horizontal="center"/>
    </xf>
    <xf numFmtId="164" fontId="6" fillId="3" borderId="9" xfId="1" applyNumberFormat="1" applyFont="1" applyFill="1" applyBorder="1" applyAlignment="1">
      <alignment horizontal="center"/>
    </xf>
    <xf numFmtId="0" fontId="6" fillId="3" borderId="21" xfId="0" applyFont="1" applyFill="1" applyBorder="1" applyAlignment="1">
      <alignment horizontal="center" vertical="center"/>
    </xf>
    <xf numFmtId="0" fontId="6" fillId="3" borderId="22" xfId="0" applyFont="1" applyFill="1" applyBorder="1" applyAlignment="1">
      <alignment horizontal="center" vertical="center"/>
    </xf>
    <xf numFmtId="0" fontId="6" fillId="3" borderId="22" xfId="0" applyFont="1" applyFill="1" applyBorder="1" applyAlignment="1">
      <alignment horizontal="center" vertical="center" wrapText="1"/>
    </xf>
    <xf numFmtId="0" fontId="6" fillId="3" borderId="23" xfId="0" applyFont="1" applyFill="1" applyBorder="1" applyAlignment="1">
      <alignment horizontal="center" vertical="center" wrapText="1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 wrapText="1"/>
    </xf>
    <xf numFmtId="0" fontId="6" fillId="2" borderId="23" xfId="0" applyFont="1" applyFill="1" applyBorder="1" applyAlignment="1">
      <alignment horizontal="center" vertical="center" wrapText="1"/>
    </xf>
    <xf numFmtId="0" fontId="0" fillId="2" borderId="21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 wrapText="1"/>
    </xf>
    <xf numFmtId="0" fontId="0" fillId="2" borderId="23" xfId="0" applyFill="1" applyBorder="1" applyAlignment="1">
      <alignment horizontal="center" vertical="center" wrapText="1"/>
    </xf>
    <xf numFmtId="3" fontId="7" fillId="2" borderId="22" xfId="0" applyNumberFormat="1" applyFont="1" applyFill="1" applyBorder="1" applyAlignment="1">
      <alignment horizontal="center"/>
    </xf>
    <xf numFmtId="3" fontId="7" fillId="2" borderId="4" xfId="0" applyNumberFormat="1" applyFont="1" applyFill="1" applyBorder="1" applyAlignment="1">
      <alignment horizontal="center"/>
    </xf>
    <xf numFmtId="3" fontId="7" fillId="2" borderId="1" xfId="0" applyNumberFormat="1" applyFont="1" applyFill="1" applyBorder="1" applyAlignment="1">
      <alignment horizontal="center"/>
    </xf>
    <xf numFmtId="3" fontId="7" fillId="2" borderId="8" xfId="0" applyNumberFormat="1" applyFont="1" applyFill="1" applyBorder="1" applyAlignment="1">
      <alignment horizontal="center"/>
    </xf>
    <xf numFmtId="164" fontId="0" fillId="2" borderId="23" xfId="1" applyNumberFormat="1" applyFont="1" applyFill="1" applyBorder="1" applyAlignment="1">
      <alignment horizontal="center"/>
    </xf>
    <xf numFmtId="164" fontId="0" fillId="2" borderId="14" xfId="1" applyNumberFormat="1" applyFont="1" applyFill="1" applyBorder="1" applyAlignment="1">
      <alignment horizontal="center"/>
    </xf>
    <xf numFmtId="164" fontId="0" fillId="2" borderId="6" xfId="1" applyNumberFormat="1" applyFont="1" applyFill="1" applyBorder="1" applyAlignment="1">
      <alignment horizontal="center"/>
    </xf>
    <xf numFmtId="164" fontId="0" fillId="2" borderId="9" xfId="1" applyNumberFormat="1" applyFont="1" applyFill="1" applyBorder="1" applyAlignment="1">
      <alignment horizontal="center"/>
    </xf>
    <xf numFmtId="0" fontId="0" fillId="3" borderId="21" xfId="0" applyFill="1" applyBorder="1" applyAlignment="1">
      <alignment horizontal="center" vertical="center"/>
    </xf>
    <xf numFmtId="0" fontId="0" fillId="3" borderId="22" xfId="0" applyFill="1" applyBorder="1" applyAlignment="1">
      <alignment horizontal="center" vertical="center"/>
    </xf>
    <xf numFmtId="0" fontId="0" fillId="3" borderId="22" xfId="0" applyFill="1" applyBorder="1" applyAlignment="1">
      <alignment horizontal="center" vertical="center" wrapText="1"/>
    </xf>
    <xf numFmtId="0" fontId="0" fillId="3" borderId="23" xfId="0" applyFill="1" applyBorder="1" applyAlignment="1">
      <alignment horizontal="center" vertical="center" wrapText="1"/>
    </xf>
    <xf numFmtId="166" fontId="0" fillId="2" borderId="22" xfId="0" applyNumberFormat="1" applyFill="1" applyBorder="1" applyAlignment="1">
      <alignment horizontal="center"/>
    </xf>
    <xf numFmtId="166" fontId="0" fillId="2" borderId="4" xfId="0" applyNumberFormat="1" applyFill="1" applyBorder="1" applyAlignment="1">
      <alignment horizontal="center"/>
    </xf>
    <xf numFmtId="166" fontId="0" fillId="2" borderId="1" xfId="0" applyNumberFormat="1" applyFill="1" applyBorder="1" applyAlignment="1">
      <alignment horizontal="center"/>
    </xf>
    <xf numFmtId="166" fontId="0" fillId="2" borderId="8" xfId="0" applyNumberFormat="1" applyFill="1" applyBorder="1" applyAlignment="1">
      <alignment horizontal="center"/>
    </xf>
    <xf numFmtId="0" fontId="5" fillId="3" borderId="32" xfId="0" applyFont="1" applyFill="1" applyBorder="1" applyAlignment="1">
      <alignment horizontal="center"/>
    </xf>
    <xf numFmtId="4" fontId="5" fillId="3" borderId="33" xfId="0" applyNumberFormat="1" applyFont="1" applyFill="1" applyBorder="1" applyAlignment="1">
      <alignment horizontal="center"/>
    </xf>
    <xf numFmtId="3" fontId="5" fillId="3" borderId="33" xfId="0" applyNumberFormat="1" applyFont="1" applyFill="1" applyBorder="1" applyAlignment="1">
      <alignment horizontal="center"/>
    </xf>
    <xf numFmtId="3" fontId="5" fillId="3" borderId="34" xfId="0" applyNumberFormat="1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4" fontId="5" fillId="2" borderId="1" xfId="0" applyNumberFormat="1" applyFont="1" applyFill="1" applyBorder="1" applyAlignment="1">
      <alignment horizontal="center"/>
    </xf>
    <xf numFmtId="3" fontId="5" fillId="2" borderId="1" xfId="0" applyNumberFormat="1" applyFont="1" applyFill="1" applyBorder="1" applyAlignment="1">
      <alignment horizontal="center"/>
    </xf>
    <xf numFmtId="3" fontId="4" fillId="2" borderId="6" xfId="0" applyNumberFormat="1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4" fontId="4" fillId="2" borderId="1" xfId="0" applyNumberFormat="1" applyFont="1" applyFill="1" applyBorder="1" applyAlignment="1">
      <alignment horizontal="center"/>
    </xf>
    <xf numFmtId="3" fontId="4" fillId="2" borderId="1" xfId="0" applyNumberFormat="1" applyFont="1" applyFill="1" applyBorder="1" applyAlignment="1">
      <alignment horizontal="center"/>
    </xf>
    <xf numFmtId="3" fontId="0" fillId="2" borderId="22" xfId="0" applyNumberFormat="1" applyFill="1" applyBorder="1" applyAlignment="1">
      <alignment horizontal="center"/>
    </xf>
    <xf numFmtId="164" fontId="0" fillId="3" borderId="0" xfId="1" applyNumberFormat="1" applyFont="1" applyFill="1"/>
    <xf numFmtId="3" fontId="0" fillId="2" borderId="8" xfId="0" applyNumberFormat="1" applyFill="1" applyBorder="1" applyAlignment="1">
      <alignment horizontal="center"/>
    </xf>
    <xf numFmtId="3" fontId="0" fillId="2" borderId="4" xfId="0" applyNumberFormat="1" applyFill="1" applyBorder="1" applyAlignment="1">
      <alignment horizontal="center"/>
    </xf>
    <xf numFmtId="3" fontId="0" fillId="2" borderId="1" xfId="0" applyNumberFormat="1" applyFill="1" applyBorder="1" applyAlignment="1">
      <alignment horizontal="center"/>
    </xf>
    <xf numFmtId="3" fontId="6" fillId="2" borderId="22" xfId="0" applyNumberFormat="1" applyFont="1" applyFill="1" applyBorder="1" applyAlignment="1">
      <alignment horizontal="center"/>
    </xf>
    <xf numFmtId="3" fontId="6" fillId="2" borderId="4" xfId="0" applyNumberFormat="1" applyFont="1" applyFill="1" applyBorder="1" applyAlignment="1">
      <alignment horizontal="center"/>
    </xf>
    <xf numFmtId="3" fontId="6" fillId="2" borderId="1" xfId="0" applyNumberFormat="1" applyFont="1" applyFill="1" applyBorder="1" applyAlignment="1">
      <alignment horizontal="center"/>
    </xf>
    <xf numFmtId="3" fontId="6" fillId="2" borderId="8" xfId="0" applyNumberFormat="1" applyFont="1" applyFill="1" applyBorder="1" applyAlignment="1">
      <alignment horizontal="center"/>
    </xf>
    <xf numFmtId="166" fontId="6" fillId="2" borderId="22" xfId="0" applyNumberFormat="1" applyFont="1" applyFill="1" applyBorder="1" applyAlignment="1">
      <alignment horizontal="center"/>
    </xf>
    <xf numFmtId="166" fontId="6" fillId="2" borderId="4" xfId="0" applyNumberFormat="1" applyFont="1" applyFill="1" applyBorder="1" applyAlignment="1">
      <alignment horizontal="center"/>
    </xf>
    <xf numFmtId="166" fontId="6" fillId="2" borderId="1" xfId="0" applyNumberFormat="1" applyFont="1" applyFill="1" applyBorder="1" applyAlignment="1">
      <alignment horizontal="center"/>
    </xf>
    <xf numFmtId="166" fontId="6" fillId="2" borderId="8" xfId="0" applyNumberFormat="1" applyFont="1" applyFill="1" applyBorder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RELACIÓN DE CONSUMO</a:t>
            </a:r>
            <a:r>
              <a:rPr lang="es-CL" baseline="0"/>
              <a:t> PROYECTADO DE ACIDO </a:t>
            </a:r>
            <a:endParaRPr lang="es-CL"/>
          </a:p>
        </c:rich>
      </c:tx>
      <c:layout>
        <c:manualLayout>
          <c:xMode val="edge"/>
          <c:yMode val="edge"/>
          <c:x val="0.26116392913427955"/>
          <c:y val="3.6206875251634615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rendline>
            <c:trendlineType val="linear"/>
            <c:forward val="20"/>
            <c:dispRSqr val="1"/>
            <c:dispEq val="1"/>
            <c:trendlineLbl>
              <c:layout>
                <c:manualLayout>
                  <c:x val="1.2672424887244823E-2"/>
                  <c:y val="-0.15075111051839818"/>
                </c:manualLayout>
              </c:layout>
              <c:numFmt formatCode="General" sourceLinked="0"/>
            </c:trendlineLbl>
          </c:trendline>
          <c:cat>
            <c:numRef>
              <c:f>BASE!$C$16:$R$16</c:f>
              <c:numCache>
                <c:formatCode>General</c:formatCode>
                <c:ptCount val="16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</c:numCache>
            </c:numRef>
          </c:cat>
          <c:val>
            <c:numRef>
              <c:f>BASE!$C$20:$R$20</c:f>
              <c:numCache>
                <c:formatCode>#,##0.00_ ;\-#,##0.00\ </c:formatCode>
                <c:ptCount val="16"/>
                <c:pt idx="0">
                  <c:v>1.7118155203874195</c:v>
                </c:pt>
                <c:pt idx="1">
                  <c:v>1.9136098131760495</c:v>
                </c:pt>
                <c:pt idx="2">
                  <c:v>1.7824322119826399</c:v>
                </c:pt>
                <c:pt idx="3">
                  <c:v>1.8484691353854747</c:v>
                </c:pt>
                <c:pt idx="4">
                  <c:v>2.0750132604955218</c:v>
                </c:pt>
                <c:pt idx="5">
                  <c:v>2.1377440959816729</c:v>
                </c:pt>
                <c:pt idx="6">
                  <c:v>2.4570229250733506</c:v>
                </c:pt>
                <c:pt idx="7">
                  <c:v>2.5236000259582281</c:v>
                </c:pt>
                <c:pt idx="8">
                  <c:v>2.515893788575791</c:v>
                </c:pt>
                <c:pt idx="9">
                  <c:v>2.8676991308393593</c:v>
                </c:pt>
                <c:pt idx="10">
                  <c:v>2.5510349463565678</c:v>
                </c:pt>
                <c:pt idx="11">
                  <c:v>2.9172815060857928</c:v>
                </c:pt>
                <c:pt idx="12">
                  <c:v>3.2227916816258135</c:v>
                </c:pt>
                <c:pt idx="13">
                  <c:v>3.2521871940502201</c:v>
                </c:pt>
                <c:pt idx="14">
                  <c:v>3.3443678026822998</c:v>
                </c:pt>
                <c:pt idx="15">
                  <c:v>3.4856499803307317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898368"/>
        <c:axId val="44892160"/>
      </c:lineChart>
      <c:dateAx>
        <c:axId val="43898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CL"/>
                  <a:t>Año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44892160"/>
        <c:crosses val="autoZero"/>
        <c:auto val="0"/>
        <c:lblOffset val="100"/>
        <c:baseTimeUnit val="days"/>
      </c:dateAx>
      <c:valAx>
        <c:axId val="448921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CL" baseline="0"/>
                  <a:t>Consumo de Acido v/s Producción de Catodos</a:t>
                </a:r>
              </a:p>
              <a:p>
                <a:pPr>
                  <a:defRPr/>
                </a:pPr>
                <a:endParaRPr lang="es-CL"/>
              </a:p>
            </c:rich>
          </c:tx>
          <c:layout>
            <c:manualLayout>
              <c:xMode val="edge"/>
              <c:yMode val="edge"/>
              <c:x val="1.8241039538171352E-2"/>
              <c:y val="0.12938113485588049"/>
            </c:manualLayout>
          </c:layout>
          <c:overlay val="0"/>
        </c:title>
        <c:numFmt formatCode="#,##0.00_ ;\-#,##0.00\ " sourceLinked="1"/>
        <c:majorTickMark val="none"/>
        <c:minorTickMark val="none"/>
        <c:tickLblPos val="nextTo"/>
        <c:crossAx val="43898368"/>
        <c:crosses val="autoZero"/>
        <c:crossBetween val="between"/>
      </c:valAx>
    </c:plotArea>
    <c:legend>
      <c:legendPos val="t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OLD!$B$73</c:f>
              <c:strCache>
                <c:ptCount val="1"/>
                <c:pt idx="0">
                  <c:v>CONSUMO TOTAL ACÍDO</c:v>
                </c:pt>
              </c:strCache>
            </c:strRef>
          </c:tx>
          <c:trendline>
            <c:spPr>
              <a:effectLst>
                <a:outerShdw blurRad="114300" dist="50800" dir="5400000" algn="ctr" rotWithShape="0">
                  <a:srgbClr val="000000"/>
                </a:outerShdw>
              </a:effectLst>
            </c:spPr>
            <c:trendlineType val="poly"/>
            <c:order val="6"/>
            <c:dispRSqr val="1"/>
            <c:dispEq val="1"/>
            <c:trendlineLbl>
              <c:layout>
                <c:manualLayout>
                  <c:x val="6.4432633420822394E-2"/>
                  <c:y val="0.39778907844852729"/>
                </c:manualLayout>
              </c:layout>
              <c:numFmt formatCode="General" sourceLinked="0"/>
            </c:trendlineLbl>
          </c:trendline>
          <c:cat>
            <c:numRef>
              <c:f>OLD!$C$70:$Q$70</c:f>
              <c:numCache>
                <c:formatCode>General</c:formatCode>
                <c:ptCount val="15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</c:numCache>
            </c:numRef>
          </c:cat>
          <c:val>
            <c:numRef>
              <c:f>OLD!$C$73:$Q$73</c:f>
              <c:numCache>
                <c:formatCode>_-* #,##0_-;\-* #,##0_-;_-* "-"??_-;_-@_-</c:formatCode>
                <c:ptCount val="15"/>
                <c:pt idx="0">
                  <c:v>3692</c:v>
                </c:pt>
                <c:pt idx="1">
                  <c:v>4131</c:v>
                </c:pt>
                <c:pt idx="2">
                  <c:v>4219</c:v>
                </c:pt>
                <c:pt idx="3">
                  <c:v>4362</c:v>
                </c:pt>
                <c:pt idx="4">
                  <c:v>4967</c:v>
                </c:pt>
                <c:pt idx="5">
                  <c:v>4958</c:v>
                </c:pt>
                <c:pt idx="6">
                  <c:v>5561</c:v>
                </c:pt>
                <c:pt idx="7">
                  <c:v>5634</c:v>
                </c:pt>
                <c:pt idx="8">
                  <c:v>6060</c:v>
                </c:pt>
                <c:pt idx="9">
                  <c:v>7257</c:v>
                </c:pt>
                <c:pt idx="10">
                  <c:v>6949</c:v>
                </c:pt>
                <c:pt idx="11">
                  <c:v>7808</c:v>
                </c:pt>
                <c:pt idx="12">
                  <c:v>8441</c:v>
                </c:pt>
                <c:pt idx="13">
                  <c:v>8456</c:v>
                </c:pt>
                <c:pt idx="14">
                  <c:v>8256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742592"/>
        <c:axId val="45211648"/>
      </c:lineChart>
      <c:dateAx>
        <c:axId val="45742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5211648"/>
        <c:crosses val="autoZero"/>
        <c:auto val="0"/>
        <c:lblOffset val="100"/>
        <c:baseTimeUnit val="days"/>
        <c:majorUnit val="1"/>
        <c:majorTimeUnit val="days"/>
      </c:dateAx>
      <c:valAx>
        <c:axId val="452116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CL"/>
                  <a:t>Miles de toneladas Acido</a:t>
                </a:r>
              </a:p>
            </c:rich>
          </c:tx>
          <c:overlay val="0"/>
        </c:title>
        <c:numFmt formatCode="_-* #,##0_-;\-* #,##0_-;_-* &quot;-&quot;??_-;_-@_-" sourceLinked="1"/>
        <c:majorTickMark val="out"/>
        <c:minorTickMark val="none"/>
        <c:tickLblPos val="nextTo"/>
        <c:crossAx val="45742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Total Cu fino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cked"/>
        <c:varyColors val="0"/>
        <c:ser>
          <c:idx val="1"/>
          <c:order val="0"/>
          <c:tx>
            <c:strRef>
              <c:f>OLD!$B$43</c:f>
              <c:strCache>
                <c:ptCount val="1"/>
                <c:pt idx="0">
                  <c:v>Grandes</c:v>
                </c:pt>
              </c:strCache>
            </c:strRef>
          </c:tx>
          <c:invertIfNegative val="0"/>
          <c:cat>
            <c:numRef>
              <c:f>OLD!$C$42:$Q$42</c:f>
              <c:numCache>
                <c:formatCode>General</c:formatCode>
                <c:ptCount val="15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</c:numCache>
            </c:numRef>
          </c:cat>
          <c:val>
            <c:numRef>
              <c:f>OLD!$C$43:$Q$43</c:f>
              <c:numCache>
                <c:formatCode>_-* #,##0_-;\-* #,##0_-;_-* "-"??_-;_-@_-</c:formatCode>
                <c:ptCount val="15"/>
                <c:pt idx="0">
                  <c:v>2086131</c:v>
                </c:pt>
                <c:pt idx="1">
                  <c:v>2027669</c:v>
                </c:pt>
                <c:pt idx="2">
                  <c:v>2190902</c:v>
                </c:pt>
                <c:pt idx="3">
                  <c:v>2099143</c:v>
                </c:pt>
                <c:pt idx="4">
                  <c:v>2126141</c:v>
                </c:pt>
                <c:pt idx="5">
                  <c:v>2090147</c:v>
                </c:pt>
                <c:pt idx="6">
                  <c:v>2166346</c:v>
                </c:pt>
                <c:pt idx="7">
                  <c:v>2127240</c:v>
                </c:pt>
                <c:pt idx="8">
                  <c:v>2299849</c:v>
                </c:pt>
                <c:pt idx="9">
                  <c:v>2439573</c:v>
                </c:pt>
                <c:pt idx="10">
                  <c:v>2649910</c:v>
                </c:pt>
                <c:pt idx="11">
                  <c:v>2563456</c:v>
                </c:pt>
                <c:pt idx="12">
                  <c:v>2497644</c:v>
                </c:pt>
                <c:pt idx="13">
                  <c:v>2478229</c:v>
                </c:pt>
                <c:pt idx="14">
                  <c:v>2346744</c:v>
                </c:pt>
              </c:numCache>
            </c:numRef>
          </c:val>
        </c:ser>
        <c:ser>
          <c:idx val="2"/>
          <c:order val="1"/>
          <c:tx>
            <c:strRef>
              <c:f>OLD!$B$44</c:f>
              <c:strCache>
                <c:ptCount val="1"/>
                <c:pt idx="0">
                  <c:v>Medianas</c:v>
                </c:pt>
              </c:strCache>
            </c:strRef>
          </c:tx>
          <c:invertIfNegative val="0"/>
          <c:cat>
            <c:numRef>
              <c:f>OLD!$C$42:$Q$42</c:f>
              <c:numCache>
                <c:formatCode>General</c:formatCode>
                <c:ptCount val="15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</c:numCache>
            </c:numRef>
          </c:cat>
          <c:val>
            <c:numRef>
              <c:f>OLD!$C$44:$Q$44</c:f>
              <c:numCache>
                <c:formatCode>_-* #,##0_-;\-* #,##0_-;_-* "-"??_-;_-@_-</c:formatCode>
                <c:ptCount val="15"/>
                <c:pt idx="0">
                  <c:v>101926</c:v>
                </c:pt>
                <c:pt idx="1">
                  <c:v>162435</c:v>
                </c:pt>
                <c:pt idx="2">
                  <c:v>210570</c:v>
                </c:pt>
                <c:pt idx="3">
                  <c:v>294958</c:v>
                </c:pt>
                <c:pt idx="4">
                  <c:v>302118</c:v>
                </c:pt>
                <c:pt idx="5">
                  <c:v>261712</c:v>
                </c:pt>
                <c:pt idx="6">
                  <c:v>128794</c:v>
                </c:pt>
                <c:pt idx="7">
                  <c:v>136208</c:v>
                </c:pt>
                <c:pt idx="8">
                  <c:v>142891</c:v>
                </c:pt>
                <c:pt idx="9">
                  <c:v>126347</c:v>
                </c:pt>
                <c:pt idx="10">
                  <c:v>115743</c:v>
                </c:pt>
                <c:pt idx="11">
                  <c:v>153942</c:v>
                </c:pt>
                <c:pt idx="12">
                  <c:v>161571</c:v>
                </c:pt>
                <c:pt idx="13">
                  <c:v>161633</c:v>
                </c:pt>
                <c:pt idx="14">
                  <c:v>159639</c:v>
                </c:pt>
              </c:numCache>
            </c:numRef>
          </c:val>
        </c:ser>
        <c:ser>
          <c:idx val="3"/>
          <c:order val="2"/>
          <c:tx>
            <c:strRef>
              <c:f>OLD!$B$45</c:f>
              <c:strCache>
                <c:ptCount val="1"/>
                <c:pt idx="0">
                  <c:v>Pequeñas</c:v>
                </c:pt>
              </c:strCache>
            </c:strRef>
          </c:tx>
          <c:invertIfNegative val="0"/>
          <c:cat>
            <c:numRef>
              <c:f>OLD!$C$42:$Q$42</c:f>
              <c:numCache>
                <c:formatCode>General</c:formatCode>
                <c:ptCount val="15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</c:numCache>
            </c:numRef>
          </c:cat>
          <c:val>
            <c:numRef>
              <c:f>OLD!$C$45:$Q$45</c:f>
              <c:numCache>
                <c:formatCode>_-* #,##0_-;\-* #,##0_-;_-* "-"??_-;_-@_-</c:formatCode>
                <c:ptCount val="15"/>
                <c:pt idx="0">
                  <c:v>1703</c:v>
                </c:pt>
                <c:pt idx="1">
                  <c:v>1659</c:v>
                </c:pt>
                <c:pt idx="2">
                  <c:v>1719</c:v>
                </c:pt>
                <c:pt idx="3">
                  <c:v>1780</c:v>
                </c:pt>
                <c:pt idx="4">
                  <c:v>2070</c:v>
                </c:pt>
                <c:pt idx="5">
                  <c:v>2879</c:v>
                </c:pt>
                <c:pt idx="6">
                  <c:v>2783</c:v>
                </c:pt>
                <c:pt idx="7">
                  <c:v>3221</c:v>
                </c:pt>
                <c:pt idx="8">
                  <c:v>2785</c:v>
                </c:pt>
                <c:pt idx="9">
                  <c:v>3383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shape val="box"/>
        <c:axId val="45743104"/>
        <c:axId val="45213376"/>
        <c:axId val="0"/>
      </c:bar3DChart>
      <c:catAx>
        <c:axId val="45743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CL"/>
                  <a:t>Año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s-CL"/>
          </a:p>
        </c:txPr>
        <c:crossAx val="45213376"/>
        <c:crosses val="autoZero"/>
        <c:auto val="1"/>
        <c:lblAlgn val="ctr"/>
        <c:lblOffset val="100"/>
        <c:tickLblSkip val="1"/>
        <c:noMultiLvlLbl val="0"/>
      </c:catAx>
      <c:valAx>
        <c:axId val="452133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CL"/>
                  <a:t>Miles de toneladas Cu fino</a:t>
                </a:r>
              </a:p>
            </c:rich>
          </c:tx>
          <c:overlay val="0"/>
        </c:title>
        <c:numFmt formatCode="_-* #,##0_-;\-* #,##0_-;_-* &quot;-&quot;??_-;_-@_-" sourceLinked="1"/>
        <c:majorTickMark val="none"/>
        <c:minorTickMark val="none"/>
        <c:tickLblPos val="nextTo"/>
        <c:spPr>
          <a:ln w="9525">
            <a:noFill/>
          </a:ln>
        </c:spPr>
        <c:crossAx val="4574310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PRODUCCIÓN</a:t>
            </a:r>
            <a:r>
              <a:rPr lang="es-CL" baseline="0"/>
              <a:t> CU FINO</a:t>
            </a:r>
            <a:endParaRPr lang="es-CL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OLD!$B$46</c:f>
              <c:strCache>
                <c:ptCount val="1"/>
                <c:pt idx="0">
                  <c:v>Total Cu fino</c:v>
                </c:pt>
              </c:strCache>
            </c:strRef>
          </c:tx>
          <c:trendline>
            <c:spPr>
              <a:effectLst>
                <a:outerShdw blurRad="114300" dist="50800" dir="5400000" algn="ctr" rotWithShape="0">
                  <a:srgbClr val="000000"/>
                </a:outerShdw>
              </a:effectLst>
            </c:spPr>
            <c:trendlineType val="poly"/>
            <c:order val="2"/>
            <c:dispRSqr val="1"/>
            <c:dispEq val="1"/>
            <c:trendlineLbl>
              <c:layout>
                <c:manualLayout>
                  <c:x val="6.4432633420822394E-2"/>
                  <c:y val="0.39778907844852729"/>
                </c:manualLayout>
              </c:layout>
              <c:numFmt formatCode="General" sourceLinked="0"/>
            </c:trendlineLbl>
          </c:trendline>
          <c:cat>
            <c:numRef>
              <c:f>OLD!$C$42:$Q$42</c:f>
              <c:numCache>
                <c:formatCode>General</c:formatCode>
                <c:ptCount val="15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</c:numCache>
            </c:numRef>
          </c:cat>
          <c:val>
            <c:numRef>
              <c:f>OLD!$C$46:$Q$46</c:f>
              <c:numCache>
                <c:formatCode>_-* #,##0_-;\-* #,##0_-;_-* "-"??_-;_-@_-</c:formatCode>
                <c:ptCount val="15"/>
                <c:pt idx="0">
                  <c:v>2191759</c:v>
                </c:pt>
                <c:pt idx="1">
                  <c:v>2193763</c:v>
                </c:pt>
                <c:pt idx="2">
                  <c:v>2405192</c:v>
                </c:pt>
                <c:pt idx="3">
                  <c:v>2397883</c:v>
                </c:pt>
                <c:pt idx="4">
                  <c:v>2432332</c:v>
                </c:pt>
                <c:pt idx="5">
                  <c:v>2356742</c:v>
                </c:pt>
                <c:pt idx="6">
                  <c:v>2299928</c:v>
                </c:pt>
                <c:pt idx="7">
                  <c:v>2268675</c:v>
                </c:pt>
                <c:pt idx="8">
                  <c:v>2447532</c:v>
                </c:pt>
                <c:pt idx="9">
                  <c:v>2571311</c:v>
                </c:pt>
                <c:pt idx="10">
                  <c:v>2767662</c:v>
                </c:pt>
                <c:pt idx="11">
                  <c:v>2719408</c:v>
                </c:pt>
                <c:pt idx="12">
                  <c:v>2661226</c:v>
                </c:pt>
                <c:pt idx="13">
                  <c:v>2641874</c:v>
                </c:pt>
                <c:pt idx="14">
                  <c:v>2508396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743616"/>
        <c:axId val="45215680"/>
      </c:lineChart>
      <c:dateAx>
        <c:axId val="45743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5215680"/>
        <c:crosses val="autoZero"/>
        <c:auto val="0"/>
        <c:lblOffset val="100"/>
        <c:baseTimeUnit val="days"/>
        <c:majorUnit val="1"/>
        <c:majorTimeUnit val="days"/>
      </c:dateAx>
      <c:valAx>
        <c:axId val="452156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CL"/>
                  <a:t>Miles de toneladas Cu fino</a:t>
                </a:r>
              </a:p>
            </c:rich>
          </c:tx>
          <c:overlay val="0"/>
        </c:title>
        <c:numFmt formatCode="_-* #,##0_-;\-* #,##0_-;_-* &quot;-&quot;??_-;_-@_-" sourceLinked="1"/>
        <c:majorTickMark val="out"/>
        <c:minorTickMark val="none"/>
        <c:tickLblPos val="nextTo"/>
        <c:crossAx val="45743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PRODUCCIÓN</a:t>
            </a:r>
            <a:r>
              <a:rPr lang="es-CL" baseline="0"/>
              <a:t> CU FINO</a:t>
            </a:r>
            <a:endParaRPr lang="es-CL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OLD!$B$46</c:f>
              <c:strCache>
                <c:ptCount val="1"/>
                <c:pt idx="0">
                  <c:v>Total Cu fino</c:v>
                </c:pt>
              </c:strCache>
            </c:strRef>
          </c:tx>
          <c:trendline>
            <c:spPr>
              <a:effectLst>
                <a:outerShdw blurRad="114300" dist="50800" dir="5400000" algn="ctr" rotWithShape="0">
                  <a:srgbClr val="000000"/>
                </a:outerShdw>
              </a:effectLst>
            </c:spPr>
            <c:trendlineType val="poly"/>
            <c:order val="3"/>
            <c:dispRSqr val="1"/>
            <c:dispEq val="1"/>
            <c:trendlineLbl>
              <c:layout>
                <c:manualLayout>
                  <c:x val="6.4432633420822394E-2"/>
                  <c:y val="0.39778907844852729"/>
                </c:manualLayout>
              </c:layout>
              <c:numFmt formatCode="General" sourceLinked="0"/>
            </c:trendlineLbl>
          </c:trendline>
          <c:cat>
            <c:numRef>
              <c:f>OLD!$C$42:$Q$42</c:f>
              <c:numCache>
                <c:formatCode>General</c:formatCode>
                <c:ptCount val="15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</c:numCache>
            </c:numRef>
          </c:cat>
          <c:val>
            <c:numRef>
              <c:f>OLD!$C$46:$Q$46</c:f>
              <c:numCache>
                <c:formatCode>_-* #,##0_-;\-* #,##0_-;_-* "-"??_-;_-@_-</c:formatCode>
                <c:ptCount val="15"/>
                <c:pt idx="0">
                  <c:v>2191759</c:v>
                </c:pt>
                <c:pt idx="1">
                  <c:v>2193763</c:v>
                </c:pt>
                <c:pt idx="2">
                  <c:v>2405192</c:v>
                </c:pt>
                <c:pt idx="3">
                  <c:v>2397883</c:v>
                </c:pt>
                <c:pt idx="4">
                  <c:v>2432332</c:v>
                </c:pt>
                <c:pt idx="5">
                  <c:v>2356742</c:v>
                </c:pt>
                <c:pt idx="6">
                  <c:v>2299928</c:v>
                </c:pt>
                <c:pt idx="7">
                  <c:v>2268675</c:v>
                </c:pt>
                <c:pt idx="8">
                  <c:v>2447532</c:v>
                </c:pt>
                <c:pt idx="9">
                  <c:v>2571311</c:v>
                </c:pt>
                <c:pt idx="10">
                  <c:v>2767662</c:v>
                </c:pt>
                <c:pt idx="11">
                  <c:v>2719408</c:v>
                </c:pt>
                <c:pt idx="12">
                  <c:v>2661226</c:v>
                </c:pt>
                <c:pt idx="13">
                  <c:v>2641874</c:v>
                </c:pt>
                <c:pt idx="14">
                  <c:v>2508396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309376"/>
        <c:axId val="45217408"/>
      </c:lineChart>
      <c:dateAx>
        <c:axId val="46309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5217408"/>
        <c:crosses val="autoZero"/>
        <c:auto val="0"/>
        <c:lblOffset val="100"/>
        <c:baseTimeUnit val="days"/>
        <c:majorUnit val="1"/>
        <c:majorTimeUnit val="days"/>
      </c:dateAx>
      <c:valAx>
        <c:axId val="452174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CL"/>
                  <a:t>Miles de toneladas Cu fino</a:t>
                </a:r>
              </a:p>
            </c:rich>
          </c:tx>
          <c:overlay val="0"/>
        </c:title>
        <c:numFmt formatCode="_-* #,##0_-;\-* #,##0_-;_-* &quot;-&quot;??_-;_-@_-" sourceLinked="1"/>
        <c:majorTickMark val="out"/>
        <c:minorTickMark val="none"/>
        <c:tickLblPos val="nextTo"/>
        <c:crossAx val="46309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PRODUCCIÓN</a:t>
            </a:r>
            <a:r>
              <a:rPr lang="es-CL" baseline="0"/>
              <a:t> CU FINO</a:t>
            </a:r>
            <a:endParaRPr lang="es-CL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OLD!$B$46</c:f>
              <c:strCache>
                <c:ptCount val="1"/>
                <c:pt idx="0">
                  <c:v>Total Cu fino</c:v>
                </c:pt>
              </c:strCache>
            </c:strRef>
          </c:tx>
          <c:trendline>
            <c:spPr>
              <a:effectLst>
                <a:outerShdw blurRad="114300" dist="50800" dir="5400000" algn="ctr" rotWithShape="0">
                  <a:srgbClr val="000000"/>
                </a:outerShdw>
              </a:effectLst>
            </c:spPr>
            <c:trendlineType val="poly"/>
            <c:order val="4"/>
            <c:dispRSqr val="1"/>
            <c:dispEq val="1"/>
            <c:trendlineLbl>
              <c:layout>
                <c:manualLayout>
                  <c:x val="6.4432633420822394E-2"/>
                  <c:y val="0.39778907844852729"/>
                </c:manualLayout>
              </c:layout>
              <c:numFmt formatCode="General" sourceLinked="0"/>
            </c:trendlineLbl>
          </c:trendline>
          <c:cat>
            <c:numRef>
              <c:f>OLD!$C$42:$Q$42</c:f>
              <c:numCache>
                <c:formatCode>General</c:formatCode>
                <c:ptCount val="15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</c:numCache>
            </c:numRef>
          </c:cat>
          <c:val>
            <c:numRef>
              <c:f>OLD!$C$46:$Q$46</c:f>
              <c:numCache>
                <c:formatCode>_-* #,##0_-;\-* #,##0_-;_-* "-"??_-;_-@_-</c:formatCode>
                <c:ptCount val="15"/>
                <c:pt idx="0">
                  <c:v>2191759</c:v>
                </c:pt>
                <c:pt idx="1">
                  <c:v>2193763</c:v>
                </c:pt>
                <c:pt idx="2">
                  <c:v>2405192</c:v>
                </c:pt>
                <c:pt idx="3">
                  <c:v>2397883</c:v>
                </c:pt>
                <c:pt idx="4">
                  <c:v>2432332</c:v>
                </c:pt>
                <c:pt idx="5">
                  <c:v>2356742</c:v>
                </c:pt>
                <c:pt idx="6">
                  <c:v>2299928</c:v>
                </c:pt>
                <c:pt idx="7">
                  <c:v>2268675</c:v>
                </c:pt>
                <c:pt idx="8">
                  <c:v>2447532</c:v>
                </c:pt>
                <c:pt idx="9">
                  <c:v>2571311</c:v>
                </c:pt>
                <c:pt idx="10">
                  <c:v>2767662</c:v>
                </c:pt>
                <c:pt idx="11">
                  <c:v>2719408</c:v>
                </c:pt>
                <c:pt idx="12">
                  <c:v>2661226</c:v>
                </c:pt>
                <c:pt idx="13">
                  <c:v>2641874</c:v>
                </c:pt>
                <c:pt idx="14">
                  <c:v>2508396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309888"/>
        <c:axId val="45219136"/>
      </c:lineChart>
      <c:dateAx>
        <c:axId val="46309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5219136"/>
        <c:crosses val="autoZero"/>
        <c:auto val="0"/>
        <c:lblOffset val="100"/>
        <c:baseTimeUnit val="days"/>
        <c:majorUnit val="1"/>
        <c:majorTimeUnit val="days"/>
      </c:dateAx>
      <c:valAx>
        <c:axId val="452191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CL"/>
                  <a:t>Miles de toneladas Cu</a:t>
                </a:r>
                <a:r>
                  <a:rPr lang="es-CL" baseline="0"/>
                  <a:t> fino</a:t>
                </a:r>
                <a:endParaRPr lang="es-CL"/>
              </a:p>
            </c:rich>
          </c:tx>
          <c:overlay val="0"/>
        </c:title>
        <c:numFmt formatCode="_-* #,##0_-;\-* #,##0_-;_-* &quot;-&quot;??_-;_-@_-" sourceLinked="1"/>
        <c:majorTickMark val="out"/>
        <c:minorTickMark val="none"/>
        <c:tickLblPos val="nextTo"/>
        <c:crossAx val="46309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PRODUCCIÓN</a:t>
            </a:r>
            <a:r>
              <a:rPr lang="es-CL" baseline="0"/>
              <a:t> CU FINO</a:t>
            </a:r>
            <a:endParaRPr lang="es-CL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OLD!$B$46</c:f>
              <c:strCache>
                <c:ptCount val="1"/>
                <c:pt idx="0">
                  <c:v>Total Cu fino</c:v>
                </c:pt>
              </c:strCache>
            </c:strRef>
          </c:tx>
          <c:trendline>
            <c:spPr>
              <a:effectLst>
                <a:outerShdw blurRad="114300" dist="50800" dir="5400000" algn="ctr" rotWithShape="0">
                  <a:srgbClr val="000000"/>
                </a:outerShdw>
              </a:effectLst>
            </c:spPr>
            <c:trendlineType val="poly"/>
            <c:order val="5"/>
            <c:dispRSqr val="1"/>
            <c:dispEq val="1"/>
            <c:trendlineLbl>
              <c:layout>
                <c:manualLayout>
                  <c:x val="6.4432633420822394E-2"/>
                  <c:y val="0.39778907844852729"/>
                </c:manualLayout>
              </c:layout>
              <c:numFmt formatCode="General" sourceLinked="0"/>
            </c:trendlineLbl>
          </c:trendline>
          <c:cat>
            <c:numRef>
              <c:f>OLD!$C$42:$Q$42</c:f>
              <c:numCache>
                <c:formatCode>General</c:formatCode>
                <c:ptCount val="15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</c:numCache>
            </c:numRef>
          </c:cat>
          <c:val>
            <c:numRef>
              <c:f>OLD!$C$46:$Q$46</c:f>
              <c:numCache>
                <c:formatCode>_-* #,##0_-;\-* #,##0_-;_-* "-"??_-;_-@_-</c:formatCode>
                <c:ptCount val="15"/>
                <c:pt idx="0">
                  <c:v>2191759</c:v>
                </c:pt>
                <c:pt idx="1">
                  <c:v>2193763</c:v>
                </c:pt>
                <c:pt idx="2">
                  <c:v>2405192</c:v>
                </c:pt>
                <c:pt idx="3">
                  <c:v>2397883</c:v>
                </c:pt>
                <c:pt idx="4">
                  <c:v>2432332</c:v>
                </c:pt>
                <c:pt idx="5">
                  <c:v>2356742</c:v>
                </c:pt>
                <c:pt idx="6">
                  <c:v>2299928</c:v>
                </c:pt>
                <c:pt idx="7">
                  <c:v>2268675</c:v>
                </c:pt>
                <c:pt idx="8">
                  <c:v>2447532</c:v>
                </c:pt>
                <c:pt idx="9">
                  <c:v>2571311</c:v>
                </c:pt>
                <c:pt idx="10">
                  <c:v>2767662</c:v>
                </c:pt>
                <c:pt idx="11">
                  <c:v>2719408</c:v>
                </c:pt>
                <c:pt idx="12">
                  <c:v>2661226</c:v>
                </c:pt>
                <c:pt idx="13">
                  <c:v>2641874</c:v>
                </c:pt>
                <c:pt idx="14">
                  <c:v>2508396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310912"/>
        <c:axId val="46474368"/>
      </c:lineChart>
      <c:dateAx>
        <c:axId val="46310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6474368"/>
        <c:crosses val="autoZero"/>
        <c:auto val="0"/>
        <c:lblOffset val="100"/>
        <c:baseTimeUnit val="days"/>
        <c:majorUnit val="1"/>
        <c:majorTimeUnit val="days"/>
      </c:dateAx>
      <c:valAx>
        <c:axId val="464743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CL"/>
                  <a:t>Miles de toneladas Cu fino</a:t>
                </a:r>
              </a:p>
            </c:rich>
          </c:tx>
          <c:overlay val="0"/>
        </c:title>
        <c:numFmt formatCode="_-* #,##0_-;\-* #,##0_-;_-* &quot;-&quot;??_-;_-@_-" sourceLinked="1"/>
        <c:majorTickMark val="out"/>
        <c:minorTickMark val="none"/>
        <c:tickLblPos val="nextTo"/>
        <c:crossAx val="46310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PRODUCCIÓN</a:t>
            </a:r>
            <a:r>
              <a:rPr lang="es-CL" baseline="0"/>
              <a:t> CU FINO</a:t>
            </a:r>
            <a:endParaRPr lang="es-CL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OLD!$B$46</c:f>
              <c:strCache>
                <c:ptCount val="1"/>
                <c:pt idx="0">
                  <c:v>Total Cu fino</c:v>
                </c:pt>
              </c:strCache>
            </c:strRef>
          </c:tx>
          <c:trendline>
            <c:spPr>
              <a:effectLst>
                <a:outerShdw blurRad="114300" dist="50800" dir="5400000" algn="ctr" rotWithShape="0">
                  <a:srgbClr val="000000"/>
                </a:outerShdw>
              </a:effectLst>
            </c:spPr>
            <c:trendlineType val="poly"/>
            <c:order val="6"/>
            <c:dispRSqr val="1"/>
            <c:dispEq val="1"/>
            <c:trendlineLbl>
              <c:layout>
                <c:manualLayout>
                  <c:x val="6.4432633420822394E-2"/>
                  <c:y val="0.39778907844852729"/>
                </c:manualLayout>
              </c:layout>
              <c:numFmt formatCode="General" sourceLinked="0"/>
            </c:trendlineLbl>
          </c:trendline>
          <c:cat>
            <c:numRef>
              <c:f>OLD!$C$42:$Q$42</c:f>
              <c:numCache>
                <c:formatCode>General</c:formatCode>
                <c:ptCount val="15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</c:numCache>
            </c:numRef>
          </c:cat>
          <c:val>
            <c:numRef>
              <c:f>OLD!$C$46:$Q$46</c:f>
              <c:numCache>
                <c:formatCode>_-* #,##0_-;\-* #,##0_-;_-* "-"??_-;_-@_-</c:formatCode>
                <c:ptCount val="15"/>
                <c:pt idx="0">
                  <c:v>2191759</c:v>
                </c:pt>
                <c:pt idx="1">
                  <c:v>2193763</c:v>
                </c:pt>
                <c:pt idx="2">
                  <c:v>2405192</c:v>
                </c:pt>
                <c:pt idx="3">
                  <c:v>2397883</c:v>
                </c:pt>
                <c:pt idx="4">
                  <c:v>2432332</c:v>
                </c:pt>
                <c:pt idx="5">
                  <c:v>2356742</c:v>
                </c:pt>
                <c:pt idx="6">
                  <c:v>2299928</c:v>
                </c:pt>
                <c:pt idx="7">
                  <c:v>2268675</c:v>
                </c:pt>
                <c:pt idx="8">
                  <c:v>2447532</c:v>
                </c:pt>
                <c:pt idx="9">
                  <c:v>2571311</c:v>
                </c:pt>
                <c:pt idx="10">
                  <c:v>2767662</c:v>
                </c:pt>
                <c:pt idx="11">
                  <c:v>2719408</c:v>
                </c:pt>
                <c:pt idx="12">
                  <c:v>2661226</c:v>
                </c:pt>
                <c:pt idx="13">
                  <c:v>2641874</c:v>
                </c:pt>
                <c:pt idx="14">
                  <c:v>2508396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311424"/>
        <c:axId val="46476096"/>
      </c:lineChart>
      <c:dateAx>
        <c:axId val="46311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6476096"/>
        <c:crosses val="autoZero"/>
        <c:auto val="0"/>
        <c:lblOffset val="100"/>
        <c:baseTimeUnit val="days"/>
        <c:majorUnit val="1"/>
        <c:majorTimeUnit val="days"/>
      </c:dateAx>
      <c:valAx>
        <c:axId val="464760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CL"/>
                  <a:t>Miles de toneladas Cu fino</a:t>
                </a:r>
              </a:p>
            </c:rich>
          </c:tx>
          <c:overlay val="0"/>
        </c:title>
        <c:numFmt formatCode="_-* #,##0_-;\-* #,##0_-;_-* &quot;-&quot;??_-;_-@_-" sourceLinked="1"/>
        <c:majorTickMark val="out"/>
        <c:minorTickMark val="none"/>
        <c:tickLblPos val="nextTo"/>
        <c:crossAx val="46311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Total Cu fino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cked"/>
        <c:varyColors val="0"/>
        <c:ser>
          <c:idx val="2"/>
          <c:order val="0"/>
          <c:tx>
            <c:strRef>
              <c:f>OLD!$B$4</c:f>
              <c:strCache>
                <c:ptCount val="1"/>
                <c:pt idx="0">
                  <c:v>Arica y Parinacota (15)</c:v>
                </c:pt>
              </c:strCache>
            </c:strRef>
          </c:tx>
          <c:invertIfNegative val="0"/>
          <c:cat>
            <c:numRef>
              <c:f>OLD!$C$3:$Q$3</c:f>
              <c:numCache>
                <c:formatCode>General</c:formatCode>
                <c:ptCount val="15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</c:numCache>
            </c:numRef>
          </c:cat>
          <c:val>
            <c:numRef>
              <c:f>OLD!$C$4:$Q$4</c:f>
              <c:numCache>
                <c:formatCode>General</c:formatCode>
                <c:ptCount val="15"/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3"/>
          <c:order val="1"/>
          <c:tx>
            <c:strRef>
              <c:f>OLD!$B$5</c:f>
              <c:strCache>
                <c:ptCount val="1"/>
                <c:pt idx="0">
                  <c:v>Tarapacá (01)</c:v>
                </c:pt>
              </c:strCache>
            </c:strRef>
          </c:tx>
          <c:invertIfNegative val="0"/>
          <c:cat>
            <c:numRef>
              <c:f>OLD!$C$3:$Q$3</c:f>
              <c:numCache>
                <c:formatCode>General</c:formatCode>
                <c:ptCount val="15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</c:numCache>
            </c:numRef>
          </c:cat>
          <c:val>
            <c:numRef>
              <c:f>OLD!$C$5:$Q$5</c:f>
              <c:numCache>
                <c:formatCode>_-* #,##0_-;\-* #,##0_-;_-* "-"??_-;_-@_-</c:formatCode>
                <c:ptCount val="15"/>
                <c:pt idx="0">
                  <c:v>150866.78554714104</c:v>
                </c:pt>
                <c:pt idx="1">
                  <c:v>151004.78522356719</c:v>
                </c:pt>
                <c:pt idx="2">
                  <c:v>165571.43304554812</c:v>
                </c:pt>
                <c:pt idx="3">
                  <c:v>165067.79967826148</c:v>
                </c:pt>
                <c:pt idx="4">
                  <c:v>167441.14608541472</c:v>
                </c:pt>
                <c:pt idx="5">
                  <c:v>162233.19124730738</c:v>
                </c:pt>
                <c:pt idx="6">
                  <c:v>158318.83697064655</c:v>
                </c:pt>
                <c:pt idx="7">
                  <c:v>156165.54596364562</c:v>
                </c:pt>
                <c:pt idx="8">
                  <c:v>168488.0972002284</c:v>
                </c:pt>
                <c:pt idx="9">
                  <c:v>177015.96736931268</c:v>
                </c:pt>
                <c:pt idx="10">
                  <c:v>190543.79386270975</c:v>
                </c:pt>
                <c:pt idx="11">
                  <c:v>187219.19357017663</c:v>
                </c:pt>
                <c:pt idx="12">
                  <c:v>183210.58889044492</c:v>
                </c:pt>
                <c:pt idx="13">
                  <c:v>181877.23505226456</c:v>
                </c:pt>
                <c:pt idx="14">
                  <c:v>172681</c:v>
                </c:pt>
              </c:numCache>
            </c:numRef>
          </c:val>
        </c:ser>
        <c:ser>
          <c:idx val="0"/>
          <c:order val="2"/>
          <c:tx>
            <c:strRef>
              <c:f>OLD!$B$6</c:f>
              <c:strCache>
                <c:ptCount val="1"/>
                <c:pt idx="0">
                  <c:v>Antofagasta (02)</c:v>
                </c:pt>
              </c:strCache>
            </c:strRef>
          </c:tx>
          <c:invertIfNegative val="0"/>
          <c:cat>
            <c:numRef>
              <c:f>OLD!$C$3:$Q$3</c:f>
              <c:numCache>
                <c:formatCode>General</c:formatCode>
                <c:ptCount val="15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</c:numCache>
            </c:numRef>
          </c:cat>
          <c:val>
            <c:numRef>
              <c:f>OLD!$C$6:$Q$6</c:f>
              <c:numCache>
                <c:formatCode>_-* #,##0_-;\-* #,##0_-;_-* "-"??_-;_-@_-</c:formatCode>
                <c:ptCount val="15"/>
                <c:pt idx="0">
                  <c:v>1799596.7084041026</c:v>
                </c:pt>
                <c:pt idx="1">
                  <c:v>1801242.8213146194</c:v>
                </c:pt>
                <c:pt idx="2">
                  <c:v>1974999.3667188932</c:v>
                </c:pt>
                <c:pt idx="3">
                  <c:v>1968991.8353280404</c:v>
                </c:pt>
                <c:pt idx="4">
                  <c:v>1997302.0188235396</c:v>
                </c:pt>
                <c:pt idx="5">
                  <c:v>1935179.5420292907</c:v>
                </c:pt>
                <c:pt idx="6">
                  <c:v>1888487.6273957333</c:v>
                </c:pt>
                <c:pt idx="7">
                  <c:v>1862802.3488608883</c:v>
                </c:pt>
                <c:pt idx="8">
                  <c:v>2009790.4520677805</c:v>
                </c:pt>
                <c:pt idx="9">
                  <c:v>2111514.1484421971</c:v>
                </c:pt>
                <c:pt idx="10">
                  <c:v>2272879.2358011524</c:v>
                </c:pt>
                <c:pt idx="11">
                  <c:v>2233222.1322080465</c:v>
                </c:pt>
                <c:pt idx="12">
                  <c:v>2185405.9627259681</c:v>
                </c:pt>
                <c:pt idx="13">
                  <c:v>2169501.208279022</c:v>
                </c:pt>
                <c:pt idx="14">
                  <c:v>2059805</c:v>
                </c:pt>
              </c:numCache>
            </c:numRef>
          </c:val>
        </c:ser>
        <c:ser>
          <c:idx val="4"/>
          <c:order val="3"/>
          <c:tx>
            <c:strRef>
              <c:f>OLD!$B$7</c:f>
              <c:strCache>
                <c:ptCount val="1"/>
                <c:pt idx="0">
                  <c:v>Atacama (03)</c:v>
                </c:pt>
              </c:strCache>
            </c:strRef>
          </c:tx>
          <c:invertIfNegative val="0"/>
          <c:cat>
            <c:numRef>
              <c:f>OLD!$C$3:$Q$3</c:f>
              <c:numCache>
                <c:formatCode>General</c:formatCode>
                <c:ptCount val="15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</c:numCache>
            </c:numRef>
          </c:cat>
          <c:val>
            <c:numRef>
              <c:f>OLD!$C$7:$Q$7</c:f>
              <c:numCache>
                <c:formatCode>_-* #,##0_-;\-* #,##0_-;_-* "-"??_-;_-@_-</c:formatCode>
                <c:ptCount val="15"/>
                <c:pt idx="0">
                  <c:v>167927.00480333614</c:v>
                </c:pt>
                <c:pt idx="1">
                  <c:v>168080.60966899313</c:v>
                </c:pt>
                <c:pt idx="2">
                  <c:v>184294.47364109955</c:v>
                </c:pt>
                <c:pt idx="3">
                  <c:v>183733.88873448313</c:v>
                </c:pt>
                <c:pt idx="4">
                  <c:v>186375.61634913739</c:v>
                </c:pt>
                <c:pt idx="5">
                  <c:v>180578.73896527386</c:v>
                </c:pt>
                <c:pt idx="6">
                  <c:v>176221.74423621609</c:v>
                </c:pt>
                <c:pt idx="7">
                  <c:v>173824.95618267439</c:v>
                </c:pt>
                <c:pt idx="8">
                  <c:v>187540.95810576438</c:v>
                </c:pt>
                <c:pt idx="9">
                  <c:v>197033.17131659447</c:v>
                </c:pt>
                <c:pt idx="10">
                  <c:v>212090.74264547759</c:v>
                </c:pt>
                <c:pt idx="11">
                  <c:v>208390.19207519363</c:v>
                </c:pt>
                <c:pt idx="12">
                  <c:v>203928.28898057481</c:v>
                </c:pt>
                <c:pt idx="13">
                  <c:v>202444.1576949732</c:v>
                </c:pt>
                <c:pt idx="14">
                  <c:v>192208</c:v>
                </c:pt>
              </c:numCache>
            </c:numRef>
          </c:val>
        </c:ser>
        <c:ser>
          <c:idx val="5"/>
          <c:order val="4"/>
          <c:tx>
            <c:strRef>
              <c:f>OLD!$B$8</c:f>
              <c:strCache>
                <c:ptCount val="1"/>
                <c:pt idx="0">
                  <c:v>Coquimbo (04)</c:v>
                </c:pt>
              </c:strCache>
            </c:strRef>
          </c:tx>
          <c:invertIfNegative val="0"/>
          <c:cat>
            <c:numRef>
              <c:f>OLD!$C$3:$Q$3</c:f>
              <c:numCache>
                <c:formatCode>General</c:formatCode>
                <c:ptCount val="15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</c:numCache>
            </c:numRef>
          </c:cat>
          <c:val>
            <c:numRef>
              <c:f>OLD!$C$8:$Q$8</c:f>
              <c:numCache>
                <c:formatCode>_-* #,##0_-;\-* #,##0_-;_-* "-"??_-;_-@_-</c:formatCode>
                <c:ptCount val="15"/>
                <c:pt idx="0">
                  <c:v>18417.033948921613</c:v>
                </c:pt>
                <c:pt idx="1">
                  <c:v>18433.880232989133</c:v>
                </c:pt>
                <c:pt idx="2">
                  <c:v>20212.100975788617</c:v>
                </c:pt>
                <c:pt idx="3">
                  <c:v>20150.620028942107</c:v>
                </c:pt>
                <c:pt idx="4">
                  <c:v>20440.34583700895</c:v>
                </c:pt>
                <c:pt idx="5">
                  <c:v>19804.585747669051</c:v>
                </c:pt>
                <c:pt idx="6">
                  <c:v>19326.741699093873</c:v>
                </c:pt>
                <c:pt idx="7">
                  <c:v>19063.87911185162</c:v>
                </c:pt>
                <c:pt idx="8">
                  <c:v>20568.152193818743</c:v>
                </c:pt>
                <c:pt idx="9">
                  <c:v>21609.190311297196</c:v>
                </c:pt>
                <c:pt idx="10">
                  <c:v>23260.597139383724</c:v>
                </c:pt>
                <c:pt idx="11">
                  <c:v>22854.74719546055</c:v>
                </c:pt>
                <c:pt idx="12">
                  <c:v>22365.397546983044</c:v>
                </c:pt>
                <c:pt idx="13">
                  <c:v>22202.62863257531</c:v>
                </c:pt>
                <c:pt idx="14">
                  <c:v>21080</c:v>
                </c:pt>
              </c:numCache>
            </c:numRef>
          </c:val>
        </c:ser>
        <c:ser>
          <c:idx val="6"/>
          <c:order val="5"/>
          <c:tx>
            <c:strRef>
              <c:f>OLD!$B$9</c:f>
              <c:strCache>
                <c:ptCount val="1"/>
                <c:pt idx="0">
                  <c:v>Valparaíso (05)</c:v>
                </c:pt>
              </c:strCache>
            </c:strRef>
          </c:tx>
          <c:invertIfNegative val="0"/>
          <c:cat>
            <c:numRef>
              <c:f>OLD!$C$3:$Q$3</c:f>
              <c:numCache>
                <c:formatCode>General</c:formatCode>
                <c:ptCount val="15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</c:numCache>
            </c:numRef>
          </c:cat>
          <c:val>
            <c:numRef>
              <c:f>OLD!$C$9:$Q$9</c:f>
              <c:numCache>
                <c:formatCode>_-* #,##0_-;\-* #,##0_-;_-* "-"??_-;_-@_-</c:formatCode>
                <c:ptCount val="15"/>
                <c:pt idx="0">
                  <c:v>18831.155110771178</c:v>
                </c:pt>
                <c:pt idx="1">
                  <c:v>18848.38019648234</c:v>
                </c:pt>
                <c:pt idx="2">
                  <c:v>20666.585599247999</c:v>
                </c:pt>
                <c:pt idx="3">
                  <c:v>20603.722206063478</c:v>
                </c:pt>
                <c:pt idx="4">
                  <c:v>20899.962721579261</c:v>
                </c:pt>
                <c:pt idx="5">
                  <c:v>20249.907078048327</c:v>
                </c:pt>
                <c:pt idx="6">
                  <c:v>19761.318338817331</c:v>
                </c:pt>
                <c:pt idx="7">
                  <c:v>19492.545084290789</c:v>
                </c:pt>
                <c:pt idx="8">
                  <c:v>21030.642902541229</c:v>
                </c:pt>
                <c:pt idx="9">
                  <c:v>22095.089562129968</c:v>
                </c:pt>
                <c:pt idx="10">
                  <c:v>23783.629541853737</c:v>
                </c:pt>
                <c:pt idx="11">
                  <c:v>23368.653750045381</c:v>
                </c:pt>
                <c:pt idx="12">
                  <c:v>22868.300698656189</c:v>
                </c:pt>
                <c:pt idx="13">
                  <c:v>22701.871800119934</c:v>
                </c:pt>
                <c:pt idx="14">
                  <c:v>21554</c:v>
                </c:pt>
              </c:numCache>
            </c:numRef>
          </c:val>
        </c:ser>
        <c:ser>
          <c:idx val="7"/>
          <c:order val="6"/>
          <c:tx>
            <c:strRef>
              <c:f>OLD!$B$10</c:f>
              <c:strCache>
                <c:ptCount val="1"/>
                <c:pt idx="0">
                  <c:v>Metropolitana (13)</c:v>
                </c:pt>
              </c:strCache>
            </c:strRef>
          </c:tx>
          <c:invertIfNegative val="0"/>
          <c:cat>
            <c:numRef>
              <c:f>OLD!$C$3:$Q$3</c:f>
              <c:numCache>
                <c:formatCode>General</c:formatCode>
                <c:ptCount val="15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</c:numCache>
            </c:numRef>
          </c:cat>
          <c:val>
            <c:numRef>
              <c:f>OLD!$C$10:$Q$10</c:f>
              <c:numCache>
                <c:formatCode>_-* #,##0_-;\-* #,##0_-;_-* "-"??_-;_-@_-</c:formatCode>
                <c:ptCount val="15"/>
                <c:pt idx="0">
                  <c:v>1135.7753384059818</c:v>
                </c:pt>
                <c:pt idx="1">
                  <c:v>1136.8142458674513</c:v>
                </c:pt>
                <c:pt idx="2">
                  <c:v>1246.4768153949335</c:v>
                </c:pt>
                <c:pt idx="3">
                  <c:v>1242.6852959025016</c:v>
                </c:pt>
                <c:pt idx="4">
                  <c:v>1260.5526370071932</c:v>
                </c:pt>
                <c:pt idx="5">
                  <c:v>1221.3454208714311</c:v>
                </c:pt>
                <c:pt idx="6">
                  <c:v>1191.8768600010453</c:v>
                </c:pt>
                <c:pt idx="7">
                  <c:v>1175.6661691369595</c:v>
                </c:pt>
                <c:pt idx="8">
                  <c:v>1268.4344332051405</c:v>
                </c:pt>
                <c:pt idx="9">
                  <c:v>1332.6350761236411</c:v>
                </c:pt>
                <c:pt idx="10">
                  <c:v>1434.4770531878009</c:v>
                </c:pt>
                <c:pt idx="11">
                  <c:v>1409.4483564562956</c:v>
                </c:pt>
                <c:pt idx="12">
                  <c:v>1379.2702472048366</c:v>
                </c:pt>
                <c:pt idx="13">
                  <c:v>1369.2323160506594</c:v>
                </c:pt>
                <c:pt idx="14">
                  <c:v>1300</c:v>
                </c:pt>
              </c:numCache>
            </c:numRef>
          </c:val>
        </c:ser>
        <c:ser>
          <c:idx val="8"/>
          <c:order val="7"/>
          <c:tx>
            <c:strRef>
              <c:f>OLD!$B$11</c:f>
              <c:strCache>
                <c:ptCount val="1"/>
                <c:pt idx="0">
                  <c:v>Lib. Gral. B. O'Higgins (06)</c:v>
                </c:pt>
              </c:strCache>
            </c:strRef>
          </c:tx>
          <c:invertIfNegative val="0"/>
          <c:cat>
            <c:numRef>
              <c:f>OLD!$C$3:$Q$3</c:f>
              <c:numCache>
                <c:formatCode>General</c:formatCode>
                <c:ptCount val="15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</c:numCache>
            </c:numRef>
          </c:cat>
          <c:val>
            <c:numRef>
              <c:f>OLD!$C$11:$Q$11</c:f>
              <c:numCache>
                <c:formatCode>_-* #,##0_-;\-* #,##0_-;_-* "-"??_-;_-@_-</c:formatCode>
                <c:ptCount val="15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shape val="box"/>
        <c:axId val="46312448"/>
        <c:axId val="46477824"/>
        <c:axId val="0"/>
      </c:bar3DChart>
      <c:catAx>
        <c:axId val="46312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CL"/>
                  <a:t>Año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s-CL"/>
          </a:p>
        </c:txPr>
        <c:crossAx val="46477824"/>
        <c:crosses val="autoZero"/>
        <c:auto val="1"/>
        <c:lblAlgn val="ctr"/>
        <c:lblOffset val="100"/>
        <c:tickLblSkip val="1"/>
        <c:noMultiLvlLbl val="0"/>
      </c:catAx>
      <c:valAx>
        <c:axId val="464778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CL"/>
                  <a:t>Miles de toneladas Cu fino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463124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PRODUCCIÓN</a:t>
            </a:r>
            <a:r>
              <a:rPr lang="es-CL" baseline="0"/>
              <a:t> CU FINO</a:t>
            </a:r>
            <a:endParaRPr lang="es-CL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OLD!$B$13</c:f>
              <c:strCache>
                <c:ptCount val="1"/>
                <c:pt idx="0">
                  <c:v>Total Cu fino</c:v>
                </c:pt>
              </c:strCache>
            </c:strRef>
          </c:tx>
          <c:trendline>
            <c:spPr>
              <a:effectLst>
                <a:outerShdw blurRad="114300" dist="50800" dir="5400000" algn="ctr" rotWithShape="0">
                  <a:srgbClr val="000000"/>
                </a:outerShdw>
              </a:effectLst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24942265093725527"/>
                  <c:y val="0.32914661708953047"/>
                </c:manualLayout>
              </c:layout>
              <c:numFmt formatCode="General" sourceLinked="0"/>
            </c:trendlineLbl>
          </c:trendline>
          <c:cat>
            <c:numRef>
              <c:f>OLD!$C$3:$Q$3</c:f>
              <c:numCache>
                <c:formatCode>General</c:formatCode>
                <c:ptCount val="15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</c:numCache>
            </c:numRef>
          </c:cat>
          <c:val>
            <c:numRef>
              <c:f>(OLD!$C$13:$Q$13,OLD!$B$13:$Q$13)</c:f>
              <c:numCache>
                <c:formatCode>_-* #,##0_-;\-* #,##0_-;_-* "-"??_-;_-@_-</c:formatCode>
                <c:ptCount val="31"/>
                <c:pt idx="0">
                  <c:v>2156774.4631526787</c:v>
                </c:pt>
                <c:pt idx="1">
                  <c:v>2158747.290882519</c:v>
                </c:pt>
                <c:pt idx="2">
                  <c:v>2366990.4367959723</c:v>
                </c:pt>
                <c:pt idx="3">
                  <c:v>2359790.5512716933</c:v>
                </c:pt>
                <c:pt idx="4">
                  <c:v>2393719.6424536873</c:v>
                </c:pt>
                <c:pt idx="5">
                  <c:v>2319267.3104884606</c:v>
                </c:pt>
                <c:pt idx="6">
                  <c:v>2263308.1455005086</c:v>
                </c:pt>
                <c:pt idx="7">
                  <c:v>2232524.9413724872</c:v>
                </c:pt>
                <c:pt idx="8">
                  <c:v>2408686.7369033387</c:v>
                </c:pt>
                <c:pt idx="9">
                  <c:v>2530600.2020776556</c:v>
                </c:pt>
                <c:pt idx="10">
                  <c:v>2723992.476043765</c:v>
                </c:pt>
                <c:pt idx="11">
                  <c:v>2676464.3671553782</c:v>
                </c:pt>
                <c:pt idx="12">
                  <c:v>2619157.8090898315</c:v>
                </c:pt>
                <c:pt idx="13">
                  <c:v>2600096.3337750058</c:v>
                </c:pt>
                <c:pt idx="14">
                  <c:v>2468628</c:v>
                </c:pt>
                <c:pt idx="15" formatCode="General">
                  <c:v>0</c:v>
                </c:pt>
                <c:pt idx="16">
                  <c:v>2156774.4631526787</c:v>
                </c:pt>
                <c:pt idx="17">
                  <c:v>2158747.290882519</c:v>
                </c:pt>
                <c:pt idx="18">
                  <c:v>2366990.4367959723</c:v>
                </c:pt>
                <c:pt idx="19">
                  <c:v>2359790.5512716933</c:v>
                </c:pt>
                <c:pt idx="20">
                  <c:v>2393719.6424536873</c:v>
                </c:pt>
                <c:pt idx="21">
                  <c:v>2319267.3104884606</c:v>
                </c:pt>
                <c:pt idx="22">
                  <c:v>2263308.1455005086</c:v>
                </c:pt>
                <c:pt idx="23">
                  <c:v>2232524.9413724872</c:v>
                </c:pt>
                <c:pt idx="24">
                  <c:v>2408686.7369033387</c:v>
                </c:pt>
                <c:pt idx="25">
                  <c:v>2530600.2020776556</c:v>
                </c:pt>
                <c:pt idx="26">
                  <c:v>2723992.476043765</c:v>
                </c:pt>
                <c:pt idx="27">
                  <c:v>2676464.3671553782</c:v>
                </c:pt>
                <c:pt idx="28">
                  <c:v>2619157.8090898315</c:v>
                </c:pt>
                <c:pt idx="29">
                  <c:v>2600096.3337750058</c:v>
                </c:pt>
                <c:pt idx="30">
                  <c:v>2468628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740032"/>
        <c:axId val="46480128"/>
      </c:lineChart>
      <c:dateAx>
        <c:axId val="45740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6480128"/>
        <c:crosses val="autoZero"/>
        <c:auto val="0"/>
        <c:lblOffset val="100"/>
        <c:baseTimeUnit val="days"/>
        <c:majorUnit val="1"/>
        <c:majorTimeUnit val="days"/>
      </c:dateAx>
      <c:valAx>
        <c:axId val="464801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CL"/>
                  <a:t>Miles de toneladas Cu fino</a:t>
                </a:r>
              </a:p>
            </c:rich>
          </c:tx>
          <c:overlay val="0"/>
        </c:title>
        <c:numFmt formatCode="_-* #,##0_-;\-* #,##0_-;_-* &quot;-&quot;??_-;_-@_-" sourceLinked="1"/>
        <c:majorTickMark val="out"/>
        <c:minorTickMark val="none"/>
        <c:tickLblPos val="nextTo"/>
        <c:crossAx val="45740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PRODUCCIÓN</a:t>
            </a:r>
            <a:r>
              <a:rPr lang="es-CL" baseline="0"/>
              <a:t> CU FINO</a:t>
            </a:r>
            <a:endParaRPr lang="es-CL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OLD!$B$13</c:f>
              <c:strCache>
                <c:ptCount val="1"/>
                <c:pt idx="0">
                  <c:v>Total Cu fino</c:v>
                </c:pt>
              </c:strCache>
            </c:strRef>
          </c:tx>
          <c:trendline>
            <c:spPr>
              <a:effectLst>
                <a:outerShdw blurRad="114300" dist="50800" dir="5400000" algn="ctr" rotWithShape="0">
                  <a:srgbClr val="000000"/>
                </a:outerShdw>
              </a:effectLst>
            </c:spPr>
            <c:trendlineType val="poly"/>
            <c:order val="3"/>
            <c:dispRSqr val="1"/>
            <c:dispEq val="1"/>
            <c:trendlineLbl>
              <c:layout>
                <c:manualLayout>
                  <c:x val="0.24942265093725527"/>
                  <c:y val="0.32914661708953047"/>
                </c:manualLayout>
              </c:layout>
              <c:numFmt formatCode="General" sourceLinked="0"/>
            </c:trendlineLbl>
          </c:trendline>
          <c:cat>
            <c:numRef>
              <c:f>OLD!$C$3:$Q$3</c:f>
              <c:numCache>
                <c:formatCode>General</c:formatCode>
                <c:ptCount val="15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</c:numCache>
            </c:numRef>
          </c:cat>
          <c:val>
            <c:numRef>
              <c:f>(OLD!$C$13:$Q$13,OLD!$B$13:$Q$13)</c:f>
              <c:numCache>
                <c:formatCode>_-* #,##0_-;\-* #,##0_-;_-* "-"??_-;_-@_-</c:formatCode>
                <c:ptCount val="31"/>
                <c:pt idx="0">
                  <c:v>2156774.4631526787</c:v>
                </c:pt>
                <c:pt idx="1">
                  <c:v>2158747.290882519</c:v>
                </c:pt>
                <c:pt idx="2">
                  <c:v>2366990.4367959723</c:v>
                </c:pt>
                <c:pt idx="3">
                  <c:v>2359790.5512716933</c:v>
                </c:pt>
                <c:pt idx="4">
                  <c:v>2393719.6424536873</c:v>
                </c:pt>
                <c:pt idx="5">
                  <c:v>2319267.3104884606</c:v>
                </c:pt>
                <c:pt idx="6">
                  <c:v>2263308.1455005086</c:v>
                </c:pt>
                <c:pt idx="7">
                  <c:v>2232524.9413724872</c:v>
                </c:pt>
                <c:pt idx="8">
                  <c:v>2408686.7369033387</c:v>
                </c:pt>
                <c:pt idx="9">
                  <c:v>2530600.2020776556</c:v>
                </c:pt>
                <c:pt idx="10">
                  <c:v>2723992.476043765</c:v>
                </c:pt>
                <c:pt idx="11">
                  <c:v>2676464.3671553782</c:v>
                </c:pt>
                <c:pt idx="12">
                  <c:v>2619157.8090898315</c:v>
                </c:pt>
                <c:pt idx="13">
                  <c:v>2600096.3337750058</c:v>
                </c:pt>
                <c:pt idx="14">
                  <c:v>2468628</c:v>
                </c:pt>
                <c:pt idx="15" formatCode="General">
                  <c:v>0</c:v>
                </c:pt>
                <c:pt idx="16">
                  <c:v>2156774.4631526787</c:v>
                </c:pt>
                <c:pt idx="17">
                  <c:v>2158747.290882519</c:v>
                </c:pt>
                <c:pt idx="18">
                  <c:v>2366990.4367959723</c:v>
                </c:pt>
                <c:pt idx="19">
                  <c:v>2359790.5512716933</c:v>
                </c:pt>
                <c:pt idx="20">
                  <c:v>2393719.6424536873</c:v>
                </c:pt>
                <c:pt idx="21">
                  <c:v>2319267.3104884606</c:v>
                </c:pt>
                <c:pt idx="22">
                  <c:v>2263308.1455005086</c:v>
                </c:pt>
                <c:pt idx="23">
                  <c:v>2232524.9413724872</c:v>
                </c:pt>
                <c:pt idx="24">
                  <c:v>2408686.7369033387</c:v>
                </c:pt>
                <c:pt idx="25">
                  <c:v>2530600.2020776556</c:v>
                </c:pt>
                <c:pt idx="26">
                  <c:v>2723992.476043765</c:v>
                </c:pt>
                <c:pt idx="27">
                  <c:v>2676464.3671553782</c:v>
                </c:pt>
                <c:pt idx="28">
                  <c:v>2619157.8090898315</c:v>
                </c:pt>
                <c:pt idx="29">
                  <c:v>2600096.3337750058</c:v>
                </c:pt>
                <c:pt idx="30">
                  <c:v>2468628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312960"/>
        <c:axId val="46137920"/>
      </c:lineChart>
      <c:dateAx>
        <c:axId val="46312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6137920"/>
        <c:crosses val="autoZero"/>
        <c:auto val="0"/>
        <c:lblOffset val="100"/>
        <c:baseTimeUnit val="days"/>
        <c:majorUnit val="1"/>
        <c:majorTimeUnit val="days"/>
      </c:dateAx>
      <c:valAx>
        <c:axId val="461379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CL"/>
                  <a:t>Miles de toneladas Cu fino</a:t>
                </a:r>
              </a:p>
            </c:rich>
          </c:tx>
          <c:overlay val="0"/>
        </c:title>
        <c:numFmt formatCode="_-* #,##0_-;\-* #,##0_-;_-* &quot;-&quot;??_-;_-@_-" sourceLinked="1"/>
        <c:majorTickMark val="out"/>
        <c:minorTickMark val="none"/>
        <c:tickLblPos val="nextTo"/>
        <c:crossAx val="46312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PRODUCCIÓN DE ACIDO 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BASE!$B$17</c:f>
              <c:strCache>
                <c:ptCount val="1"/>
                <c:pt idx="0">
                  <c:v>PRODUCCIÓN </c:v>
                </c:pt>
              </c:strCache>
            </c:strRef>
          </c:tx>
          <c:trendline>
            <c:trendlineType val="linear"/>
            <c:forward val="17"/>
            <c:dispRSqr val="1"/>
            <c:dispEq val="1"/>
            <c:trendlineLbl>
              <c:layout>
                <c:manualLayout>
                  <c:x val="2.7146478889364424E-2"/>
                  <c:y val="-0.14558498022123756"/>
                </c:manualLayout>
              </c:layout>
              <c:numFmt formatCode="General" sourceLinked="0"/>
            </c:trendlineLbl>
          </c:trendline>
          <c:cat>
            <c:numRef>
              <c:f>BASE!$K$16:$R$16</c:f>
              <c:numCache>
                <c:formatCode>General</c:formatCode>
                <c:ptCount val="8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</c:numCache>
            </c:numRef>
          </c:cat>
          <c:val>
            <c:numRef>
              <c:f>BASE!$K$17:$R$17</c:f>
              <c:numCache>
                <c:formatCode>_-* #,##0_-;\-* #,##0_-;_-* "-"??_-;_-@_-</c:formatCode>
                <c:ptCount val="8"/>
                <c:pt idx="0">
                  <c:v>4775</c:v>
                </c:pt>
                <c:pt idx="1">
                  <c:v>4858</c:v>
                </c:pt>
                <c:pt idx="2">
                  <c:v>5077</c:v>
                </c:pt>
                <c:pt idx="3">
                  <c:v>5164</c:v>
                </c:pt>
                <c:pt idx="4">
                  <c:v>5277</c:v>
                </c:pt>
                <c:pt idx="5">
                  <c:v>5245</c:v>
                </c:pt>
                <c:pt idx="6">
                  <c:v>5422</c:v>
                </c:pt>
                <c:pt idx="7">
                  <c:v>5741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899392"/>
        <c:axId val="138739008"/>
      </c:lineChart>
      <c:dateAx>
        <c:axId val="43899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CL"/>
                  <a:t>Año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8739008"/>
        <c:crosses val="autoZero"/>
        <c:auto val="0"/>
        <c:lblOffset val="100"/>
        <c:baseTimeUnit val="days"/>
      </c:dateAx>
      <c:valAx>
        <c:axId val="1387390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CL"/>
                  <a:t>[k Ton]</a:t>
                </a:r>
              </a:p>
            </c:rich>
          </c:tx>
          <c:layout/>
          <c:overlay val="0"/>
        </c:title>
        <c:numFmt formatCode="_-* #,##0_-;\-* #,##0_-;_-* &quot;-&quot;??_-;_-@_-" sourceLinked="1"/>
        <c:majorTickMark val="out"/>
        <c:minorTickMark val="none"/>
        <c:tickLblPos val="nextTo"/>
        <c:crossAx val="43899392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PRODUCCIÓN</a:t>
            </a:r>
            <a:r>
              <a:rPr lang="es-CL" baseline="0"/>
              <a:t> CU FINO</a:t>
            </a:r>
            <a:endParaRPr lang="es-CL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OLD!$B$13</c:f>
              <c:strCache>
                <c:ptCount val="1"/>
                <c:pt idx="0">
                  <c:v>Total Cu fino</c:v>
                </c:pt>
              </c:strCache>
            </c:strRef>
          </c:tx>
          <c:trendline>
            <c:spPr>
              <a:effectLst>
                <a:outerShdw blurRad="114300" dist="50800" dir="5400000" algn="ctr" rotWithShape="0">
                  <a:srgbClr val="000000"/>
                </a:outerShdw>
              </a:effectLst>
            </c:spPr>
            <c:trendlineType val="poly"/>
            <c:order val="4"/>
            <c:dispRSqr val="1"/>
            <c:dispEq val="1"/>
            <c:trendlineLbl>
              <c:layout>
                <c:manualLayout>
                  <c:x val="0.24942265093725527"/>
                  <c:y val="0.32914661708953047"/>
                </c:manualLayout>
              </c:layout>
              <c:numFmt formatCode="General" sourceLinked="0"/>
            </c:trendlineLbl>
          </c:trendline>
          <c:cat>
            <c:numRef>
              <c:f>OLD!$C$3:$Q$3</c:f>
              <c:numCache>
                <c:formatCode>General</c:formatCode>
                <c:ptCount val="15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</c:numCache>
            </c:numRef>
          </c:cat>
          <c:val>
            <c:numRef>
              <c:f>(OLD!$C$13:$Q$13,OLD!$B$13:$Q$13)</c:f>
              <c:numCache>
                <c:formatCode>_-* #,##0_-;\-* #,##0_-;_-* "-"??_-;_-@_-</c:formatCode>
                <c:ptCount val="31"/>
                <c:pt idx="0">
                  <c:v>2156774.4631526787</c:v>
                </c:pt>
                <c:pt idx="1">
                  <c:v>2158747.290882519</c:v>
                </c:pt>
                <c:pt idx="2">
                  <c:v>2366990.4367959723</c:v>
                </c:pt>
                <c:pt idx="3">
                  <c:v>2359790.5512716933</c:v>
                </c:pt>
                <c:pt idx="4">
                  <c:v>2393719.6424536873</c:v>
                </c:pt>
                <c:pt idx="5">
                  <c:v>2319267.3104884606</c:v>
                </c:pt>
                <c:pt idx="6">
                  <c:v>2263308.1455005086</c:v>
                </c:pt>
                <c:pt idx="7">
                  <c:v>2232524.9413724872</c:v>
                </c:pt>
                <c:pt idx="8">
                  <c:v>2408686.7369033387</c:v>
                </c:pt>
                <c:pt idx="9">
                  <c:v>2530600.2020776556</c:v>
                </c:pt>
                <c:pt idx="10">
                  <c:v>2723992.476043765</c:v>
                </c:pt>
                <c:pt idx="11">
                  <c:v>2676464.3671553782</c:v>
                </c:pt>
                <c:pt idx="12">
                  <c:v>2619157.8090898315</c:v>
                </c:pt>
                <c:pt idx="13">
                  <c:v>2600096.3337750058</c:v>
                </c:pt>
                <c:pt idx="14">
                  <c:v>2468628</c:v>
                </c:pt>
                <c:pt idx="15" formatCode="General">
                  <c:v>0</c:v>
                </c:pt>
                <c:pt idx="16">
                  <c:v>2156774.4631526787</c:v>
                </c:pt>
                <c:pt idx="17">
                  <c:v>2158747.290882519</c:v>
                </c:pt>
                <c:pt idx="18">
                  <c:v>2366990.4367959723</c:v>
                </c:pt>
                <c:pt idx="19">
                  <c:v>2359790.5512716933</c:v>
                </c:pt>
                <c:pt idx="20">
                  <c:v>2393719.6424536873</c:v>
                </c:pt>
                <c:pt idx="21">
                  <c:v>2319267.3104884606</c:v>
                </c:pt>
                <c:pt idx="22">
                  <c:v>2263308.1455005086</c:v>
                </c:pt>
                <c:pt idx="23">
                  <c:v>2232524.9413724872</c:v>
                </c:pt>
                <c:pt idx="24">
                  <c:v>2408686.7369033387</c:v>
                </c:pt>
                <c:pt idx="25">
                  <c:v>2530600.2020776556</c:v>
                </c:pt>
                <c:pt idx="26">
                  <c:v>2723992.476043765</c:v>
                </c:pt>
                <c:pt idx="27">
                  <c:v>2676464.3671553782</c:v>
                </c:pt>
                <c:pt idx="28">
                  <c:v>2619157.8090898315</c:v>
                </c:pt>
                <c:pt idx="29">
                  <c:v>2600096.3337750058</c:v>
                </c:pt>
                <c:pt idx="30">
                  <c:v>2468628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310400"/>
        <c:axId val="46139648"/>
      </c:lineChart>
      <c:dateAx>
        <c:axId val="46310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6139648"/>
        <c:crosses val="autoZero"/>
        <c:auto val="0"/>
        <c:lblOffset val="100"/>
        <c:baseTimeUnit val="days"/>
        <c:majorUnit val="1"/>
        <c:majorTimeUnit val="days"/>
      </c:dateAx>
      <c:valAx>
        <c:axId val="461396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CL"/>
                  <a:t>Miles de toneladas Cu fino</a:t>
                </a:r>
              </a:p>
            </c:rich>
          </c:tx>
          <c:overlay val="0"/>
        </c:title>
        <c:numFmt formatCode="_-* #,##0_-;\-* #,##0_-;_-* &quot;-&quot;??_-;_-@_-" sourceLinked="1"/>
        <c:majorTickMark val="out"/>
        <c:minorTickMark val="none"/>
        <c:tickLblPos val="nextTo"/>
        <c:crossAx val="46310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PRODUCCIÓN</a:t>
            </a:r>
            <a:r>
              <a:rPr lang="es-CL" baseline="0"/>
              <a:t> CU FINO</a:t>
            </a:r>
            <a:endParaRPr lang="es-CL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OLD!$B$13</c:f>
              <c:strCache>
                <c:ptCount val="1"/>
                <c:pt idx="0">
                  <c:v>Total Cu fino</c:v>
                </c:pt>
              </c:strCache>
            </c:strRef>
          </c:tx>
          <c:trendline>
            <c:spPr>
              <a:effectLst>
                <a:outerShdw blurRad="114300" dist="50800" dir="5400000" algn="ctr" rotWithShape="0">
                  <a:srgbClr val="000000"/>
                </a:outerShdw>
              </a:effectLst>
            </c:spPr>
            <c:trendlineType val="poly"/>
            <c:order val="5"/>
            <c:dispRSqr val="1"/>
            <c:dispEq val="1"/>
            <c:trendlineLbl>
              <c:layout>
                <c:manualLayout>
                  <c:x val="0.24942265093725527"/>
                  <c:y val="0.32914661708953047"/>
                </c:manualLayout>
              </c:layout>
              <c:numFmt formatCode="General" sourceLinked="0"/>
            </c:trendlineLbl>
          </c:trendline>
          <c:cat>
            <c:numRef>
              <c:f>OLD!$C$3:$Q$3</c:f>
              <c:numCache>
                <c:formatCode>General</c:formatCode>
                <c:ptCount val="15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</c:numCache>
            </c:numRef>
          </c:cat>
          <c:val>
            <c:numRef>
              <c:f>(OLD!$C$13:$Q$13,OLD!$B$13:$Q$13)</c:f>
              <c:numCache>
                <c:formatCode>_-* #,##0_-;\-* #,##0_-;_-* "-"??_-;_-@_-</c:formatCode>
                <c:ptCount val="31"/>
                <c:pt idx="0">
                  <c:v>2156774.4631526787</c:v>
                </c:pt>
                <c:pt idx="1">
                  <c:v>2158747.290882519</c:v>
                </c:pt>
                <c:pt idx="2">
                  <c:v>2366990.4367959723</c:v>
                </c:pt>
                <c:pt idx="3">
                  <c:v>2359790.5512716933</c:v>
                </c:pt>
                <c:pt idx="4">
                  <c:v>2393719.6424536873</c:v>
                </c:pt>
                <c:pt idx="5">
                  <c:v>2319267.3104884606</c:v>
                </c:pt>
                <c:pt idx="6">
                  <c:v>2263308.1455005086</c:v>
                </c:pt>
                <c:pt idx="7">
                  <c:v>2232524.9413724872</c:v>
                </c:pt>
                <c:pt idx="8">
                  <c:v>2408686.7369033387</c:v>
                </c:pt>
                <c:pt idx="9">
                  <c:v>2530600.2020776556</c:v>
                </c:pt>
                <c:pt idx="10">
                  <c:v>2723992.476043765</c:v>
                </c:pt>
                <c:pt idx="11">
                  <c:v>2676464.3671553782</c:v>
                </c:pt>
                <c:pt idx="12">
                  <c:v>2619157.8090898315</c:v>
                </c:pt>
                <c:pt idx="13">
                  <c:v>2600096.3337750058</c:v>
                </c:pt>
                <c:pt idx="14">
                  <c:v>2468628</c:v>
                </c:pt>
                <c:pt idx="15" formatCode="General">
                  <c:v>0</c:v>
                </c:pt>
                <c:pt idx="16">
                  <c:v>2156774.4631526787</c:v>
                </c:pt>
                <c:pt idx="17">
                  <c:v>2158747.290882519</c:v>
                </c:pt>
                <c:pt idx="18">
                  <c:v>2366990.4367959723</c:v>
                </c:pt>
                <c:pt idx="19">
                  <c:v>2359790.5512716933</c:v>
                </c:pt>
                <c:pt idx="20">
                  <c:v>2393719.6424536873</c:v>
                </c:pt>
                <c:pt idx="21">
                  <c:v>2319267.3104884606</c:v>
                </c:pt>
                <c:pt idx="22">
                  <c:v>2263308.1455005086</c:v>
                </c:pt>
                <c:pt idx="23">
                  <c:v>2232524.9413724872</c:v>
                </c:pt>
                <c:pt idx="24">
                  <c:v>2408686.7369033387</c:v>
                </c:pt>
                <c:pt idx="25">
                  <c:v>2530600.2020776556</c:v>
                </c:pt>
                <c:pt idx="26">
                  <c:v>2723992.476043765</c:v>
                </c:pt>
                <c:pt idx="27">
                  <c:v>2676464.3671553782</c:v>
                </c:pt>
                <c:pt idx="28">
                  <c:v>2619157.8090898315</c:v>
                </c:pt>
                <c:pt idx="29">
                  <c:v>2600096.3337750058</c:v>
                </c:pt>
                <c:pt idx="30">
                  <c:v>2468628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714880"/>
        <c:axId val="46141952"/>
      </c:lineChart>
      <c:dateAx>
        <c:axId val="46714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6141952"/>
        <c:crosses val="autoZero"/>
        <c:auto val="0"/>
        <c:lblOffset val="100"/>
        <c:baseTimeUnit val="days"/>
        <c:majorUnit val="1"/>
        <c:majorTimeUnit val="days"/>
      </c:dateAx>
      <c:valAx>
        <c:axId val="461419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CL"/>
                  <a:t>Miles de toneladas Cu fino</a:t>
                </a:r>
              </a:p>
            </c:rich>
          </c:tx>
          <c:overlay val="0"/>
        </c:title>
        <c:numFmt formatCode="_-* #,##0_-;\-* #,##0_-;_-* &quot;-&quot;??_-;_-@_-" sourceLinked="1"/>
        <c:majorTickMark val="out"/>
        <c:minorTickMark val="none"/>
        <c:tickLblPos val="nextTo"/>
        <c:crossAx val="46714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PRODUCCIÓN</a:t>
            </a:r>
            <a:r>
              <a:rPr lang="es-CL" baseline="0"/>
              <a:t> CU FINO</a:t>
            </a:r>
            <a:endParaRPr lang="es-CL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OLD!$B$13</c:f>
              <c:strCache>
                <c:ptCount val="1"/>
                <c:pt idx="0">
                  <c:v>Total Cu fino</c:v>
                </c:pt>
              </c:strCache>
            </c:strRef>
          </c:tx>
          <c:trendline>
            <c:spPr>
              <a:effectLst>
                <a:outerShdw blurRad="114300" dist="50800" dir="5400000" algn="ctr" rotWithShape="0">
                  <a:srgbClr val="000000"/>
                </a:outerShdw>
              </a:effectLst>
            </c:spPr>
            <c:trendlineType val="poly"/>
            <c:order val="6"/>
            <c:dispRSqr val="1"/>
            <c:dispEq val="1"/>
            <c:trendlineLbl>
              <c:layout>
                <c:manualLayout>
                  <c:x val="0.24942265093725527"/>
                  <c:y val="0.32914661708953047"/>
                </c:manualLayout>
              </c:layout>
              <c:numFmt formatCode="General" sourceLinked="0"/>
            </c:trendlineLbl>
          </c:trendline>
          <c:cat>
            <c:numRef>
              <c:f>OLD!$C$3:$Q$3</c:f>
              <c:numCache>
                <c:formatCode>General</c:formatCode>
                <c:ptCount val="15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</c:numCache>
            </c:numRef>
          </c:cat>
          <c:val>
            <c:numRef>
              <c:f>(OLD!$C$13:$Q$13,OLD!$B$13:$Q$13)</c:f>
              <c:numCache>
                <c:formatCode>_-* #,##0_-;\-* #,##0_-;_-* "-"??_-;_-@_-</c:formatCode>
                <c:ptCount val="31"/>
                <c:pt idx="0">
                  <c:v>2156774.4631526787</c:v>
                </c:pt>
                <c:pt idx="1">
                  <c:v>2158747.290882519</c:v>
                </c:pt>
                <c:pt idx="2">
                  <c:v>2366990.4367959723</c:v>
                </c:pt>
                <c:pt idx="3">
                  <c:v>2359790.5512716933</c:v>
                </c:pt>
                <c:pt idx="4">
                  <c:v>2393719.6424536873</c:v>
                </c:pt>
                <c:pt idx="5">
                  <c:v>2319267.3104884606</c:v>
                </c:pt>
                <c:pt idx="6">
                  <c:v>2263308.1455005086</c:v>
                </c:pt>
                <c:pt idx="7">
                  <c:v>2232524.9413724872</c:v>
                </c:pt>
                <c:pt idx="8">
                  <c:v>2408686.7369033387</c:v>
                </c:pt>
                <c:pt idx="9">
                  <c:v>2530600.2020776556</c:v>
                </c:pt>
                <c:pt idx="10">
                  <c:v>2723992.476043765</c:v>
                </c:pt>
                <c:pt idx="11">
                  <c:v>2676464.3671553782</c:v>
                </c:pt>
                <c:pt idx="12">
                  <c:v>2619157.8090898315</c:v>
                </c:pt>
                <c:pt idx="13">
                  <c:v>2600096.3337750058</c:v>
                </c:pt>
                <c:pt idx="14">
                  <c:v>2468628</c:v>
                </c:pt>
                <c:pt idx="15" formatCode="General">
                  <c:v>0</c:v>
                </c:pt>
                <c:pt idx="16">
                  <c:v>2156774.4631526787</c:v>
                </c:pt>
                <c:pt idx="17">
                  <c:v>2158747.290882519</c:v>
                </c:pt>
                <c:pt idx="18">
                  <c:v>2366990.4367959723</c:v>
                </c:pt>
                <c:pt idx="19">
                  <c:v>2359790.5512716933</c:v>
                </c:pt>
                <c:pt idx="20">
                  <c:v>2393719.6424536873</c:v>
                </c:pt>
                <c:pt idx="21">
                  <c:v>2319267.3104884606</c:v>
                </c:pt>
                <c:pt idx="22">
                  <c:v>2263308.1455005086</c:v>
                </c:pt>
                <c:pt idx="23">
                  <c:v>2232524.9413724872</c:v>
                </c:pt>
                <c:pt idx="24">
                  <c:v>2408686.7369033387</c:v>
                </c:pt>
                <c:pt idx="25">
                  <c:v>2530600.2020776556</c:v>
                </c:pt>
                <c:pt idx="26">
                  <c:v>2723992.476043765</c:v>
                </c:pt>
                <c:pt idx="27">
                  <c:v>2676464.3671553782</c:v>
                </c:pt>
                <c:pt idx="28">
                  <c:v>2619157.8090898315</c:v>
                </c:pt>
                <c:pt idx="29">
                  <c:v>2600096.3337750058</c:v>
                </c:pt>
                <c:pt idx="30">
                  <c:v>2468628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715392"/>
        <c:axId val="46143680"/>
      </c:lineChart>
      <c:dateAx>
        <c:axId val="46715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6143680"/>
        <c:crosses val="autoZero"/>
        <c:auto val="0"/>
        <c:lblOffset val="100"/>
        <c:baseTimeUnit val="days"/>
        <c:majorUnit val="1"/>
        <c:majorTimeUnit val="days"/>
      </c:dateAx>
      <c:valAx>
        <c:axId val="461436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CL"/>
                  <a:t>Miles de toneladas Cu fino</a:t>
                </a:r>
              </a:p>
            </c:rich>
          </c:tx>
          <c:overlay val="0"/>
        </c:title>
        <c:numFmt formatCode="_-* #,##0_-;\-* #,##0_-;_-* &quot;-&quot;??_-;_-@_-" sourceLinked="1"/>
        <c:majorTickMark val="out"/>
        <c:minorTickMark val="none"/>
        <c:tickLblPos val="nextTo"/>
        <c:crossAx val="46715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RELACIÓN DE CONSUMO</a:t>
            </a:r>
            <a:r>
              <a:rPr lang="es-CL" baseline="0"/>
              <a:t> PROYECTADO DE ACIDO </a:t>
            </a:r>
            <a:endParaRPr lang="es-CL"/>
          </a:p>
        </c:rich>
      </c:tx>
      <c:layout>
        <c:manualLayout>
          <c:xMode val="edge"/>
          <c:yMode val="edge"/>
          <c:x val="0.26116392913427955"/>
          <c:y val="3.6206875251634615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rendline>
            <c:trendlineType val="linear"/>
            <c:forward val="20"/>
            <c:dispRSqr val="1"/>
            <c:dispEq val="1"/>
            <c:trendlineLbl>
              <c:layout>
                <c:manualLayout>
                  <c:x val="0.20504965483967577"/>
                  <c:y val="-0.12676588434691943"/>
                </c:manualLayout>
              </c:layout>
              <c:numFmt formatCode="General" sourceLinked="0"/>
            </c:trendlineLbl>
          </c:trendline>
          <c:cat>
            <c:numRef>
              <c:f>OLD!$C$70:$Q$70</c:f>
              <c:numCache>
                <c:formatCode>General</c:formatCode>
                <c:ptCount val="15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</c:numCache>
            </c:numRef>
          </c:cat>
          <c:val>
            <c:numRef>
              <c:f>OLD!$C$74:$Q$74</c:f>
              <c:numCache>
                <c:formatCode>#,##0.00_ ;\-#,##0.00\ </c:formatCode>
                <c:ptCount val="15"/>
                <c:pt idx="0">
                  <c:v>1.7118155203874195</c:v>
                </c:pt>
                <c:pt idx="1">
                  <c:v>1.9136098131760495</c:v>
                </c:pt>
                <c:pt idx="2">
                  <c:v>1.7824322119826399</c:v>
                </c:pt>
                <c:pt idx="3">
                  <c:v>1.8484691353854747</c:v>
                </c:pt>
                <c:pt idx="4">
                  <c:v>2.0750132604955218</c:v>
                </c:pt>
                <c:pt idx="5">
                  <c:v>2.1377440959816729</c:v>
                </c:pt>
                <c:pt idx="6">
                  <c:v>2.4570229250733506</c:v>
                </c:pt>
                <c:pt idx="7">
                  <c:v>2.5236000259582281</c:v>
                </c:pt>
                <c:pt idx="8">
                  <c:v>2.515893788575791</c:v>
                </c:pt>
                <c:pt idx="9">
                  <c:v>2.8676991308393593</c:v>
                </c:pt>
                <c:pt idx="10">
                  <c:v>2.5510349463565678</c:v>
                </c:pt>
                <c:pt idx="11">
                  <c:v>2.9172815060857928</c:v>
                </c:pt>
                <c:pt idx="12">
                  <c:v>3.2227916816258135</c:v>
                </c:pt>
                <c:pt idx="13">
                  <c:v>3.2521871940502201</c:v>
                </c:pt>
                <c:pt idx="14">
                  <c:v>3.3443678026822998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716416"/>
        <c:axId val="47202304"/>
      </c:lineChart>
      <c:dateAx>
        <c:axId val="46716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CL"/>
                  <a:t>Año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47202304"/>
        <c:crosses val="autoZero"/>
        <c:auto val="0"/>
        <c:lblOffset val="100"/>
        <c:baseTimeUnit val="days"/>
      </c:dateAx>
      <c:valAx>
        <c:axId val="472023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CL" baseline="0"/>
                  <a:t>Consumo de Acido v/s Producción de Catodos</a:t>
                </a:r>
              </a:p>
              <a:p>
                <a:pPr>
                  <a:defRPr/>
                </a:pPr>
                <a:endParaRPr lang="es-CL"/>
              </a:p>
            </c:rich>
          </c:tx>
          <c:layout>
            <c:manualLayout>
              <c:xMode val="edge"/>
              <c:yMode val="edge"/>
              <c:x val="1.8241039538171352E-2"/>
              <c:y val="0.12938113485588049"/>
            </c:manualLayout>
          </c:layout>
          <c:overlay val="0"/>
        </c:title>
        <c:numFmt formatCode="#,##0.00_ ;\-#,##0.00\ " sourceLinked="1"/>
        <c:majorTickMark val="none"/>
        <c:minorTickMark val="none"/>
        <c:tickLblPos val="nextTo"/>
        <c:crossAx val="46716416"/>
        <c:crosses val="autoZero"/>
        <c:crossBetween val="between"/>
      </c:valAx>
    </c:plotArea>
    <c:legend>
      <c:legendPos val="t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PRODUCCIÓN DE ACIDO 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OLD!$B$71</c:f>
              <c:strCache>
                <c:ptCount val="1"/>
                <c:pt idx="0">
                  <c:v>PRODUCCIÓN </c:v>
                </c:pt>
              </c:strCache>
            </c:strRef>
          </c:tx>
          <c:trendline>
            <c:trendlineType val="linear"/>
            <c:forward val="17"/>
            <c:dispRSqr val="1"/>
            <c:dispEq val="1"/>
            <c:trendlineLbl>
              <c:layout>
                <c:manualLayout>
                  <c:x val="2.6159861041698446E-2"/>
                  <c:y val="-0.17115575892863136"/>
                </c:manualLayout>
              </c:layout>
              <c:numFmt formatCode="General" sourceLinked="0"/>
            </c:trendlineLbl>
          </c:trendline>
          <c:cat>
            <c:numRef>
              <c:f>OLD!$K$70:$Q$70</c:f>
              <c:numCache>
                <c:formatCode>General</c:formatCode>
                <c:ptCount val="7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</c:numCache>
            </c:numRef>
          </c:cat>
          <c:val>
            <c:numRef>
              <c:f>OLD!$K$71:$Q$71</c:f>
              <c:numCache>
                <c:formatCode>_-* #,##0_-;\-* #,##0_-;_-* "-"??_-;_-@_-</c:formatCode>
                <c:ptCount val="7"/>
                <c:pt idx="0">
                  <c:v>4775</c:v>
                </c:pt>
                <c:pt idx="1">
                  <c:v>4858</c:v>
                </c:pt>
                <c:pt idx="2">
                  <c:v>5077</c:v>
                </c:pt>
                <c:pt idx="3">
                  <c:v>5164</c:v>
                </c:pt>
                <c:pt idx="4">
                  <c:v>5277</c:v>
                </c:pt>
                <c:pt idx="5">
                  <c:v>5245</c:v>
                </c:pt>
                <c:pt idx="6">
                  <c:v>5422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717952"/>
        <c:axId val="115568000"/>
      </c:lineChart>
      <c:dateAx>
        <c:axId val="46717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CL"/>
                  <a:t>Año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5568000"/>
        <c:crosses val="autoZero"/>
        <c:auto val="0"/>
        <c:lblOffset val="100"/>
        <c:baseTimeUnit val="days"/>
      </c:dateAx>
      <c:valAx>
        <c:axId val="1155680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CL"/>
                  <a:t>[k Ton]</a:t>
                </a:r>
              </a:p>
            </c:rich>
          </c:tx>
          <c:overlay val="0"/>
        </c:title>
        <c:numFmt formatCode="_-* #,##0_-;\-* #,##0_-;_-* &quot;-&quot;??_-;_-@_-" sourceLinked="1"/>
        <c:majorTickMark val="out"/>
        <c:minorTickMark val="none"/>
        <c:tickLblPos val="nextTo"/>
        <c:crossAx val="46717952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OLD!$B$175</c:f>
              <c:strCache>
                <c:ptCount val="1"/>
                <c:pt idx="0">
                  <c:v>Produccion Catodo</c:v>
                </c:pt>
              </c:strCache>
            </c:strRef>
          </c:tx>
          <c:trendline>
            <c:trendlineType val="poly"/>
            <c:order val="5"/>
            <c:dispRSqr val="1"/>
            <c:dispEq val="1"/>
            <c:trendlineLbl>
              <c:numFmt formatCode="#,##0.000000000000000" sourceLinked="0"/>
            </c:trendlineLbl>
          </c:trendline>
          <c:cat>
            <c:numRef>
              <c:f>OLD!$C$174:$T$174</c:f>
              <c:numCache>
                <c:formatCode>General</c:formatCode>
                <c:ptCount val="18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2020</c:v>
                </c:pt>
                <c:pt idx="16">
                  <c:v>2025</c:v>
                </c:pt>
                <c:pt idx="17">
                  <c:v>2030</c:v>
                </c:pt>
              </c:numCache>
            </c:numRef>
          </c:cat>
          <c:val>
            <c:numRef>
              <c:f>OLD!$C$175:$T$175</c:f>
              <c:numCache>
                <c:formatCode>General</c:formatCode>
                <c:ptCount val="18"/>
                <c:pt idx="0">
                  <c:v>2191759</c:v>
                </c:pt>
                <c:pt idx="1">
                  <c:v>2193763</c:v>
                </c:pt>
                <c:pt idx="2">
                  <c:v>2405192</c:v>
                </c:pt>
                <c:pt idx="3">
                  <c:v>2397883</c:v>
                </c:pt>
                <c:pt idx="4">
                  <c:v>2432332</c:v>
                </c:pt>
                <c:pt idx="5">
                  <c:v>2356742</c:v>
                </c:pt>
                <c:pt idx="6">
                  <c:v>2299928</c:v>
                </c:pt>
                <c:pt idx="7">
                  <c:v>2268675</c:v>
                </c:pt>
                <c:pt idx="8">
                  <c:v>2447532</c:v>
                </c:pt>
                <c:pt idx="9">
                  <c:v>2571311</c:v>
                </c:pt>
                <c:pt idx="10">
                  <c:v>2767662</c:v>
                </c:pt>
                <c:pt idx="11">
                  <c:v>2719408</c:v>
                </c:pt>
                <c:pt idx="12">
                  <c:v>2661226</c:v>
                </c:pt>
                <c:pt idx="13">
                  <c:v>2641874</c:v>
                </c:pt>
                <c:pt idx="14">
                  <c:v>2508396</c:v>
                </c:pt>
                <c:pt idx="15" formatCode="#,##0">
                  <c:v>1394236.3725000001</c:v>
                </c:pt>
                <c:pt idx="16" formatCode="#,##0">
                  <c:v>1077480.7400000002</c:v>
                </c:pt>
                <c:pt idx="17" formatCode="#,##0">
                  <c:v>709901.10400000005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718464"/>
        <c:axId val="47204032"/>
      </c:lineChart>
      <c:dateAx>
        <c:axId val="46718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7204032"/>
        <c:crosses val="autoZero"/>
        <c:auto val="0"/>
        <c:lblOffset val="100"/>
        <c:baseTimeUnit val="days"/>
      </c:dateAx>
      <c:valAx>
        <c:axId val="47204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6718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BALANCE</a:t>
            </a:r>
            <a:r>
              <a:rPr lang="es-CL" baseline="0"/>
              <a:t> DE CONSUMO &amp; PRODUCCIÓN DE ACIDO EN CHILE</a:t>
            </a:r>
            <a:endParaRPr lang="es-CL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OLD!$E$113</c:f>
              <c:strCache>
                <c:ptCount val="1"/>
                <c:pt idx="0">
                  <c:v>Consumo Acido</c:v>
                </c:pt>
              </c:strCache>
            </c:strRef>
          </c:tx>
          <c:spPr>
            <a:ln w="15875"/>
          </c:spPr>
          <c:marker>
            <c:symbol val="x"/>
            <c:size val="2"/>
          </c:marker>
          <c:cat>
            <c:numRef>
              <c:f>OLD!$B$114:$B$145</c:f>
              <c:numCache>
                <c:formatCode>General</c:formatCode>
                <c:ptCount val="32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  <c:pt idx="21">
                  <c:v>2020</c:v>
                </c:pt>
                <c:pt idx="22">
                  <c:v>2021</c:v>
                </c:pt>
                <c:pt idx="23">
                  <c:v>2022</c:v>
                </c:pt>
                <c:pt idx="24">
                  <c:v>2023</c:v>
                </c:pt>
                <c:pt idx="25">
                  <c:v>2024</c:v>
                </c:pt>
                <c:pt idx="26">
                  <c:v>2025</c:v>
                </c:pt>
                <c:pt idx="27">
                  <c:v>2026</c:v>
                </c:pt>
                <c:pt idx="28">
                  <c:v>2027</c:v>
                </c:pt>
                <c:pt idx="29">
                  <c:v>2028</c:v>
                </c:pt>
                <c:pt idx="30">
                  <c:v>2029</c:v>
                </c:pt>
                <c:pt idx="31">
                  <c:v>2030</c:v>
                </c:pt>
              </c:numCache>
            </c:numRef>
          </c:cat>
          <c:val>
            <c:numRef>
              <c:f>OLD!$E$114:$E$145</c:f>
              <c:numCache>
                <c:formatCode>#,##0</c:formatCode>
                <c:ptCount val="32"/>
                <c:pt idx="0">
                  <c:v>3692000</c:v>
                </c:pt>
                <c:pt idx="1">
                  <c:v>4131000</c:v>
                </c:pt>
                <c:pt idx="2">
                  <c:v>4219000</c:v>
                </c:pt>
                <c:pt idx="3">
                  <c:v>4362000</c:v>
                </c:pt>
                <c:pt idx="4">
                  <c:v>4967000</c:v>
                </c:pt>
                <c:pt idx="5">
                  <c:v>4958000</c:v>
                </c:pt>
                <c:pt idx="6">
                  <c:v>5561000</c:v>
                </c:pt>
                <c:pt idx="7">
                  <c:v>5634000</c:v>
                </c:pt>
                <c:pt idx="8">
                  <c:v>6060000</c:v>
                </c:pt>
                <c:pt idx="9">
                  <c:v>7257000</c:v>
                </c:pt>
                <c:pt idx="10">
                  <c:v>6949000</c:v>
                </c:pt>
                <c:pt idx="11">
                  <c:v>7808000</c:v>
                </c:pt>
                <c:pt idx="12">
                  <c:v>8441000</c:v>
                </c:pt>
                <c:pt idx="13">
                  <c:v>8456000</c:v>
                </c:pt>
                <c:pt idx="14">
                  <c:v>8255999.9999999991</c:v>
                </c:pt>
                <c:pt idx="15">
                  <c:v>8017511.4888000302</c:v>
                </c:pt>
                <c:pt idx="16">
                  <c:v>7920120.5820000358</c:v>
                </c:pt>
                <c:pt idx="17">
                  <c:v>7743872.4847999793</c:v>
                </c:pt>
                <c:pt idx="18">
                  <c:v>7495655.3891999871</c:v>
                </c:pt>
                <c:pt idx="19">
                  <c:v>7186120.725599994</c:v>
                </c:pt>
                <c:pt idx="20">
                  <c:v>6827875.7931999993</c:v>
                </c:pt>
                <c:pt idx="21">
                  <c:v>6434720.9920000043</c:v>
                </c:pt>
                <c:pt idx="22">
                  <c:v>6023029.810000008</c:v>
                </c:pt>
                <c:pt idx="23">
                  <c:v>5609380.4840000113</c:v>
                </c:pt>
                <c:pt idx="24">
                  <c:v>5210894.2780000139</c:v>
                </c:pt>
                <c:pt idx="25">
                  <c:v>4843336.4496000158</c:v>
                </c:pt>
                <c:pt idx="26">
                  <c:v>4521183.2100000177</c:v>
                </c:pt>
                <c:pt idx="27">
                  <c:v>4256225.5735999933</c:v>
                </c:pt>
                <c:pt idx="28">
                  <c:v>4057425.9787999964</c:v>
                </c:pt>
                <c:pt idx="29">
                  <c:v>3927443.9775999994</c:v>
                </c:pt>
                <c:pt idx="30">
                  <c:v>3864324.0116000017</c:v>
                </c:pt>
                <c:pt idx="31">
                  <c:v>3857463.2200000039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OLD!$F$113</c:f>
              <c:strCache>
                <c:ptCount val="1"/>
                <c:pt idx="0">
                  <c:v>Produccion de Acido</c:v>
                </c:pt>
              </c:strCache>
            </c:strRef>
          </c:tx>
          <c:spPr>
            <a:ln w="9525"/>
          </c:spPr>
          <c:marker>
            <c:symbol val="plus"/>
            <c:size val="3"/>
          </c:marker>
          <c:val>
            <c:numRef>
              <c:f>OLD!$F$114:$F$145</c:f>
              <c:numCache>
                <c:formatCode>#,##0</c:formatCode>
                <c:ptCount val="32"/>
                <c:pt idx="0">
                  <c:v>3311000</c:v>
                </c:pt>
                <c:pt idx="1">
                  <c:v>3602000</c:v>
                </c:pt>
                <c:pt idx="2">
                  <c:v>3660000</c:v>
                </c:pt>
                <c:pt idx="3">
                  <c:v>3840000</c:v>
                </c:pt>
                <c:pt idx="4">
                  <c:v>4479000</c:v>
                </c:pt>
                <c:pt idx="5">
                  <c:v>4618000</c:v>
                </c:pt>
                <c:pt idx="6">
                  <c:v>5009000</c:v>
                </c:pt>
                <c:pt idx="7">
                  <c:v>5027000</c:v>
                </c:pt>
                <c:pt idx="8">
                  <c:v>4775000</c:v>
                </c:pt>
                <c:pt idx="9">
                  <c:v>4858000</c:v>
                </c:pt>
                <c:pt idx="10">
                  <c:v>5077000</c:v>
                </c:pt>
                <c:pt idx="11">
                  <c:v>5164000</c:v>
                </c:pt>
                <c:pt idx="12">
                  <c:v>5277000</c:v>
                </c:pt>
                <c:pt idx="13">
                  <c:v>5245000</c:v>
                </c:pt>
                <c:pt idx="14">
                  <c:v>5422000</c:v>
                </c:pt>
                <c:pt idx="15">
                  <c:v>5538540.0000000084</c:v>
                </c:pt>
                <c:pt idx="16">
                  <c:v>5642649.9999999944</c:v>
                </c:pt>
                <c:pt idx="17">
                  <c:v>5746760.0000000093</c:v>
                </c:pt>
                <c:pt idx="18">
                  <c:v>5850869.9999999953</c:v>
                </c:pt>
                <c:pt idx="19">
                  <c:v>5850870</c:v>
                </c:pt>
                <c:pt idx="20">
                  <c:v>5850870</c:v>
                </c:pt>
                <c:pt idx="21">
                  <c:v>5850870</c:v>
                </c:pt>
                <c:pt idx="22">
                  <c:v>5850870</c:v>
                </c:pt>
                <c:pt idx="23">
                  <c:v>5850870</c:v>
                </c:pt>
                <c:pt idx="24">
                  <c:v>5850870</c:v>
                </c:pt>
                <c:pt idx="25">
                  <c:v>5850870</c:v>
                </c:pt>
                <c:pt idx="26">
                  <c:v>5850870</c:v>
                </c:pt>
                <c:pt idx="27">
                  <c:v>5850870</c:v>
                </c:pt>
                <c:pt idx="28">
                  <c:v>5850870</c:v>
                </c:pt>
                <c:pt idx="29">
                  <c:v>5850870</c:v>
                </c:pt>
                <c:pt idx="30">
                  <c:v>5850870</c:v>
                </c:pt>
                <c:pt idx="31">
                  <c:v>5850870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300608"/>
        <c:axId val="47205760"/>
      </c:lineChart>
      <c:catAx>
        <c:axId val="47300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CL"/>
                  <a:t>AÑO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s-CL"/>
          </a:p>
        </c:txPr>
        <c:crossAx val="47205760"/>
        <c:crosses val="autoZero"/>
        <c:auto val="1"/>
        <c:lblAlgn val="ctr"/>
        <c:lblOffset val="100"/>
        <c:noMultiLvlLbl val="0"/>
      </c:catAx>
      <c:valAx>
        <c:axId val="472057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CL"/>
                  <a:t>TONELADAS</a:t>
                </a:r>
                <a:r>
                  <a:rPr lang="es-CL" baseline="0"/>
                  <a:t> DE ACIDO</a:t>
                </a:r>
                <a:endParaRPr lang="es-CL"/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crossAx val="47300608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RELACIÓN DE CONSUMO</a:t>
            </a:r>
            <a:r>
              <a:rPr lang="es-CL" baseline="0"/>
              <a:t> PROYECTADO DE ACIDO </a:t>
            </a:r>
            <a:endParaRPr lang="es-CL"/>
          </a:p>
        </c:rich>
      </c:tx>
      <c:layout>
        <c:manualLayout>
          <c:xMode val="edge"/>
          <c:yMode val="edge"/>
          <c:x val="0.26116392913427955"/>
          <c:y val="3.6206875251634615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rendline>
            <c:trendlineType val="linear"/>
            <c:forward val="20"/>
            <c:dispRSqr val="1"/>
            <c:dispEq val="1"/>
            <c:trendlineLbl>
              <c:layout>
                <c:manualLayout>
                  <c:x val="1.2672424887244823E-2"/>
                  <c:y val="-0.15075111051839818"/>
                </c:manualLayout>
              </c:layout>
              <c:numFmt formatCode="General" sourceLinked="0"/>
            </c:trendlineLbl>
          </c:trendline>
          <c:cat>
            <c:numRef>
              <c:f>'CASO 1'!$C$17:$R$17</c:f>
              <c:numCache>
                <c:formatCode>General</c:formatCode>
                <c:ptCount val="16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</c:numCache>
            </c:numRef>
          </c:cat>
          <c:val>
            <c:numRef>
              <c:f>'CASO 1'!$C$21:$R$21</c:f>
              <c:numCache>
                <c:formatCode>#,##0.00_ ;\-#,##0.00\ </c:formatCode>
                <c:ptCount val="16"/>
                <c:pt idx="0">
                  <c:v>1.7118155203874195</c:v>
                </c:pt>
                <c:pt idx="1">
                  <c:v>1.9136098131760495</c:v>
                </c:pt>
                <c:pt idx="2">
                  <c:v>1.7824322119826399</c:v>
                </c:pt>
                <c:pt idx="3">
                  <c:v>1.8484691353854747</c:v>
                </c:pt>
                <c:pt idx="4">
                  <c:v>2.0750132604955218</c:v>
                </c:pt>
                <c:pt idx="5">
                  <c:v>2.1377440959816729</c:v>
                </c:pt>
                <c:pt idx="6">
                  <c:v>2.4570229250733506</c:v>
                </c:pt>
                <c:pt idx="7">
                  <c:v>2.5236000259582281</c:v>
                </c:pt>
                <c:pt idx="8">
                  <c:v>2.515893788575791</c:v>
                </c:pt>
                <c:pt idx="9">
                  <c:v>2.8676991308393593</c:v>
                </c:pt>
                <c:pt idx="10">
                  <c:v>2.5510349463565678</c:v>
                </c:pt>
                <c:pt idx="11">
                  <c:v>2.9172815060857928</c:v>
                </c:pt>
                <c:pt idx="12">
                  <c:v>3.2227916816258135</c:v>
                </c:pt>
                <c:pt idx="13">
                  <c:v>3.2521871940502201</c:v>
                </c:pt>
                <c:pt idx="14">
                  <c:v>3.3443678026822998</c:v>
                </c:pt>
                <c:pt idx="15">
                  <c:v>3.4856499803307317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900416"/>
        <c:axId val="47208640"/>
      </c:lineChart>
      <c:dateAx>
        <c:axId val="43900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CL"/>
                  <a:t>Año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47208640"/>
        <c:crosses val="autoZero"/>
        <c:auto val="0"/>
        <c:lblOffset val="100"/>
        <c:baseTimeUnit val="days"/>
      </c:dateAx>
      <c:valAx>
        <c:axId val="472086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CL" baseline="0"/>
                  <a:t>Consumo de Acido v/s Producción de Catodos</a:t>
                </a:r>
              </a:p>
              <a:p>
                <a:pPr>
                  <a:defRPr/>
                </a:pPr>
                <a:endParaRPr lang="es-CL"/>
              </a:p>
            </c:rich>
          </c:tx>
          <c:layout>
            <c:manualLayout>
              <c:xMode val="edge"/>
              <c:yMode val="edge"/>
              <c:x val="1.8241039538171352E-2"/>
              <c:y val="0.12938113485588049"/>
            </c:manualLayout>
          </c:layout>
          <c:overlay val="0"/>
        </c:title>
        <c:numFmt formatCode="#,##0.00_ ;\-#,##0.00\ " sourceLinked="1"/>
        <c:majorTickMark val="none"/>
        <c:minorTickMark val="none"/>
        <c:tickLblPos val="nextTo"/>
        <c:crossAx val="43900416"/>
        <c:crosses val="autoZero"/>
        <c:crossBetween val="between"/>
      </c:valAx>
    </c:plotArea>
    <c:legend>
      <c:legendPos val="t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PRODUCCIÓN DE ACIDO 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'CASO 1'!$B$18</c:f>
              <c:strCache>
                <c:ptCount val="1"/>
                <c:pt idx="0">
                  <c:v>PRODUCCIÓN </c:v>
                </c:pt>
              </c:strCache>
            </c:strRef>
          </c:tx>
          <c:trendline>
            <c:trendlineType val="linear"/>
            <c:forward val="17"/>
            <c:dispRSqr val="1"/>
            <c:dispEq val="1"/>
            <c:trendlineLbl>
              <c:layout>
                <c:manualLayout>
                  <c:x val="2.7146478889364424E-2"/>
                  <c:y val="-0.14558498022123756"/>
                </c:manualLayout>
              </c:layout>
              <c:numFmt formatCode="General" sourceLinked="0"/>
            </c:trendlineLbl>
          </c:trendline>
          <c:cat>
            <c:numRef>
              <c:f>'CASO 1'!$K$17:$R$17</c:f>
              <c:numCache>
                <c:formatCode>General</c:formatCode>
                <c:ptCount val="8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</c:numCache>
            </c:numRef>
          </c:cat>
          <c:val>
            <c:numRef>
              <c:f>'CASO 1'!$K$18:$R$18</c:f>
              <c:numCache>
                <c:formatCode>_-* #,##0_-;\-* #,##0_-;_-* "-"??_-;_-@_-</c:formatCode>
                <c:ptCount val="8"/>
                <c:pt idx="0">
                  <c:v>4775</c:v>
                </c:pt>
                <c:pt idx="1">
                  <c:v>4858</c:v>
                </c:pt>
                <c:pt idx="2">
                  <c:v>5077</c:v>
                </c:pt>
                <c:pt idx="3">
                  <c:v>5164</c:v>
                </c:pt>
                <c:pt idx="4">
                  <c:v>5277</c:v>
                </c:pt>
                <c:pt idx="5">
                  <c:v>5245</c:v>
                </c:pt>
                <c:pt idx="6">
                  <c:v>5422</c:v>
                </c:pt>
                <c:pt idx="7">
                  <c:v>5741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830144"/>
        <c:axId val="47209792"/>
      </c:lineChart>
      <c:dateAx>
        <c:axId val="45830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CL"/>
                  <a:t>Año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7209792"/>
        <c:crosses val="autoZero"/>
        <c:auto val="0"/>
        <c:lblOffset val="100"/>
        <c:baseTimeUnit val="days"/>
      </c:dateAx>
      <c:valAx>
        <c:axId val="472097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CL"/>
                  <a:t>[k Ton]</a:t>
                </a:r>
              </a:p>
            </c:rich>
          </c:tx>
          <c:layout/>
          <c:overlay val="0"/>
        </c:title>
        <c:numFmt formatCode="_-* #,##0_-;\-* #,##0_-;_-* &quot;-&quot;??_-;_-@_-" sourceLinked="1"/>
        <c:majorTickMark val="out"/>
        <c:minorTickMark val="none"/>
        <c:tickLblPos val="nextTo"/>
        <c:crossAx val="45830144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PROYECCIÓN</a:t>
            </a:r>
            <a:r>
              <a:rPr lang="en-US" baseline="0"/>
              <a:t> DE PRODUCCIÓN DE CÁTODOS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'CASO 1'!$C$82</c:f>
              <c:strCache>
                <c:ptCount val="1"/>
                <c:pt idx="0">
                  <c:v>Produccion Catodo</c:v>
                </c:pt>
              </c:strCache>
            </c:strRef>
          </c:tx>
          <c:trendline>
            <c:trendlineType val="poly"/>
            <c:order val="5"/>
            <c:dispRSqr val="1"/>
            <c:dispEq val="1"/>
            <c:trendlineLbl>
              <c:layout>
                <c:manualLayout>
                  <c:x val="-5.3092612728320915E-2"/>
                  <c:y val="0.10293304103272687"/>
                </c:manualLayout>
              </c:layout>
              <c:numFmt formatCode="#,##0.00" sourceLinked="0"/>
            </c:trendlineLbl>
          </c:trendline>
          <c:cat>
            <c:numRef>
              <c:f>'CASO 1'!$D$81:$V$81</c:f>
              <c:numCache>
                <c:formatCode>General</c:formatCode>
                <c:ptCount val="19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2020</c:v>
                </c:pt>
                <c:pt idx="17">
                  <c:v>2025</c:v>
                </c:pt>
                <c:pt idx="18">
                  <c:v>2030</c:v>
                </c:pt>
              </c:numCache>
            </c:numRef>
          </c:cat>
          <c:val>
            <c:numRef>
              <c:f>'CASO 1'!$D$82:$V$82</c:f>
              <c:numCache>
                <c:formatCode>#,##0</c:formatCode>
                <c:ptCount val="19"/>
                <c:pt idx="0">
                  <c:v>2191759</c:v>
                </c:pt>
                <c:pt idx="1">
                  <c:v>2193763</c:v>
                </c:pt>
                <c:pt idx="2">
                  <c:v>2405192</c:v>
                </c:pt>
                <c:pt idx="3">
                  <c:v>2397883</c:v>
                </c:pt>
                <c:pt idx="4">
                  <c:v>2432332</c:v>
                </c:pt>
                <c:pt idx="5">
                  <c:v>2356742</c:v>
                </c:pt>
                <c:pt idx="6">
                  <c:v>2299928</c:v>
                </c:pt>
                <c:pt idx="7">
                  <c:v>2268675</c:v>
                </c:pt>
                <c:pt idx="8">
                  <c:v>2447532</c:v>
                </c:pt>
                <c:pt idx="9">
                  <c:v>2571311</c:v>
                </c:pt>
                <c:pt idx="10">
                  <c:v>2767662</c:v>
                </c:pt>
                <c:pt idx="11">
                  <c:v>2719408</c:v>
                </c:pt>
                <c:pt idx="12">
                  <c:v>2661226</c:v>
                </c:pt>
                <c:pt idx="13">
                  <c:v>2641874</c:v>
                </c:pt>
                <c:pt idx="14">
                  <c:v>2508396</c:v>
                </c:pt>
                <c:pt idx="15">
                  <c:v>2368466.4400000004</c:v>
                </c:pt>
                <c:pt idx="16">
                  <c:v>1394236.3725000001</c:v>
                </c:pt>
                <c:pt idx="17">
                  <c:v>1077480.7400000002</c:v>
                </c:pt>
                <c:pt idx="18">
                  <c:v>709901.10400000005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830656"/>
        <c:axId val="47850624"/>
      </c:lineChart>
      <c:dateAx>
        <c:axId val="45830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CL"/>
                  <a:t>Año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s-CL"/>
          </a:p>
        </c:txPr>
        <c:crossAx val="47850624"/>
        <c:crosses val="autoZero"/>
        <c:auto val="0"/>
        <c:lblOffset val="100"/>
        <c:baseTimeUnit val="days"/>
        <c:majorUnit val="1"/>
        <c:majorTimeUnit val="days"/>
        <c:minorUnit val="1"/>
        <c:minorTimeUnit val="days"/>
      </c:dateAx>
      <c:valAx>
        <c:axId val="478506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CL"/>
                  <a:t>Toneladas</a:t>
                </a:r>
                <a:r>
                  <a:rPr lang="es-CL" baseline="0"/>
                  <a:t> de Cátodos</a:t>
                </a:r>
                <a:endParaRPr lang="es-CL"/>
              </a:p>
            </c:rich>
          </c:tx>
          <c:layout/>
          <c:overlay val="0"/>
        </c:title>
        <c:numFmt formatCode="#,##0" sourceLinked="1"/>
        <c:majorTickMark val="out"/>
        <c:minorTickMark val="none"/>
        <c:tickLblPos val="nextTo"/>
        <c:crossAx val="45830656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PROYECCIÓN</a:t>
            </a:r>
            <a:r>
              <a:rPr lang="en-US" baseline="0"/>
              <a:t> DE PRODUCCIÓN DE CÁTODOS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BASE!$C$81</c:f>
              <c:strCache>
                <c:ptCount val="1"/>
                <c:pt idx="0">
                  <c:v>Produccion Catodo</c:v>
                </c:pt>
              </c:strCache>
            </c:strRef>
          </c:tx>
          <c:trendline>
            <c:trendlineType val="poly"/>
            <c:order val="5"/>
            <c:dispRSqr val="1"/>
            <c:dispEq val="1"/>
            <c:trendlineLbl>
              <c:layout>
                <c:manualLayout>
                  <c:x val="-5.3092612728320915E-2"/>
                  <c:y val="0.10293304103272687"/>
                </c:manualLayout>
              </c:layout>
              <c:numFmt formatCode="#,##0.00" sourceLinked="0"/>
            </c:trendlineLbl>
          </c:trendline>
          <c:cat>
            <c:numRef>
              <c:f>BASE!$D$80:$V$80</c:f>
              <c:numCache>
                <c:formatCode>General</c:formatCode>
                <c:ptCount val="19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2020</c:v>
                </c:pt>
                <c:pt idx="17">
                  <c:v>2025</c:v>
                </c:pt>
                <c:pt idx="18">
                  <c:v>2030</c:v>
                </c:pt>
              </c:numCache>
            </c:numRef>
          </c:cat>
          <c:val>
            <c:numRef>
              <c:f>BASE!$D$81:$V$81</c:f>
              <c:numCache>
                <c:formatCode>#,##0</c:formatCode>
                <c:ptCount val="19"/>
                <c:pt idx="0">
                  <c:v>2191759</c:v>
                </c:pt>
                <c:pt idx="1">
                  <c:v>2193763</c:v>
                </c:pt>
                <c:pt idx="2">
                  <c:v>2405192</c:v>
                </c:pt>
                <c:pt idx="3">
                  <c:v>2397883</c:v>
                </c:pt>
                <c:pt idx="4">
                  <c:v>2432332</c:v>
                </c:pt>
                <c:pt idx="5">
                  <c:v>2356742</c:v>
                </c:pt>
                <c:pt idx="6">
                  <c:v>2299928</c:v>
                </c:pt>
                <c:pt idx="7">
                  <c:v>2268675</c:v>
                </c:pt>
                <c:pt idx="8">
                  <c:v>2447532</c:v>
                </c:pt>
                <c:pt idx="9">
                  <c:v>2571311</c:v>
                </c:pt>
                <c:pt idx="10">
                  <c:v>2767662</c:v>
                </c:pt>
                <c:pt idx="11">
                  <c:v>2719408</c:v>
                </c:pt>
                <c:pt idx="12">
                  <c:v>2661226</c:v>
                </c:pt>
                <c:pt idx="13">
                  <c:v>2641874</c:v>
                </c:pt>
                <c:pt idx="14">
                  <c:v>2508396</c:v>
                </c:pt>
                <c:pt idx="15">
                  <c:v>2368466.4400000004</c:v>
                </c:pt>
                <c:pt idx="16">
                  <c:v>1394236.3725000001</c:v>
                </c:pt>
                <c:pt idx="17">
                  <c:v>1077480.7400000002</c:v>
                </c:pt>
                <c:pt idx="18">
                  <c:v>709901.10400000005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899904"/>
        <c:axId val="44895040"/>
      </c:lineChart>
      <c:dateAx>
        <c:axId val="43899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CL"/>
                  <a:t>Año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s-CL"/>
          </a:p>
        </c:txPr>
        <c:crossAx val="44895040"/>
        <c:crosses val="autoZero"/>
        <c:auto val="0"/>
        <c:lblOffset val="100"/>
        <c:baseTimeUnit val="days"/>
        <c:majorUnit val="1"/>
        <c:majorTimeUnit val="days"/>
        <c:minorUnit val="1"/>
        <c:minorTimeUnit val="days"/>
      </c:dateAx>
      <c:valAx>
        <c:axId val="448950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CL"/>
                  <a:t>Toneladas</a:t>
                </a:r>
                <a:r>
                  <a:rPr lang="es-CL" baseline="0"/>
                  <a:t> de Cátodos</a:t>
                </a:r>
                <a:endParaRPr lang="es-CL"/>
              </a:p>
            </c:rich>
          </c:tx>
          <c:layout/>
          <c:overlay val="0"/>
        </c:title>
        <c:numFmt formatCode="#,##0" sourceLinked="1"/>
        <c:majorTickMark val="out"/>
        <c:minorTickMark val="none"/>
        <c:tickLblPos val="nextTo"/>
        <c:crossAx val="43899904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BALANCE</a:t>
            </a:r>
            <a:r>
              <a:rPr lang="es-CL" baseline="0"/>
              <a:t> DE CONSUMO &amp; PRODUCCIÓN DE ACIDO EN CHILE</a:t>
            </a:r>
            <a:endParaRPr lang="es-CL"/>
          </a:p>
        </c:rich>
      </c:tx>
      <c:layout>
        <c:manualLayout>
          <c:xMode val="edge"/>
          <c:yMode val="edge"/>
          <c:x val="0.11109994642913663"/>
          <c:y val="1.6427786205205408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'CASO 1'!$F$45</c:f>
              <c:strCache>
                <c:ptCount val="1"/>
                <c:pt idx="0">
                  <c:v>Consumo Acido</c:v>
                </c:pt>
              </c:strCache>
            </c:strRef>
          </c:tx>
          <c:spPr>
            <a:ln w="15875"/>
          </c:spPr>
          <c:marker>
            <c:symbol val="x"/>
            <c:size val="2"/>
          </c:marker>
          <c:cat>
            <c:numRef>
              <c:f>'CASO 1'!$C$46:$C$77</c:f>
              <c:numCache>
                <c:formatCode>General</c:formatCode>
                <c:ptCount val="32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  <c:pt idx="21">
                  <c:v>2020</c:v>
                </c:pt>
                <c:pt idx="22">
                  <c:v>2021</c:v>
                </c:pt>
                <c:pt idx="23">
                  <c:v>2022</c:v>
                </c:pt>
                <c:pt idx="24">
                  <c:v>2023</c:v>
                </c:pt>
                <c:pt idx="25">
                  <c:v>2024</c:v>
                </c:pt>
                <c:pt idx="26">
                  <c:v>2025</c:v>
                </c:pt>
                <c:pt idx="27">
                  <c:v>2026</c:v>
                </c:pt>
                <c:pt idx="28">
                  <c:v>2027</c:v>
                </c:pt>
                <c:pt idx="29">
                  <c:v>2028</c:v>
                </c:pt>
                <c:pt idx="30">
                  <c:v>2029</c:v>
                </c:pt>
                <c:pt idx="31">
                  <c:v>2030</c:v>
                </c:pt>
              </c:numCache>
            </c:numRef>
          </c:cat>
          <c:val>
            <c:numRef>
              <c:f>'CASO 1'!$F$46:$F$77</c:f>
              <c:numCache>
                <c:formatCode>#,##0</c:formatCode>
                <c:ptCount val="32"/>
                <c:pt idx="0">
                  <c:v>3751887.0731488103</c:v>
                </c:pt>
                <c:pt idx="1">
                  <c:v>4198006.4045825303</c:v>
                </c:pt>
                <c:pt idx="2">
                  <c:v>4287091.6968029495</c:v>
                </c:pt>
                <c:pt idx="3">
                  <c:v>4432412.7157655284</c:v>
                </c:pt>
                <c:pt idx="4">
                  <c:v>5047121.1539275935</c:v>
                </c:pt>
                <c:pt idx="5">
                  <c:v>5038111.2962520402</c:v>
                </c:pt>
                <c:pt idx="6">
                  <c:v>5650975.8220181009</c:v>
                </c:pt>
                <c:pt idx="7">
                  <c:v>5725228.2888907827</c:v>
                </c:pt>
                <c:pt idx="8">
                  <c:v>6157730.5561404834</c:v>
                </c:pt>
                <c:pt idx="9">
                  <c:v>7373746.3198176837</c:v>
                </c:pt>
                <c:pt idx="10">
                  <c:v>7060402.481703111</c:v>
                </c:pt>
                <c:pt idx="11">
                  <c:v>7933278.6659017541</c:v>
                </c:pt>
                <c:pt idx="12">
                  <c:v>8576577.0157263372</c:v>
                </c:pt>
                <c:pt idx="13">
                  <c:v>8591868.7910942305</c:v>
                </c:pt>
                <c:pt idx="14">
                  <c:v>8388998.8187770694</c:v>
                </c:pt>
                <c:pt idx="15">
                  <c:v>8063294.320499463</c:v>
                </c:pt>
                <c:pt idx="16">
                  <c:v>8313470.399999992</c:v>
                </c:pt>
                <c:pt idx="17">
                  <c:v>8117624.288000023</c:v>
                </c:pt>
                <c:pt idx="18">
                  <c:v>7848788.9919999931</c:v>
                </c:pt>
                <c:pt idx="19">
                  <c:v>7517025.1200000197</c:v>
                </c:pt>
                <c:pt idx="20">
                  <c:v>7136086.4639999932</c:v>
                </c:pt>
                <c:pt idx="21">
                  <c:v>6721663.200000016</c:v>
                </c:pt>
                <c:pt idx="22">
                  <c:v>6289554.8159999941</c:v>
                </c:pt>
                <c:pt idx="23">
                  <c:v>5858016.4160000132</c:v>
                </c:pt>
                <c:pt idx="24">
                  <c:v>5443999.1679999949</c:v>
                </c:pt>
                <c:pt idx="25">
                  <c:v>5063653.9200000102</c:v>
                </c:pt>
                <c:pt idx="26">
                  <c:v>4731569.9199999953</c:v>
                </c:pt>
                <c:pt idx="27">
                  <c:v>4458662.7520000087</c:v>
                </c:pt>
                <c:pt idx="28">
                  <c:v>4252592.0639999956</c:v>
                </c:pt>
                <c:pt idx="29">
                  <c:v>4114794.5280000074</c:v>
                </c:pt>
                <c:pt idx="30">
                  <c:v>4040085.631999996</c:v>
                </c:pt>
                <c:pt idx="31">
                  <c:v>4015956.9600000065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'CASO 1'!$G$45</c:f>
              <c:strCache>
                <c:ptCount val="1"/>
                <c:pt idx="0">
                  <c:v>Produccion de Acido</c:v>
                </c:pt>
              </c:strCache>
            </c:strRef>
          </c:tx>
          <c:spPr>
            <a:ln w="9525"/>
          </c:spPr>
          <c:marker>
            <c:symbol val="plus"/>
            <c:size val="3"/>
          </c:marker>
          <c:val>
            <c:numRef>
              <c:f>'CASO 1'!$G$46:$G$77</c:f>
              <c:numCache>
                <c:formatCode>#,##0</c:formatCode>
                <c:ptCount val="32"/>
                <c:pt idx="0">
                  <c:v>3311000</c:v>
                </c:pt>
                <c:pt idx="1">
                  <c:v>3602000</c:v>
                </c:pt>
                <c:pt idx="2">
                  <c:v>3660000</c:v>
                </c:pt>
                <c:pt idx="3">
                  <c:v>3840000</c:v>
                </c:pt>
                <c:pt idx="4">
                  <c:v>4479000</c:v>
                </c:pt>
                <c:pt idx="5">
                  <c:v>4618000</c:v>
                </c:pt>
                <c:pt idx="6">
                  <c:v>5009000</c:v>
                </c:pt>
                <c:pt idx="7">
                  <c:v>5027000</c:v>
                </c:pt>
                <c:pt idx="8">
                  <c:v>4775000</c:v>
                </c:pt>
                <c:pt idx="9">
                  <c:v>4858000</c:v>
                </c:pt>
                <c:pt idx="10">
                  <c:v>5077000</c:v>
                </c:pt>
                <c:pt idx="11">
                  <c:v>5164000</c:v>
                </c:pt>
                <c:pt idx="12">
                  <c:v>5277000</c:v>
                </c:pt>
                <c:pt idx="13">
                  <c:v>5245000</c:v>
                </c:pt>
                <c:pt idx="14">
                  <c:v>5422000</c:v>
                </c:pt>
                <c:pt idx="15">
                  <c:v>5741000</c:v>
                </c:pt>
                <c:pt idx="16">
                  <c:v>5748300.0000000177</c:v>
                </c:pt>
                <c:pt idx="17">
                  <c:v>5869720.0000000009</c:v>
                </c:pt>
                <c:pt idx="18">
                  <c:v>6456692.0000000019</c:v>
                </c:pt>
                <c:pt idx="19">
                  <c:v>6456692.0000000019</c:v>
                </c:pt>
                <c:pt idx="20">
                  <c:v>6456692.0000000019</c:v>
                </c:pt>
                <c:pt idx="21">
                  <c:v>6456692.0000000019</c:v>
                </c:pt>
                <c:pt idx="22">
                  <c:v>6456692.0000000019</c:v>
                </c:pt>
                <c:pt idx="23">
                  <c:v>6456692.0000000019</c:v>
                </c:pt>
                <c:pt idx="24">
                  <c:v>6456692.0000000019</c:v>
                </c:pt>
                <c:pt idx="25">
                  <c:v>6456692.0000000019</c:v>
                </c:pt>
                <c:pt idx="26">
                  <c:v>6456692.0000000019</c:v>
                </c:pt>
                <c:pt idx="27">
                  <c:v>6456692.0000000019</c:v>
                </c:pt>
                <c:pt idx="28">
                  <c:v>6456692.0000000019</c:v>
                </c:pt>
                <c:pt idx="29">
                  <c:v>6456692.0000000019</c:v>
                </c:pt>
                <c:pt idx="30">
                  <c:v>6456692.0000000019</c:v>
                </c:pt>
                <c:pt idx="31">
                  <c:v>6456692.0000000019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831168"/>
        <c:axId val="47852352"/>
      </c:lineChart>
      <c:catAx>
        <c:axId val="45831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CL"/>
                  <a:t>AÑO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s-CL"/>
          </a:p>
        </c:txPr>
        <c:crossAx val="47852352"/>
        <c:crosses val="autoZero"/>
        <c:auto val="1"/>
        <c:lblAlgn val="ctr"/>
        <c:lblOffset val="100"/>
        <c:noMultiLvlLbl val="0"/>
      </c:catAx>
      <c:valAx>
        <c:axId val="478523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CL"/>
                  <a:t>TONELADAS</a:t>
                </a:r>
                <a:r>
                  <a:rPr lang="es-CL" baseline="0"/>
                  <a:t> DE ACIDO</a:t>
                </a:r>
                <a:endParaRPr lang="es-CL"/>
              </a:p>
            </c:rich>
          </c:tx>
          <c:layout/>
          <c:overlay val="0"/>
        </c:title>
        <c:numFmt formatCode="#,##0" sourceLinked="1"/>
        <c:majorTickMark val="out"/>
        <c:minorTickMark val="none"/>
        <c:tickLblPos val="nextTo"/>
        <c:crossAx val="45831168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RELACIÓN DE CONSUMO</a:t>
            </a:r>
            <a:r>
              <a:rPr lang="es-CL" baseline="0"/>
              <a:t> PROYECTADO DE ACIDO </a:t>
            </a:r>
            <a:endParaRPr lang="es-CL"/>
          </a:p>
        </c:rich>
      </c:tx>
      <c:layout>
        <c:manualLayout>
          <c:xMode val="edge"/>
          <c:yMode val="edge"/>
          <c:x val="0.26116392913427955"/>
          <c:y val="3.6206875251634615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rendline>
            <c:trendlineType val="linear"/>
            <c:forward val="20"/>
            <c:dispRSqr val="1"/>
            <c:dispEq val="1"/>
            <c:trendlineLbl>
              <c:layout>
                <c:manualLayout>
                  <c:x val="1.2672424887244823E-2"/>
                  <c:y val="-0.15075111051839818"/>
                </c:manualLayout>
              </c:layout>
              <c:numFmt formatCode="General" sourceLinked="0"/>
            </c:trendlineLbl>
          </c:trendline>
          <c:cat>
            <c:numRef>
              <c:f>'CASO 2'!$C$16:$R$16</c:f>
              <c:numCache>
                <c:formatCode>General</c:formatCode>
                <c:ptCount val="16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</c:numCache>
            </c:numRef>
          </c:cat>
          <c:val>
            <c:numRef>
              <c:f>'CASO 2'!$C$20:$R$20</c:f>
              <c:numCache>
                <c:formatCode>#,##0.00_ ;\-#,##0.00\ </c:formatCode>
                <c:ptCount val="16"/>
                <c:pt idx="0">
                  <c:v>1.7118155203874195</c:v>
                </c:pt>
                <c:pt idx="1">
                  <c:v>1.9136098131760495</c:v>
                </c:pt>
                <c:pt idx="2">
                  <c:v>1.7824322119826399</c:v>
                </c:pt>
                <c:pt idx="3">
                  <c:v>1.8484691353854747</c:v>
                </c:pt>
                <c:pt idx="4">
                  <c:v>2.0750132604955218</c:v>
                </c:pt>
                <c:pt idx="5">
                  <c:v>2.1377440959816729</c:v>
                </c:pt>
                <c:pt idx="6">
                  <c:v>2.4570229250733506</c:v>
                </c:pt>
                <c:pt idx="7">
                  <c:v>2.5236000259582281</c:v>
                </c:pt>
                <c:pt idx="8">
                  <c:v>2.515893788575791</c:v>
                </c:pt>
                <c:pt idx="9">
                  <c:v>2.8676991308393593</c:v>
                </c:pt>
                <c:pt idx="10">
                  <c:v>2.5510349463565678</c:v>
                </c:pt>
                <c:pt idx="11">
                  <c:v>2.9172815060857928</c:v>
                </c:pt>
                <c:pt idx="12">
                  <c:v>3.2227916816258135</c:v>
                </c:pt>
                <c:pt idx="13">
                  <c:v>3.2521871940502201</c:v>
                </c:pt>
                <c:pt idx="14">
                  <c:v>3.3443678026822998</c:v>
                </c:pt>
                <c:pt idx="15">
                  <c:v>3.4856499803307317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833728"/>
        <c:axId val="47855232"/>
      </c:lineChart>
      <c:dateAx>
        <c:axId val="45833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CL"/>
                  <a:t>Año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47855232"/>
        <c:crosses val="autoZero"/>
        <c:auto val="0"/>
        <c:lblOffset val="100"/>
        <c:baseTimeUnit val="days"/>
      </c:dateAx>
      <c:valAx>
        <c:axId val="478552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CL" baseline="0"/>
                  <a:t>Consumo de Acido v/s Producción de Catodos</a:t>
                </a:r>
              </a:p>
              <a:p>
                <a:pPr>
                  <a:defRPr/>
                </a:pPr>
                <a:endParaRPr lang="es-CL"/>
              </a:p>
            </c:rich>
          </c:tx>
          <c:layout>
            <c:manualLayout>
              <c:xMode val="edge"/>
              <c:yMode val="edge"/>
              <c:x val="1.8241039538171352E-2"/>
              <c:y val="0.12938113485588049"/>
            </c:manualLayout>
          </c:layout>
          <c:overlay val="0"/>
        </c:title>
        <c:numFmt formatCode="#,##0.00_ ;\-#,##0.00\ " sourceLinked="1"/>
        <c:majorTickMark val="none"/>
        <c:minorTickMark val="none"/>
        <c:tickLblPos val="nextTo"/>
        <c:crossAx val="45833728"/>
        <c:crosses val="autoZero"/>
        <c:crossBetween val="between"/>
      </c:valAx>
    </c:plotArea>
    <c:legend>
      <c:legendPos val="t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PRODUCCIÓN DE ACIDO 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'CASO 2'!$B$17</c:f>
              <c:strCache>
                <c:ptCount val="1"/>
                <c:pt idx="0">
                  <c:v>PRODUCCIÓN </c:v>
                </c:pt>
              </c:strCache>
            </c:strRef>
          </c:tx>
          <c:trendline>
            <c:trendlineType val="linear"/>
            <c:forward val="17"/>
            <c:dispRSqr val="1"/>
            <c:dispEq val="1"/>
            <c:trendlineLbl>
              <c:layout>
                <c:manualLayout>
                  <c:x val="2.7146478889364424E-2"/>
                  <c:y val="-0.14558498022123756"/>
                </c:manualLayout>
              </c:layout>
              <c:numFmt formatCode="General" sourceLinked="0"/>
            </c:trendlineLbl>
          </c:trendline>
          <c:cat>
            <c:numRef>
              <c:f>'CASO 2'!$K$16:$R$16</c:f>
              <c:numCache>
                <c:formatCode>General</c:formatCode>
                <c:ptCount val="8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</c:numCache>
            </c:numRef>
          </c:cat>
          <c:val>
            <c:numRef>
              <c:f>'CASO 2'!$K$17:$R$17</c:f>
              <c:numCache>
                <c:formatCode>_-* #,##0_-;\-* #,##0_-;_-* "-"??_-;_-@_-</c:formatCode>
                <c:ptCount val="8"/>
                <c:pt idx="0">
                  <c:v>4775</c:v>
                </c:pt>
                <c:pt idx="1">
                  <c:v>4858</c:v>
                </c:pt>
                <c:pt idx="2">
                  <c:v>5077</c:v>
                </c:pt>
                <c:pt idx="3">
                  <c:v>5164</c:v>
                </c:pt>
                <c:pt idx="4">
                  <c:v>5277</c:v>
                </c:pt>
                <c:pt idx="5">
                  <c:v>5245</c:v>
                </c:pt>
                <c:pt idx="6">
                  <c:v>5422</c:v>
                </c:pt>
                <c:pt idx="7">
                  <c:v>5741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303168"/>
        <c:axId val="47856384"/>
      </c:lineChart>
      <c:dateAx>
        <c:axId val="47303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CL"/>
                  <a:t>Año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7856384"/>
        <c:crosses val="autoZero"/>
        <c:auto val="0"/>
        <c:lblOffset val="100"/>
        <c:baseTimeUnit val="days"/>
      </c:dateAx>
      <c:valAx>
        <c:axId val="478563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CL"/>
                  <a:t>[k Ton]</a:t>
                </a:r>
              </a:p>
            </c:rich>
          </c:tx>
          <c:layout/>
          <c:overlay val="0"/>
        </c:title>
        <c:numFmt formatCode="_-* #,##0_-;\-* #,##0_-;_-* &quot;-&quot;??_-;_-@_-" sourceLinked="1"/>
        <c:majorTickMark val="out"/>
        <c:minorTickMark val="none"/>
        <c:tickLblPos val="nextTo"/>
        <c:crossAx val="47303168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PROYECCIÓN</a:t>
            </a:r>
            <a:r>
              <a:rPr lang="en-US" baseline="0"/>
              <a:t> DE PRODUCCIÓN DE CÁTODOS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'CASO 2'!$C$81</c:f>
              <c:strCache>
                <c:ptCount val="1"/>
                <c:pt idx="0">
                  <c:v>Produccion Catodo</c:v>
                </c:pt>
              </c:strCache>
            </c:strRef>
          </c:tx>
          <c:trendline>
            <c:trendlineType val="poly"/>
            <c:order val="5"/>
            <c:dispRSqr val="1"/>
            <c:dispEq val="1"/>
            <c:trendlineLbl>
              <c:layout>
                <c:manualLayout>
                  <c:x val="-5.3092612728320915E-2"/>
                  <c:y val="0.10293304103272687"/>
                </c:manualLayout>
              </c:layout>
              <c:numFmt formatCode="#,##0.00" sourceLinked="0"/>
            </c:trendlineLbl>
          </c:trendline>
          <c:cat>
            <c:numRef>
              <c:f>'CASO 2'!$D$80:$V$80</c:f>
              <c:numCache>
                <c:formatCode>General</c:formatCode>
                <c:ptCount val="19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2020</c:v>
                </c:pt>
                <c:pt idx="17">
                  <c:v>2025</c:v>
                </c:pt>
                <c:pt idx="18">
                  <c:v>2030</c:v>
                </c:pt>
              </c:numCache>
            </c:numRef>
          </c:cat>
          <c:val>
            <c:numRef>
              <c:f>'CASO 2'!$D$81:$V$81</c:f>
              <c:numCache>
                <c:formatCode>#,##0</c:formatCode>
                <c:ptCount val="19"/>
                <c:pt idx="0">
                  <c:v>2191759</c:v>
                </c:pt>
                <c:pt idx="1">
                  <c:v>2193763</c:v>
                </c:pt>
                <c:pt idx="2">
                  <c:v>2405192</c:v>
                </c:pt>
                <c:pt idx="3">
                  <c:v>2397883</c:v>
                </c:pt>
                <c:pt idx="4">
                  <c:v>2432332</c:v>
                </c:pt>
                <c:pt idx="5">
                  <c:v>2356742</c:v>
                </c:pt>
                <c:pt idx="6">
                  <c:v>2299928</c:v>
                </c:pt>
                <c:pt idx="7">
                  <c:v>2268675</c:v>
                </c:pt>
                <c:pt idx="8">
                  <c:v>2447532</c:v>
                </c:pt>
                <c:pt idx="9">
                  <c:v>2571311</c:v>
                </c:pt>
                <c:pt idx="10">
                  <c:v>2767662</c:v>
                </c:pt>
                <c:pt idx="11">
                  <c:v>2719408</c:v>
                </c:pt>
                <c:pt idx="12">
                  <c:v>2661226</c:v>
                </c:pt>
                <c:pt idx="13">
                  <c:v>2641874</c:v>
                </c:pt>
                <c:pt idx="14">
                  <c:v>2508396</c:v>
                </c:pt>
                <c:pt idx="15">
                  <c:v>2368466.4400000004</c:v>
                </c:pt>
                <c:pt idx="16">
                  <c:v>1394236.3725000001</c:v>
                </c:pt>
                <c:pt idx="17">
                  <c:v>1077480.7400000002</c:v>
                </c:pt>
                <c:pt idx="18">
                  <c:v>709901.10400000005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303680"/>
        <c:axId val="47407680"/>
      </c:lineChart>
      <c:dateAx>
        <c:axId val="47303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CL"/>
                  <a:t>Año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s-CL"/>
          </a:p>
        </c:txPr>
        <c:crossAx val="47407680"/>
        <c:crosses val="autoZero"/>
        <c:auto val="0"/>
        <c:lblOffset val="100"/>
        <c:baseTimeUnit val="days"/>
        <c:majorUnit val="1"/>
        <c:majorTimeUnit val="days"/>
        <c:minorUnit val="1"/>
        <c:minorTimeUnit val="days"/>
      </c:dateAx>
      <c:valAx>
        <c:axId val="474076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CL"/>
                  <a:t>Toneladas</a:t>
                </a:r>
                <a:r>
                  <a:rPr lang="es-CL" baseline="0"/>
                  <a:t> de Cátodos</a:t>
                </a:r>
                <a:endParaRPr lang="es-CL"/>
              </a:p>
            </c:rich>
          </c:tx>
          <c:layout/>
          <c:overlay val="0"/>
        </c:title>
        <c:numFmt formatCode="#,##0" sourceLinked="1"/>
        <c:majorTickMark val="out"/>
        <c:minorTickMark val="none"/>
        <c:tickLblPos val="nextTo"/>
        <c:crossAx val="47303680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BALANCE</a:t>
            </a:r>
            <a:r>
              <a:rPr lang="es-CL" baseline="0"/>
              <a:t> DE CONSUMO &amp; PRODUCCIÓN DE ACIDO EN CHILE</a:t>
            </a:r>
            <a:endParaRPr lang="es-CL"/>
          </a:p>
        </c:rich>
      </c:tx>
      <c:layout>
        <c:manualLayout>
          <c:xMode val="edge"/>
          <c:yMode val="edge"/>
          <c:x val="0.11109994642913663"/>
          <c:y val="1.6427786205205408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'CASO 2'!$F$44</c:f>
              <c:strCache>
                <c:ptCount val="1"/>
                <c:pt idx="0">
                  <c:v>Consumo Acido</c:v>
                </c:pt>
              </c:strCache>
            </c:strRef>
          </c:tx>
          <c:spPr>
            <a:ln w="15875"/>
          </c:spPr>
          <c:marker>
            <c:symbol val="x"/>
            <c:size val="2"/>
          </c:marker>
          <c:cat>
            <c:numRef>
              <c:f>'CASO 2'!$C$45:$C$76</c:f>
              <c:numCache>
                <c:formatCode>General</c:formatCode>
                <c:ptCount val="32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  <c:pt idx="21">
                  <c:v>2020</c:v>
                </c:pt>
                <c:pt idx="22">
                  <c:v>2021</c:v>
                </c:pt>
                <c:pt idx="23">
                  <c:v>2022</c:v>
                </c:pt>
                <c:pt idx="24">
                  <c:v>2023</c:v>
                </c:pt>
                <c:pt idx="25">
                  <c:v>2024</c:v>
                </c:pt>
                <c:pt idx="26">
                  <c:v>2025</c:v>
                </c:pt>
                <c:pt idx="27">
                  <c:v>2026</c:v>
                </c:pt>
                <c:pt idx="28">
                  <c:v>2027</c:v>
                </c:pt>
                <c:pt idx="29">
                  <c:v>2028</c:v>
                </c:pt>
                <c:pt idx="30">
                  <c:v>2029</c:v>
                </c:pt>
                <c:pt idx="31">
                  <c:v>2030</c:v>
                </c:pt>
              </c:numCache>
            </c:numRef>
          </c:cat>
          <c:val>
            <c:numRef>
              <c:f>'CASO 2'!$F$45:$F$76</c:f>
              <c:numCache>
                <c:formatCode>#,##0</c:formatCode>
                <c:ptCount val="32"/>
                <c:pt idx="0">
                  <c:v>3751887.0731488103</c:v>
                </c:pt>
                <c:pt idx="1">
                  <c:v>4198006.4045825303</c:v>
                </c:pt>
                <c:pt idx="2">
                  <c:v>4287091.6968029495</c:v>
                </c:pt>
                <c:pt idx="3">
                  <c:v>4432412.7157655284</c:v>
                </c:pt>
                <c:pt idx="4">
                  <c:v>5047121.1539275935</c:v>
                </c:pt>
                <c:pt idx="5">
                  <c:v>5038111.2962520402</c:v>
                </c:pt>
                <c:pt idx="6">
                  <c:v>5650975.8220181009</c:v>
                </c:pt>
                <c:pt idx="7">
                  <c:v>5725228.2888907827</c:v>
                </c:pt>
                <c:pt idx="8">
                  <c:v>6157730.5561404834</c:v>
                </c:pt>
                <c:pt idx="9">
                  <c:v>7373746.3198176837</c:v>
                </c:pt>
                <c:pt idx="10">
                  <c:v>7060402.481703111</c:v>
                </c:pt>
                <c:pt idx="11">
                  <c:v>7933278.6659017541</c:v>
                </c:pt>
                <c:pt idx="12">
                  <c:v>8576577.0157263372</c:v>
                </c:pt>
                <c:pt idx="13">
                  <c:v>8591868.7910942305</c:v>
                </c:pt>
                <c:pt idx="14">
                  <c:v>8388998.8187770694</c:v>
                </c:pt>
                <c:pt idx="15">
                  <c:v>8063294.320499463</c:v>
                </c:pt>
                <c:pt idx="16">
                  <c:v>9144817.439999992</c:v>
                </c:pt>
                <c:pt idx="17">
                  <c:v>8929386.7168000266</c:v>
                </c:pt>
                <c:pt idx="18">
                  <c:v>8633667.891199993</c:v>
                </c:pt>
                <c:pt idx="19">
                  <c:v>8268727.6320000226</c:v>
                </c:pt>
                <c:pt idx="20">
                  <c:v>7849695.1103999931</c:v>
                </c:pt>
                <c:pt idx="21">
                  <c:v>7393829.5200000191</c:v>
                </c:pt>
                <c:pt idx="22">
                  <c:v>6918510.2975999936</c:v>
                </c:pt>
                <c:pt idx="23">
                  <c:v>6443818.0576000148</c:v>
                </c:pt>
                <c:pt idx="24">
                  <c:v>5988399.0847999947</c:v>
                </c:pt>
                <c:pt idx="25">
                  <c:v>5570019.3120000111</c:v>
                </c:pt>
                <c:pt idx="26">
                  <c:v>5204726.9119999958</c:v>
                </c:pt>
                <c:pt idx="27">
                  <c:v>4904529.0272000097</c:v>
                </c:pt>
                <c:pt idx="28">
                  <c:v>4677851.2703999961</c:v>
                </c:pt>
                <c:pt idx="29">
                  <c:v>4526273.9808000084</c:v>
                </c:pt>
                <c:pt idx="30">
                  <c:v>4444094.1951999962</c:v>
                </c:pt>
                <c:pt idx="31">
                  <c:v>4417552.6560000079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'CASO 2'!$G$44</c:f>
              <c:strCache>
                <c:ptCount val="1"/>
                <c:pt idx="0">
                  <c:v>Produccion de Acido</c:v>
                </c:pt>
              </c:strCache>
            </c:strRef>
          </c:tx>
          <c:spPr>
            <a:ln w="9525"/>
          </c:spPr>
          <c:marker>
            <c:symbol val="plus"/>
            <c:size val="3"/>
          </c:marker>
          <c:val>
            <c:numRef>
              <c:f>'CASO 2'!$G$45:$G$76</c:f>
              <c:numCache>
                <c:formatCode>#,##0</c:formatCode>
                <c:ptCount val="32"/>
                <c:pt idx="0">
                  <c:v>3311000</c:v>
                </c:pt>
                <c:pt idx="1">
                  <c:v>3602000</c:v>
                </c:pt>
                <c:pt idx="2">
                  <c:v>3660000</c:v>
                </c:pt>
                <c:pt idx="3">
                  <c:v>3840000</c:v>
                </c:pt>
                <c:pt idx="4">
                  <c:v>4479000</c:v>
                </c:pt>
                <c:pt idx="5">
                  <c:v>4618000</c:v>
                </c:pt>
                <c:pt idx="6">
                  <c:v>5009000</c:v>
                </c:pt>
                <c:pt idx="7">
                  <c:v>5027000</c:v>
                </c:pt>
                <c:pt idx="8">
                  <c:v>4775000</c:v>
                </c:pt>
                <c:pt idx="9">
                  <c:v>4858000</c:v>
                </c:pt>
                <c:pt idx="10">
                  <c:v>5077000</c:v>
                </c:pt>
                <c:pt idx="11">
                  <c:v>5164000</c:v>
                </c:pt>
                <c:pt idx="12">
                  <c:v>5277000</c:v>
                </c:pt>
                <c:pt idx="13">
                  <c:v>5245000</c:v>
                </c:pt>
                <c:pt idx="14">
                  <c:v>5422000</c:v>
                </c:pt>
                <c:pt idx="15">
                  <c:v>5741000</c:v>
                </c:pt>
                <c:pt idx="16">
                  <c:v>5748300.0000000177</c:v>
                </c:pt>
                <c:pt idx="17">
                  <c:v>5869720.0000000009</c:v>
                </c:pt>
                <c:pt idx="18">
                  <c:v>5869720</c:v>
                </c:pt>
                <c:pt idx="19">
                  <c:v>5869720</c:v>
                </c:pt>
                <c:pt idx="20">
                  <c:v>5869720</c:v>
                </c:pt>
                <c:pt idx="21">
                  <c:v>5869720</c:v>
                </c:pt>
                <c:pt idx="22">
                  <c:v>5869720</c:v>
                </c:pt>
                <c:pt idx="23">
                  <c:v>5869720</c:v>
                </c:pt>
                <c:pt idx="24">
                  <c:v>5869720</c:v>
                </c:pt>
                <c:pt idx="25">
                  <c:v>5869720</c:v>
                </c:pt>
                <c:pt idx="26">
                  <c:v>5869720</c:v>
                </c:pt>
                <c:pt idx="27">
                  <c:v>5869720</c:v>
                </c:pt>
                <c:pt idx="28">
                  <c:v>5869720</c:v>
                </c:pt>
                <c:pt idx="29">
                  <c:v>5869720</c:v>
                </c:pt>
                <c:pt idx="30">
                  <c:v>5869720</c:v>
                </c:pt>
                <c:pt idx="31">
                  <c:v>5869720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366144"/>
        <c:axId val="47409408"/>
      </c:lineChart>
      <c:catAx>
        <c:axId val="47366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CL"/>
                  <a:t>AÑO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s-CL"/>
          </a:p>
        </c:txPr>
        <c:crossAx val="47409408"/>
        <c:crosses val="autoZero"/>
        <c:auto val="1"/>
        <c:lblAlgn val="ctr"/>
        <c:lblOffset val="100"/>
        <c:noMultiLvlLbl val="0"/>
      </c:catAx>
      <c:valAx>
        <c:axId val="474094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CL"/>
                  <a:t>TONELADAS</a:t>
                </a:r>
                <a:r>
                  <a:rPr lang="es-CL" baseline="0"/>
                  <a:t> DE ACIDO</a:t>
                </a:r>
                <a:endParaRPr lang="es-CL"/>
              </a:p>
            </c:rich>
          </c:tx>
          <c:layout/>
          <c:overlay val="0"/>
        </c:title>
        <c:numFmt formatCode="#,##0" sourceLinked="1"/>
        <c:majorTickMark val="out"/>
        <c:minorTickMark val="none"/>
        <c:tickLblPos val="nextTo"/>
        <c:crossAx val="47366144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RELACIÓN DE CONSUMO</a:t>
            </a:r>
            <a:r>
              <a:rPr lang="es-CL" baseline="0"/>
              <a:t> PROYECTADO DE ACIDO </a:t>
            </a:r>
            <a:endParaRPr lang="es-CL"/>
          </a:p>
        </c:rich>
      </c:tx>
      <c:layout>
        <c:manualLayout>
          <c:xMode val="edge"/>
          <c:yMode val="edge"/>
          <c:x val="0.26116392913427955"/>
          <c:y val="3.6206875251634615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rendline>
            <c:trendlineType val="linear"/>
            <c:forward val="20"/>
            <c:dispRSqr val="1"/>
            <c:dispEq val="1"/>
            <c:trendlineLbl>
              <c:layout>
                <c:manualLayout>
                  <c:x val="1.2672424887244823E-2"/>
                  <c:y val="-0.15075111051839818"/>
                </c:manualLayout>
              </c:layout>
              <c:numFmt formatCode="General" sourceLinked="0"/>
            </c:trendlineLbl>
          </c:trendline>
          <c:cat>
            <c:numRef>
              <c:f>'CASO 3'!$C$16:$R$16</c:f>
              <c:numCache>
                <c:formatCode>General</c:formatCode>
                <c:ptCount val="16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</c:numCache>
            </c:numRef>
          </c:cat>
          <c:val>
            <c:numRef>
              <c:f>'CASO 3'!$C$20:$R$20</c:f>
              <c:numCache>
                <c:formatCode>#,##0.00_ ;\-#,##0.00\ </c:formatCode>
                <c:ptCount val="16"/>
                <c:pt idx="0">
                  <c:v>1.7118155203874195</c:v>
                </c:pt>
                <c:pt idx="1">
                  <c:v>1.9136098131760495</c:v>
                </c:pt>
                <c:pt idx="2">
                  <c:v>1.7824322119826399</c:v>
                </c:pt>
                <c:pt idx="3">
                  <c:v>1.8484691353854747</c:v>
                </c:pt>
                <c:pt idx="4">
                  <c:v>2.0750132604955218</c:v>
                </c:pt>
                <c:pt idx="5">
                  <c:v>2.1377440959816729</c:v>
                </c:pt>
                <c:pt idx="6">
                  <c:v>2.4570229250733506</c:v>
                </c:pt>
                <c:pt idx="7">
                  <c:v>2.5236000259582281</c:v>
                </c:pt>
                <c:pt idx="8">
                  <c:v>2.515893788575791</c:v>
                </c:pt>
                <c:pt idx="9">
                  <c:v>2.8676991308393593</c:v>
                </c:pt>
                <c:pt idx="10">
                  <c:v>2.5510349463565678</c:v>
                </c:pt>
                <c:pt idx="11">
                  <c:v>2.9172815060857928</c:v>
                </c:pt>
                <c:pt idx="12">
                  <c:v>3.2227916816258135</c:v>
                </c:pt>
                <c:pt idx="13">
                  <c:v>3.2521871940502201</c:v>
                </c:pt>
                <c:pt idx="14">
                  <c:v>3.3443678026822998</c:v>
                </c:pt>
                <c:pt idx="15">
                  <c:v>3.4856499803307317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367680"/>
        <c:axId val="47412288"/>
      </c:lineChart>
      <c:dateAx>
        <c:axId val="47367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CL"/>
                  <a:t>Año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47412288"/>
        <c:crosses val="autoZero"/>
        <c:auto val="0"/>
        <c:lblOffset val="100"/>
        <c:baseTimeUnit val="days"/>
      </c:dateAx>
      <c:valAx>
        <c:axId val="474122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CL" baseline="0"/>
                  <a:t>Consumo de Acido v/s Producción de Catodos</a:t>
                </a:r>
              </a:p>
              <a:p>
                <a:pPr>
                  <a:defRPr/>
                </a:pPr>
                <a:endParaRPr lang="es-CL"/>
              </a:p>
            </c:rich>
          </c:tx>
          <c:layout>
            <c:manualLayout>
              <c:xMode val="edge"/>
              <c:yMode val="edge"/>
              <c:x val="1.8241039538171352E-2"/>
              <c:y val="0.12938113485588049"/>
            </c:manualLayout>
          </c:layout>
          <c:overlay val="0"/>
        </c:title>
        <c:numFmt formatCode="#,##0.00_ ;\-#,##0.00\ " sourceLinked="1"/>
        <c:majorTickMark val="none"/>
        <c:minorTickMark val="none"/>
        <c:tickLblPos val="nextTo"/>
        <c:crossAx val="47367680"/>
        <c:crosses val="autoZero"/>
        <c:crossBetween val="between"/>
      </c:valAx>
    </c:plotArea>
    <c:legend>
      <c:legendPos val="t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PRODUCCIÓN DE ACIDO 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'CASO 3'!$B$17</c:f>
              <c:strCache>
                <c:ptCount val="1"/>
                <c:pt idx="0">
                  <c:v>PRODUCCIÓN </c:v>
                </c:pt>
              </c:strCache>
            </c:strRef>
          </c:tx>
          <c:trendline>
            <c:trendlineType val="linear"/>
            <c:forward val="17"/>
            <c:dispRSqr val="1"/>
            <c:dispEq val="1"/>
            <c:trendlineLbl>
              <c:layout>
                <c:manualLayout>
                  <c:x val="2.7146478889364424E-2"/>
                  <c:y val="-0.14558498022123756"/>
                </c:manualLayout>
              </c:layout>
              <c:numFmt formatCode="General" sourceLinked="0"/>
            </c:trendlineLbl>
          </c:trendline>
          <c:cat>
            <c:numRef>
              <c:f>'CASO 3'!$K$16:$R$16</c:f>
              <c:numCache>
                <c:formatCode>General</c:formatCode>
                <c:ptCount val="8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</c:numCache>
            </c:numRef>
          </c:cat>
          <c:val>
            <c:numRef>
              <c:f>'CASO 3'!$K$17:$R$17</c:f>
              <c:numCache>
                <c:formatCode>_-* #,##0_-;\-* #,##0_-;_-* "-"??_-;_-@_-</c:formatCode>
                <c:ptCount val="8"/>
                <c:pt idx="0">
                  <c:v>4775</c:v>
                </c:pt>
                <c:pt idx="1">
                  <c:v>4858</c:v>
                </c:pt>
                <c:pt idx="2">
                  <c:v>5077</c:v>
                </c:pt>
                <c:pt idx="3">
                  <c:v>5164</c:v>
                </c:pt>
                <c:pt idx="4">
                  <c:v>5277</c:v>
                </c:pt>
                <c:pt idx="5">
                  <c:v>5245</c:v>
                </c:pt>
                <c:pt idx="6">
                  <c:v>5422</c:v>
                </c:pt>
                <c:pt idx="7">
                  <c:v>5741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368704"/>
        <c:axId val="47413440"/>
      </c:lineChart>
      <c:dateAx>
        <c:axId val="47368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CL"/>
                  <a:t>Año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7413440"/>
        <c:crosses val="autoZero"/>
        <c:auto val="0"/>
        <c:lblOffset val="100"/>
        <c:baseTimeUnit val="days"/>
      </c:dateAx>
      <c:valAx>
        <c:axId val="474134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CL"/>
                  <a:t>[k Ton]</a:t>
                </a:r>
              </a:p>
            </c:rich>
          </c:tx>
          <c:layout/>
          <c:overlay val="0"/>
        </c:title>
        <c:numFmt formatCode="_-* #,##0_-;\-* #,##0_-;_-* &quot;-&quot;??_-;_-@_-" sourceLinked="1"/>
        <c:majorTickMark val="out"/>
        <c:minorTickMark val="none"/>
        <c:tickLblPos val="nextTo"/>
        <c:crossAx val="47368704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PROYECCIÓN</a:t>
            </a:r>
            <a:r>
              <a:rPr lang="en-US" baseline="0"/>
              <a:t> DE PRODUCCIÓN DE CÁTODOS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'CASO 3'!$C$81</c:f>
              <c:strCache>
                <c:ptCount val="1"/>
                <c:pt idx="0">
                  <c:v>Produccion Catodo</c:v>
                </c:pt>
              </c:strCache>
            </c:strRef>
          </c:tx>
          <c:trendline>
            <c:trendlineType val="poly"/>
            <c:order val="5"/>
            <c:dispRSqr val="1"/>
            <c:dispEq val="1"/>
            <c:trendlineLbl>
              <c:layout>
                <c:manualLayout>
                  <c:x val="-5.3092612728320915E-2"/>
                  <c:y val="0.10293304103272687"/>
                </c:manualLayout>
              </c:layout>
              <c:numFmt formatCode="#,##0.00" sourceLinked="0"/>
            </c:trendlineLbl>
          </c:trendline>
          <c:cat>
            <c:numRef>
              <c:f>'CASO 3'!$D$80:$V$80</c:f>
              <c:numCache>
                <c:formatCode>General</c:formatCode>
                <c:ptCount val="19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2020</c:v>
                </c:pt>
                <c:pt idx="17">
                  <c:v>2025</c:v>
                </c:pt>
                <c:pt idx="18">
                  <c:v>2030</c:v>
                </c:pt>
              </c:numCache>
            </c:numRef>
          </c:cat>
          <c:val>
            <c:numRef>
              <c:f>'CASO 3'!$D$81:$V$81</c:f>
              <c:numCache>
                <c:formatCode>#,##0</c:formatCode>
                <c:ptCount val="19"/>
                <c:pt idx="0">
                  <c:v>2191759</c:v>
                </c:pt>
                <c:pt idx="1">
                  <c:v>2193763</c:v>
                </c:pt>
                <c:pt idx="2">
                  <c:v>2405192</c:v>
                </c:pt>
                <c:pt idx="3">
                  <c:v>2397883</c:v>
                </c:pt>
                <c:pt idx="4">
                  <c:v>2432332</c:v>
                </c:pt>
                <c:pt idx="5">
                  <c:v>2356742</c:v>
                </c:pt>
                <c:pt idx="6">
                  <c:v>2299928</c:v>
                </c:pt>
                <c:pt idx="7">
                  <c:v>2268675</c:v>
                </c:pt>
                <c:pt idx="8">
                  <c:v>2447532</c:v>
                </c:pt>
                <c:pt idx="9">
                  <c:v>2571311</c:v>
                </c:pt>
                <c:pt idx="10">
                  <c:v>2767662</c:v>
                </c:pt>
                <c:pt idx="11">
                  <c:v>2719408</c:v>
                </c:pt>
                <c:pt idx="12">
                  <c:v>2661226</c:v>
                </c:pt>
                <c:pt idx="13">
                  <c:v>2641874</c:v>
                </c:pt>
                <c:pt idx="14">
                  <c:v>2508396</c:v>
                </c:pt>
                <c:pt idx="15">
                  <c:v>2368466.4400000004</c:v>
                </c:pt>
                <c:pt idx="16">
                  <c:v>1394236.3725000001</c:v>
                </c:pt>
                <c:pt idx="17">
                  <c:v>1077480.7400000002</c:v>
                </c:pt>
                <c:pt idx="18">
                  <c:v>709901.10400000005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369216"/>
        <c:axId val="48021504"/>
      </c:lineChart>
      <c:dateAx>
        <c:axId val="47369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CL"/>
                  <a:t>Año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s-CL"/>
          </a:p>
        </c:txPr>
        <c:crossAx val="48021504"/>
        <c:crosses val="autoZero"/>
        <c:auto val="0"/>
        <c:lblOffset val="100"/>
        <c:baseTimeUnit val="days"/>
        <c:majorUnit val="1"/>
        <c:majorTimeUnit val="days"/>
        <c:minorUnit val="1"/>
        <c:minorTimeUnit val="days"/>
      </c:dateAx>
      <c:valAx>
        <c:axId val="480215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CL"/>
                  <a:t>Toneladas</a:t>
                </a:r>
                <a:r>
                  <a:rPr lang="es-CL" baseline="0"/>
                  <a:t> de Cátodos</a:t>
                </a:r>
                <a:endParaRPr lang="es-CL"/>
              </a:p>
            </c:rich>
          </c:tx>
          <c:layout/>
          <c:overlay val="0"/>
        </c:title>
        <c:numFmt formatCode="#,##0" sourceLinked="1"/>
        <c:majorTickMark val="out"/>
        <c:minorTickMark val="none"/>
        <c:tickLblPos val="nextTo"/>
        <c:crossAx val="47369216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BALANCE</a:t>
            </a:r>
            <a:r>
              <a:rPr lang="es-CL" baseline="0"/>
              <a:t> DE CONSUMO &amp; PRODUCCIÓN DE ACIDO EN CHILE</a:t>
            </a:r>
            <a:endParaRPr lang="es-CL"/>
          </a:p>
        </c:rich>
      </c:tx>
      <c:layout>
        <c:manualLayout>
          <c:xMode val="edge"/>
          <c:yMode val="edge"/>
          <c:x val="0.11109994642913663"/>
          <c:y val="1.6427786205205408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'CASO 3'!$F$44</c:f>
              <c:strCache>
                <c:ptCount val="1"/>
                <c:pt idx="0">
                  <c:v>Consumo Acido</c:v>
                </c:pt>
              </c:strCache>
            </c:strRef>
          </c:tx>
          <c:spPr>
            <a:ln w="15875"/>
          </c:spPr>
          <c:marker>
            <c:symbol val="x"/>
            <c:size val="2"/>
          </c:marker>
          <c:cat>
            <c:numRef>
              <c:f>'CASO 3'!$C$45:$C$76</c:f>
              <c:numCache>
                <c:formatCode>General</c:formatCode>
                <c:ptCount val="32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  <c:pt idx="21">
                  <c:v>2020</c:v>
                </c:pt>
                <c:pt idx="22">
                  <c:v>2021</c:v>
                </c:pt>
                <c:pt idx="23">
                  <c:v>2022</c:v>
                </c:pt>
                <c:pt idx="24">
                  <c:v>2023</c:v>
                </c:pt>
                <c:pt idx="25">
                  <c:v>2024</c:v>
                </c:pt>
                <c:pt idx="26">
                  <c:v>2025</c:v>
                </c:pt>
                <c:pt idx="27">
                  <c:v>2026</c:v>
                </c:pt>
                <c:pt idx="28">
                  <c:v>2027</c:v>
                </c:pt>
                <c:pt idx="29">
                  <c:v>2028</c:v>
                </c:pt>
                <c:pt idx="30">
                  <c:v>2029</c:v>
                </c:pt>
                <c:pt idx="31">
                  <c:v>2030</c:v>
                </c:pt>
              </c:numCache>
            </c:numRef>
          </c:cat>
          <c:val>
            <c:numRef>
              <c:f>'CASO 3'!$F$45:$F$76</c:f>
              <c:numCache>
                <c:formatCode>#,##0</c:formatCode>
                <c:ptCount val="32"/>
                <c:pt idx="0">
                  <c:v>3751887.0731488103</c:v>
                </c:pt>
                <c:pt idx="1">
                  <c:v>4198006.4045825303</c:v>
                </c:pt>
                <c:pt idx="2">
                  <c:v>4287091.6968029495</c:v>
                </c:pt>
                <c:pt idx="3">
                  <c:v>4432412.7157655284</c:v>
                </c:pt>
                <c:pt idx="4">
                  <c:v>5047121.1539275935</c:v>
                </c:pt>
                <c:pt idx="5">
                  <c:v>5038111.2962520402</c:v>
                </c:pt>
                <c:pt idx="6">
                  <c:v>5650975.8220181009</c:v>
                </c:pt>
                <c:pt idx="7">
                  <c:v>5725228.2888907827</c:v>
                </c:pt>
                <c:pt idx="8">
                  <c:v>6157730.5561404834</c:v>
                </c:pt>
                <c:pt idx="9">
                  <c:v>7373746.3198176837</c:v>
                </c:pt>
                <c:pt idx="10">
                  <c:v>7060402.481703111</c:v>
                </c:pt>
                <c:pt idx="11">
                  <c:v>7933278.6659017541</c:v>
                </c:pt>
                <c:pt idx="12">
                  <c:v>8576577.0157263372</c:v>
                </c:pt>
                <c:pt idx="13">
                  <c:v>8591868.7910942305</c:v>
                </c:pt>
                <c:pt idx="14">
                  <c:v>8388998.8187770694</c:v>
                </c:pt>
                <c:pt idx="15">
                  <c:v>8063294.320499463</c:v>
                </c:pt>
                <c:pt idx="16">
                  <c:v>9976164.4799999911</c:v>
                </c:pt>
                <c:pt idx="17">
                  <c:v>9741149.1456000265</c:v>
                </c:pt>
                <c:pt idx="18">
                  <c:v>9418546.790399991</c:v>
                </c:pt>
                <c:pt idx="19">
                  <c:v>9020430.1440000236</c:v>
                </c:pt>
                <c:pt idx="20">
                  <c:v>8563303.7567999922</c:v>
                </c:pt>
                <c:pt idx="21">
                  <c:v>8065995.8400000194</c:v>
                </c:pt>
                <c:pt idx="22">
                  <c:v>7547465.7791999932</c:v>
                </c:pt>
                <c:pt idx="23">
                  <c:v>7029619.6992000155</c:v>
                </c:pt>
                <c:pt idx="24">
                  <c:v>6532799.0015999936</c:v>
                </c:pt>
                <c:pt idx="25">
                  <c:v>6076384.704000012</c:v>
                </c:pt>
                <c:pt idx="26">
                  <c:v>5677883.9039999945</c:v>
                </c:pt>
                <c:pt idx="27">
                  <c:v>5350395.3024000097</c:v>
                </c:pt>
                <c:pt idx="28">
                  <c:v>5103110.4767999956</c:v>
                </c:pt>
                <c:pt idx="29">
                  <c:v>4937753.4336000085</c:v>
                </c:pt>
                <c:pt idx="30">
                  <c:v>4848102.758399995</c:v>
                </c:pt>
                <c:pt idx="31">
                  <c:v>4819148.3520000074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'CASO 3'!$G$44</c:f>
              <c:strCache>
                <c:ptCount val="1"/>
                <c:pt idx="0">
                  <c:v>Produccion de Acido</c:v>
                </c:pt>
              </c:strCache>
            </c:strRef>
          </c:tx>
          <c:spPr>
            <a:ln w="9525"/>
          </c:spPr>
          <c:marker>
            <c:symbol val="plus"/>
            <c:size val="3"/>
          </c:marker>
          <c:val>
            <c:numRef>
              <c:f>'CASO 3'!$G$45:$G$76</c:f>
              <c:numCache>
                <c:formatCode>#,##0</c:formatCode>
                <c:ptCount val="32"/>
                <c:pt idx="0">
                  <c:v>3311000</c:v>
                </c:pt>
                <c:pt idx="1">
                  <c:v>3602000</c:v>
                </c:pt>
                <c:pt idx="2">
                  <c:v>3660000</c:v>
                </c:pt>
                <c:pt idx="3">
                  <c:v>3840000</c:v>
                </c:pt>
                <c:pt idx="4">
                  <c:v>4479000</c:v>
                </c:pt>
                <c:pt idx="5">
                  <c:v>4618000</c:v>
                </c:pt>
                <c:pt idx="6">
                  <c:v>5009000</c:v>
                </c:pt>
                <c:pt idx="7">
                  <c:v>5027000</c:v>
                </c:pt>
                <c:pt idx="8">
                  <c:v>4775000</c:v>
                </c:pt>
                <c:pt idx="9">
                  <c:v>4858000</c:v>
                </c:pt>
                <c:pt idx="10">
                  <c:v>5077000</c:v>
                </c:pt>
                <c:pt idx="11">
                  <c:v>5164000</c:v>
                </c:pt>
                <c:pt idx="12">
                  <c:v>5277000</c:v>
                </c:pt>
                <c:pt idx="13">
                  <c:v>5245000</c:v>
                </c:pt>
                <c:pt idx="14">
                  <c:v>5422000</c:v>
                </c:pt>
                <c:pt idx="15">
                  <c:v>5741000</c:v>
                </c:pt>
                <c:pt idx="16">
                  <c:v>5748300.0000000177</c:v>
                </c:pt>
                <c:pt idx="17">
                  <c:v>5869720.0000000009</c:v>
                </c:pt>
                <c:pt idx="18">
                  <c:v>5869720</c:v>
                </c:pt>
                <c:pt idx="19">
                  <c:v>5869720</c:v>
                </c:pt>
                <c:pt idx="20">
                  <c:v>5869720</c:v>
                </c:pt>
                <c:pt idx="21">
                  <c:v>5869720</c:v>
                </c:pt>
                <c:pt idx="22">
                  <c:v>5869720</c:v>
                </c:pt>
                <c:pt idx="23">
                  <c:v>5869720</c:v>
                </c:pt>
                <c:pt idx="24">
                  <c:v>5869720</c:v>
                </c:pt>
                <c:pt idx="25">
                  <c:v>5869720</c:v>
                </c:pt>
                <c:pt idx="26">
                  <c:v>5869720</c:v>
                </c:pt>
                <c:pt idx="27">
                  <c:v>5869720</c:v>
                </c:pt>
                <c:pt idx="28">
                  <c:v>5869720</c:v>
                </c:pt>
                <c:pt idx="29">
                  <c:v>5869720</c:v>
                </c:pt>
                <c:pt idx="30">
                  <c:v>5869720</c:v>
                </c:pt>
                <c:pt idx="31">
                  <c:v>5869720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369728"/>
        <c:axId val="48023232"/>
      </c:lineChart>
      <c:catAx>
        <c:axId val="47369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CL"/>
                  <a:t>AÑO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s-CL"/>
          </a:p>
        </c:txPr>
        <c:crossAx val="48023232"/>
        <c:crosses val="autoZero"/>
        <c:auto val="1"/>
        <c:lblAlgn val="ctr"/>
        <c:lblOffset val="100"/>
        <c:noMultiLvlLbl val="0"/>
      </c:catAx>
      <c:valAx>
        <c:axId val="480232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CL"/>
                  <a:t>TONELADAS</a:t>
                </a:r>
                <a:r>
                  <a:rPr lang="es-CL" baseline="0"/>
                  <a:t> DE ACIDO</a:t>
                </a:r>
                <a:endParaRPr lang="es-CL"/>
              </a:p>
            </c:rich>
          </c:tx>
          <c:layout/>
          <c:overlay val="0"/>
        </c:title>
        <c:numFmt formatCode="#,##0" sourceLinked="1"/>
        <c:majorTickMark val="out"/>
        <c:minorTickMark val="none"/>
        <c:tickLblPos val="nextTo"/>
        <c:crossAx val="47369728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RELACIÓN DE CONSUMO</a:t>
            </a:r>
            <a:r>
              <a:rPr lang="es-CL" baseline="0"/>
              <a:t> PROYECTADO DE ACIDO </a:t>
            </a:r>
            <a:endParaRPr lang="es-CL"/>
          </a:p>
        </c:rich>
      </c:tx>
      <c:layout>
        <c:manualLayout>
          <c:xMode val="edge"/>
          <c:yMode val="edge"/>
          <c:x val="0.26116392913427955"/>
          <c:y val="3.6206875251634615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rendline>
            <c:trendlineType val="linear"/>
            <c:forward val="20"/>
            <c:dispRSqr val="1"/>
            <c:dispEq val="1"/>
            <c:trendlineLbl>
              <c:layout>
                <c:manualLayout>
                  <c:x val="1.2672424887244823E-2"/>
                  <c:y val="-0.15075111051839818"/>
                </c:manualLayout>
              </c:layout>
              <c:numFmt formatCode="General" sourceLinked="0"/>
            </c:trendlineLbl>
          </c:trendline>
          <c:cat>
            <c:numRef>
              <c:f>'CASO 4'!$C$19:$R$19</c:f>
              <c:numCache>
                <c:formatCode>General</c:formatCode>
                <c:ptCount val="16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</c:numCache>
            </c:numRef>
          </c:cat>
          <c:val>
            <c:numRef>
              <c:f>'CASO 4'!$C$23:$R$23</c:f>
              <c:numCache>
                <c:formatCode>#,##0.00_ ;\-#,##0.00\ </c:formatCode>
                <c:ptCount val="16"/>
                <c:pt idx="0">
                  <c:v>1.7118155203874195</c:v>
                </c:pt>
                <c:pt idx="1">
                  <c:v>1.9136098131760495</c:v>
                </c:pt>
                <c:pt idx="2">
                  <c:v>1.7824322119826399</c:v>
                </c:pt>
                <c:pt idx="3">
                  <c:v>1.8484691353854747</c:v>
                </c:pt>
                <c:pt idx="4">
                  <c:v>2.0750132604955218</c:v>
                </c:pt>
                <c:pt idx="5">
                  <c:v>2.1377440959816729</c:v>
                </c:pt>
                <c:pt idx="6">
                  <c:v>2.4570229250733506</c:v>
                </c:pt>
                <c:pt idx="7">
                  <c:v>2.5236000259582281</c:v>
                </c:pt>
                <c:pt idx="8">
                  <c:v>2.515893788575791</c:v>
                </c:pt>
                <c:pt idx="9">
                  <c:v>2.8676991308393593</c:v>
                </c:pt>
                <c:pt idx="10">
                  <c:v>2.5510349463565678</c:v>
                </c:pt>
                <c:pt idx="11">
                  <c:v>2.9172815060857928</c:v>
                </c:pt>
                <c:pt idx="12">
                  <c:v>3.2227916816258135</c:v>
                </c:pt>
                <c:pt idx="13">
                  <c:v>3.2521871940502201</c:v>
                </c:pt>
                <c:pt idx="14">
                  <c:v>3.3443678026822998</c:v>
                </c:pt>
                <c:pt idx="15">
                  <c:v>3.4856499803307317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304192"/>
        <c:axId val="48026112"/>
      </c:lineChart>
      <c:dateAx>
        <c:axId val="47304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CL"/>
                  <a:t>Año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48026112"/>
        <c:crosses val="autoZero"/>
        <c:auto val="0"/>
        <c:lblOffset val="100"/>
        <c:baseTimeUnit val="days"/>
      </c:dateAx>
      <c:valAx>
        <c:axId val="480261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CL" baseline="0"/>
                  <a:t>Consumo de Acido v/s Producción de Catodos</a:t>
                </a:r>
              </a:p>
              <a:p>
                <a:pPr>
                  <a:defRPr/>
                </a:pPr>
                <a:endParaRPr lang="es-CL"/>
              </a:p>
            </c:rich>
          </c:tx>
          <c:layout>
            <c:manualLayout>
              <c:xMode val="edge"/>
              <c:yMode val="edge"/>
              <c:x val="1.8241039538171352E-2"/>
              <c:y val="0.12938113485588049"/>
            </c:manualLayout>
          </c:layout>
          <c:overlay val="0"/>
        </c:title>
        <c:numFmt formatCode="#,##0.00_ ;\-#,##0.00\ " sourceLinked="1"/>
        <c:majorTickMark val="none"/>
        <c:minorTickMark val="none"/>
        <c:tickLblPos val="nextTo"/>
        <c:crossAx val="47304192"/>
        <c:crosses val="autoZero"/>
        <c:crossBetween val="between"/>
      </c:valAx>
    </c:plotArea>
    <c:legend>
      <c:legendPos val="t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BALANCE</a:t>
            </a:r>
            <a:r>
              <a:rPr lang="es-CL" baseline="0"/>
              <a:t> DE CONSUMO &amp; PRODUCCIÓN DE ACIDO EN CHILE</a:t>
            </a:r>
            <a:endParaRPr lang="es-CL"/>
          </a:p>
        </c:rich>
      </c:tx>
      <c:layout>
        <c:manualLayout>
          <c:xMode val="edge"/>
          <c:yMode val="edge"/>
          <c:x val="0.11109994642913663"/>
          <c:y val="1.6427786205205408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BASE!$F$44</c:f>
              <c:strCache>
                <c:ptCount val="1"/>
                <c:pt idx="0">
                  <c:v>Consumo Acido</c:v>
                </c:pt>
              </c:strCache>
            </c:strRef>
          </c:tx>
          <c:spPr>
            <a:ln w="15875"/>
          </c:spPr>
          <c:marker>
            <c:symbol val="x"/>
            <c:size val="2"/>
          </c:marker>
          <c:cat>
            <c:numRef>
              <c:f>BASE!$C$45:$C$76</c:f>
              <c:numCache>
                <c:formatCode>General</c:formatCode>
                <c:ptCount val="32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  <c:pt idx="21">
                  <c:v>2020</c:v>
                </c:pt>
                <c:pt idx="22">
                  <c:v>2021</c:v>
                </c:pt>
                <c:pt idx="23">
                  <c:v>2022</c:v>
                </c:pt>
                <c:pt idx="24">
                  <c:v>2023</c:v>
                </c:pt>
                <c:pt idx="25">
                  <c:v>2024</c:v>
                </c:pt>
                <c:pt idx="26">
                  <c:v>2025</c:v>
                </c:pt>
                <c:pt idx="27">
                  <c:v>2026</c:v>
                </c:pt>
                <c:pt idx="28">
                  <c:v>2027</c:v>
                </c:pt>
                <c:pt idx="29">
                  <c:v>2028</c:v>
                </c:pt>
                <c:pt idx="30">
                  <c:v>2029</c:v>
                </c:pt>
                <c:pt idx="31">
                  <c:v>2030</c:v>
                </c:pt>
              </c:numCache>
            </c:numRef>
          </c:cat>
          <c:val>
            <c:numRef>
              <c:f>BASE!$F$45:$F$76</c:f>
              <c:numCache>
                <c:formatCode>#,##0</c:formatCode>
                <c:ptCount val="32"/>
                <c:pt idx="0">
                  <c:v>3751887.0731488103</c:v>
                </c:pt>
                <c:pt idx="1">
                  <c:v>4198006.4045825303</c:v>
                </c:pt>
                <c:pt idx="2">
                  <c:v>4287091.6968029495</c:v>
                </c:pt>
                <c:pt idx="3">
                  <c:v>4432412.7157655284</c:v>
                </c:pt>
                <c:pt idx="4">
                  <c:v>5047121.1539275935</c:v>
                </c:pt>
                <c:pt idx="5">
                  <c:v>5038111.2962520402</c:v>
                </c:pt>
                <c:pt idx="6">
                  <c:v>5650975.8220181009</c:v>
                </c:pt>
                <c:pt idx="7">
                  <c:v>5725228.2888907827</c:v>
                </c:pt>
                <c:pt idx="8">
                  <c:v>6157730.5561404834</c:v>
                </c:pt>
                <c:pt idx="9">
                  <c:v>7373746.3198176837</c:v>
                </c:pt>
                <c:pt idx="10">
                  <c:v>7060402.481703111</c:v>
                </c:pt>
                <c:pt idx="11">
                  <c:v>7933278.6659017541</c:v>
                </c:pt>
                <c:pt idx="12">
                  <c:v>8576577.0157263372</c:v>
                </c:pt>
                <c:pt idx="13">
                  <c:v>8591868.7910942305</c:v>
                </c:pt>
                <c:pt idx="14">
                  <c:v>8388998.8187770694</c:v>
                </c:pt>
                <c:pt idx="15">
                  <c:v>8063294.320499463</c:v>
                </c:pt>
                <c:pt idx="16">
                  <c:v>8313470.399999992</c:v>
                </c:pt>
                <c:pt idx="17">
                  <c:v>8117624.288000023</c:v>
                </c:pt>
                <c:pt idx="18">
                  <c:v>7848788.9919999931</c:v>
                </c:pt>
                <c:pt idx="19">
                  <c:v>7517025.1200000197</c:v>
                </c:pt>
                <c:pt idx="20">
                  <c:v>7136086.4639999932</c:v>
                </c:pt>
                <c:pt idx="21">
                  <c:v>6721663.200000016</c:v>
                </c:pt>
                <c:pt idx="22">
                  <c:v>6289554.8159999941</c:v>
                </c:pt>
                <c:pt idx="23">
                  <c:v>5858016.4160000132</c:v>
                </c:pt>
                <c:pt idx="24">
                  <c:v>5443999.1679999949</c:v>
                </c:pt>
                <c:pt idx="25">
                  <c:v>5063653.9200000102</c:v>
                </c:pt>
                <c:pt idx="26">
                  <c:v>4731569.9199999953</c:v>
                </c:pt>
                <c:pt idx="27">
                  <c:v>4458662.7520000087</c:v>
                </c:pt>
                <c:pt idx="28">
                  <c:v>4252592.0639999956</c:v>
                </c:pt>
                <c:pt idx="29">
                  <c:v>4114794.5280000074</c:v>
                </c:pt>
                <c:pt idx="30">
                  <c:v>4040085.631999996</c:v>
                </c:pt>
                <c:pt idx="31">
                  <c:v>4015956.9600000065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BASE!$G$44</c:f>
              <c:strCache>
                <c:ptCount val="1"/>
                <c:pt idx="0">
                  <c:v>Produccion de Acido</c:v>
                </c:pt>
              </c:strCache>
            </c:strRef>
          </c:tx>
          <c:spPr>
            <a:ln w="9525"/>
          </c:spPr>
          <c:marker>
            <c:symbol val="plus"/>
            <c:size val="3"/>
          </c:marker>
          <c:val>
            <c:numRef>
              <c:f>BASE!$G$45:$G$76</c:f>
              <c:numCache>
                <c:formatCode>#,##0</c:formatCode>
                <c:ptCount val="32"/>
                <c:pt idx="0">
                  <c:v>3311000</c:v>
                </c:pt>
                <c:pt idx="1">
                  <c:v>3602000</c:v>
                </c:pt>
                <c:pt idx="2">
                  <c:v>3660000</c:v>
                </c:pt>
                <c:pt idx="3">
                  <c:v>3840000</c:v>
                </c:pt>
                <c:pt idx="4">
                  <c:v>4479000</c:v>
                </c:pt>
                <c:pt idx="5">
                  <c:v>4618000</c:v>
                </c:pt>
                <c:pt idx="6">
                  <c:v>5009000</c:v>
                </c:pt>
                <c:pt idx="7">
                  <c:v>5027000</c:v>
                </c:pt>
                <c:pt idx="8">
                  <c:v>4775000</c:v>
                </c:pt>
                <c:pt idx="9">
                  <c:v>4858000</c:v>
                </c:pt>
                <c:pt idx="10">
                  <c:v>5077000</c:v>
                </c:pt>
                <c:pt idx="11">
                  <c:v>5164000</c:v>
                </c:pt>
                <c:pt idx="12">
                  <c:v>5277000</c:v>
                </c:pt>
                <c:pt idx="13">
                  <c:v>5245000</c:v>
                </c:pt>
                <c:pt idx="14">
                  <c:v>5422000</c:v>
                </c:pt>
                <c:pt idx="15">
                  <c:v>5741000</c:v>
                </c:pt>
                <c:pt idx="16">
                  <c:v>5748300.0000000177</c:v>
                </c:pt>
                <c:pt idx="17">
                  <c:v>5869720.0000000009</c:v>
                </c:pt>
                <c:pt idx="18">
                  <c:v>5869720</c:v>
                </c:pt>
                <c:pt idx="19">
                  <c:v>5869720</c:v>
                </c:pt>
                <c:pt idx="20">
                  <c:v>5869720</c:v>
                </c:pt>
                <c:pt idx="21">
                  <c:v>5869720</c:v>
                </c:pt>
                <c:pt idx="22">
                  <c:v>5869720</c:v>
                </c:pt>
                <c:pt idx="23">
                  <c:v>5869720</c:v>
                </c:pt>
                <c:pt idx="24">
                  <c:v>5869720</c:v>
                </c:pt>
                <c:pt idx="25">
                  <c:v>5869720</c:v>
                </c:pt>
                <c:pt idx="26">
                  <c:v>5869720</c:v>
                </c:pt>
                <c:pt idx="27">
                  <c:v>5869720</c:v>
                </c:pt>
                <c:pt idx="28">
                  <c:v>5869720</c:v>
                </c:pt>
                <c:pt idx="29">
                  <c:v>5869720</c:v>
                </c:pt>
                <c:pt idx="30">
                  <c:v>5869720</c:v>
                </c:pt>
                <c:pt idx="31">
                  <c:v>5869720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223360"/>
        <c:axId val="44896768"/>
      </c:lineChart>
      <c:catAx>
        <c:axId val="150223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CL"/>
                  <a:t>AÑO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s-CL"/>
          </a:p>
        </c:txPr>
        <c:crossAx val="44896768"/>
        <c:crosses val="autoZero"/>
        <c:auto val="1"/>
        <c:lblAlgn val="ctr"/>
        <c:lblOffset val="100"/>
        <c:noMultiLvlLbl val="0"/>
      </c:catAx>
      <c:valAx>
        <c:axId val="448967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CL"/>
                  <a:t>TONELADAS</a:t>
                </a:r>
                <a:r>
                  <a:rPr lang="es-CL" baseline="0"/>
                  <a:t> DE ACIDO</a:t>
                </a:r>
                <a:endParaRPr lang="es-CL"/>
              </a:p>
            </c:rich>
          </c:tx>
          <c:layout/>
          <c:overlay val="0"/>
        </c:title>
        <c:numFmt formatCode="#,##0" sourceLinked="1"/>
        <c:majorTickMark val="out"/>
        <c:minorTickMark val="none"/>
        <c:tickLblPos val="nextTo"/>
        <c:crossAx val="150223360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PRODUCCIÓN DE ACIDO 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'CASO 4'!$B$20</c:f>
              <c:strCache>
                <c:ptCount val="1"/>
                <c:pt idx="0">
                  <c:v>PRODUCCIÓN </c:v>
                </c:pt>
              </c:strCache>
            </c:strRef>
          </c:tx>
          <c:trendline>
            <c:trendlineType val="linear"/>
            <c:forward val="17"/>
            <c:dispRSqr val="1"/>
            <c:dispEq val="1"/>
            <c:trendlineLbl>
              <c:layout>
                <c:manualLayout>
                  <c:x val="2.7146478889364424E-2"/>
                  <c:y val="-0.14558498022123756"/>
                </c:manualLayout>
              </c:layout>
              <c:numFmt formatCode="General" sourceLinked="0"/>
            </c:trendlineLbl>
          </c:trendline>
          <c:cat>
            <c:numRef>
              <c:f>'CASO 4'!$K$19:$R$19</c:f>
              <c:numCache>
                <c:formatCode>General</c:formatCode>
                <c:ptCount val="8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</c:numCache>
            </c:numRef>
          </c:cat>
          <c:val>
            <c:numRef>
              <c:f>'CASO 4'!$K$20:$R$20</c:f>
              <c:numCache>
                <c:formatCode>_-* #,##0_-;\-* #,##0_-;_-* "-"??_-;_-@_-</c:formatCode>
                <c:ptCount val="8"/>
                <c:pt idx="0">
                  <c:v>4775</c:v>
                </c:pt>
                <c:pt idx="1">
                  <c:v>4858</c:v>
                </c:pt>
                <c:pt idx="2">
                  <c:v>5077</c:v>
                </c:pt>
                <c:pt idx="3">
                  <c:v>5164</c:v>
                </c:pt>
                <c:pt idx="4">
                  <c:v>5277</c:v>
                </c:pt>
                <c:pt idx="5">
                  <c:v>5245</c:v>
                </c:pt>
                <c:pt idx="6">
                  <c:v>5422</c:v>
                </c:pt>
                <c:pt idx="7">
                  <c:v>5741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113152"/>
        <c:axId val="48027264"/>
      </c:lineChart>
      <c:dateAx>
        <c:axId val="48113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CL"/>
                  <a:t>Año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8027264"/>
        <c:crosses val="autoZero"/>
        <c:auto val="0"/>
        <c:lblOffset val="100"/>
        <c:baseTimeUnit val="days"/>
      </c:dateAx>
      <c:valAx>
        <c:axId val="480272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CL"/>
                  <a:t>[k Ton]</a:t>
                </a:r>
              </a:p>
            </c:rich>
          </c:tx>
          <c:layout/>
          <c:overlay val="0"/>
        </c:title>
        <c:numFmt formatCode="_-* #,##0_-;\-* #,##0_-;_-* &quot;-&quot;??_-;_-@_-" sourceLinked="1"/>
        <c:majorTickMark val="out"/>
        <c:minorTickMark val="none"/>
        <c:tickLblPos val="nextTo"/>
        <c:crossAx val="48113152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PROYECCIÓN</a:t>
            </a:r>
            <a:r>
              <a:rPr lang="en-US" baseline="0"/>
              <a:t> DE PRODUCCIÓN DE CÁTODOS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'CASO 4'!$C$84</c:f>
              <c:strCache>
                <c:ptCount val="1"/>
                <c:pt idx="0">
                  <c:v>Produccion Catodo</c:v>
                </c:pt>
              </c:strCache>
            </c:strRef>
          </c:tx>
          <c:trendline>
            <c:trendlineType val="poly"/>
            <c:order val="5"/>
            <c:dispRSqr val="1"/>
            <c:dispEq val="1"/>
            <c:trendlineLbl>
              <c:layout>
                <c:manualLayout>
                  <c:x val="-5.3092612728320915E-2"/>
                  <c:y val="0.10293304103272687"/>
                </c:manualLayout>
              </c:layout>
              <c:numFmt formatCode="#,##0.00" sourceLinked="0"/>
            </c:trendlineLbl>
          </c:trendline>
          <c:cat>
            <c:numRef>
              <c:f>'CASO 4'!$D$83:$V$83</c:f>
              <c:numCache>
                <c:formatCode>General</c:formatCode>
                <c:ptCount val="19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2020</c:v>
                </c:pt>
                <c:pt idx="17">
                  <c:v>2025</c:v>
                </c:pt>
                <c:pt idx="18">
                  <c:v>2030</c:v>
                </c:pt>
              </c:numCache>
            </c:numRef>
          </c:cat>
          <c:val>
            <c:numRef>
              <c:f>'CASO 4'!$D$84:$V$84</c:f>
              <c:numCache>
                <c:formatCode>#,##0</c:formatCode>
                <c:ptCount val="19"/>
                <c:pt idx="0">
                  <c:v>2191759</c:v>
                </c:pt>
                <c:pt idx="1">
                  <c:v>2193763</c:v>
                </c:pt>
                <c:pt idx="2">
                  <c:v>2405192</c:v>
                </c:pt>
                <c:pt idx="3">
                  <c:v>2397883</c:v>
                </c:pt>
                <c:pt idx="4">
                  <c:v>2432332</c:v>
                </c:pt>
                <c:pt idx="5">
                  <c:v>2356742</c:v>
                </c:pt>
                <c:pt idx="6">
                  <c:v>2299928</c:v>
                </c:pt>
                <c:pt idx="7">
                  <c:v>2268675</c:v>
                </c:pt>
                <c:pt idx="8">
                  <c:v>2447532</c:v>
                </c:pt>
                <c:pt idx="9">
                  <c:v>2571311</c:v>
                </c:pt>
                <c:pt idx="10">
                  <c:v>2767662</c:v>
                </c:pt>
                <c:pt idx="11">
                  <c:v>2719408</c:v>
                </c:pt>
                <c:pt idx="12">
                  <c:v>2661226</c:v>
                </c:pt>
                <c:pt idx="13">
                  <c:v>2641874</c:v>
                </c:pt>
                <c:pt idx="14">
                  <c:v>2508396</c:v>
                </c:pt>
                <c:pt idx="15">
                  <c:v>2368466.4400000004</c:v>
                </c:pt>
                <c:pt idx="16">
                  <c:v>1394236.3725000001</c:v>
                </c:pt>
                <c:pt idx="17">
                  <c:v>1077480.7400000002</c:v>
                </c:pt>
                <c:pt idx="18">
                  <c:v>709901.10400000005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113664"/>
        <c:axId val="48028992"/>
      </c:lineChart>
      <c:dateAx>
        <c:axId val="48113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CL"/>
                  <a:t>Año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s-CL"/>
          </a:p>
        </c:txPr>
        <c:crossAx val="48028992"/>
        <c:crosses val="autoZero"/>
        <c:auto val="0"/>
        <c:lblOffset val="100"/>
        <c:baseTimeUnit val="days"/>
        <c:majorUnit val="1"/>
        <c:majorTimeUnit val="days"/>
        <c:minorUnit val="1"/>
        <c:minorTimeUnit val="days"/>
      </c:dateAx>
      <c:valAx>
        <c:axId val="480289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CL"/>
                  <a:t>Toneladas</a:t>
                </a:r>
                <a:r>
                  <a:rPr lang="es-CL" baseline="0"/>
                  <a:t> de Cátodos</a:t>
                </a:r>
                <a:endParaRPr lang="es-CL"/>
              </a:p>
            </c:rich>
          </c:tx>
          <c:layout/>
          <c:overlay val="0"/>
        </c:title>
        <c:numFmt formatCode="#,##0" sourceLinked="1"/>
        <c:majorTickMark val="out"/>
        <c:minorTickMark val="none"/>
        <c:tickLblPos val="nextTo"/>
        <c:crossAx val="48113664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BALANCE</a:t>
            </a:r>
            <a:r>
              <a:rPr lang="es-CL" baseline="0"/>
              <a:t> DE CONSUMO &amp; PRODUCCIÓN DE ACIDO EN CHILE</a:t>
            </a:r>
            <a:endParaRPr lang="es-CL"/>
          </a:p>
        </c:rich>
      </c:tx>
      <c:layout>
        <c:manualLayout>
          <c:xMode val="edge"/>
          <c:yMode val="edge"/>
          <c:x val="0.11109994642913663"/>
          <c:y val="1.6427786205205408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Hoja1!$X$3</c:f>
              <c:strCache>
                <c:ptCount val="1"/>
                <c:pt idx="0">
                  <c:v>Consumo Acido</c:v>
                </c:pt>
              </c:strCache>
            </c:strRef>
          </c:tx>
          <c:spPr>
            <a:ln w="15875"/>
          </c:spPr>
          <c:marker>
            <c:symbol val="x"/>
            <c:size val="2"/>
          </c:marker>
          <c:cat>
            <c:numRef>
              <c:f>'CASO 4'!$C$48:$C$79</c:f>
              <c:numCache>
                <c:formatCode>General</c:formatCode>
                <c:ptCount val="32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  <c:pt idx="21">
                  <c:v>2020</c:v>
                </c:pt>
                <c:pt idx="22">
                  <c:v>2021</c:v>
                </c:pt>
                <c:pt idx="23">
                  <c:v>2022</c:v>
                </c:pt>
                <c:pt idx="24">
                  <c:v>2023</c:v>
                </c:pt>
                <c:pt idx="25">
                  <c:v>2024</c:v>
                </c:pt>
                <c:pt idx="26">
                  <c:v>2025</c:v>
                </c:pt>
                <c:pt idx="27">
                  <c:v>2026</c:v>
                </c:pt>
                <c:pt idx="28">
                  <c:v>2027</c:v>
                </c:pt>
                <c:pt idx="29">
                  <c:v>2028</c:v>
                </c:pt>
                <c:pt idx="30">
                  <c:v>2029</c:v>
                </c:pt>
                <c:pt idx="31">
                  <c:v>2030</c:v>
                </c:pt>
              </c:numCache>
            </c:numRef>
          </c:cat>
          <c:val>
            <c:numRef>
              <c:f>Hoja1!$X$4:$X$35</c:f>
              <c:numCache>
                <c:formatCode>#,##0</c:formatCode>
                <c:ptCount val="32"/>
                <c:pt idx="0">
                  <c:v>3751887.0731488103</c:v>
                </c:pt>
                <c:pt idx="1">
                  <c:v>4198006.4045825303</c:v>
                </c:pt>
                <c:pt idx="2">
                  <c:v>4287091.6968029495</c:v>
                </c:pt>
                <c:pt idx="3">
                  <c:v>4432412.7157655284</c:v>
                </c:pt>
                <c:pt idx="4">
                  <c:v>5047121.1539275935</c:v>
                </c:pt>
                <c:pt idx="5">
                  <c:v>5038111.2962520402</c:v>
                </c:pt>
                <c:pt idx="6">
                  <c:v>5650975.8220181009</c:v>
                </c:pt>
                <c:pt idx="7">
                  <c:v>5725228.2888907827</c:v>
                </c:pt>
                <c:pt idx="8">
                  <c:v>6157730.5561404834</c:v>
                </c:pt>
                <c:pt idx="9">
                  <c:v>7373746.3198176837</c:v>
                </c:pt>
                <c:pt idx="10">
                  <c:v>7060402.481703111</c:v>
                </c:pt>
                <c:pt idx="11">
                  <c:v>7933278.6659017541</c:v>
                </c:pt>
                <c:pt idx="12">
                  <c:v>8576577.0157263372</c:v>
                </c:pt>
                <c:pt idx="13">
                  <c:v>8591868.7910942305</c:v>
                </c:pt>
                <c:pt idx="14">
                  <c:v>8388998.8187770694</c:v>
                </c:pt>
                <c:pt idx="15">
                  <c:v>8063294.320499463</c:v>
                </c:pt>
                <c:pt idx="16">
                  <c:v>10973780.92799999</c:v>
                </c:pt>
                <c:pt idx="17">
                  <c:v>10715264.060160032</c:v>
                </c:pt>
                <c:pt idx="18">
                  <c:v>10360401.469439991</c:v>
                </c:pt>
                <c:pt idx="19">
                  <c:v>9922473.1584000271</c:v>
                </c:pt>
                <c:pt idx="20">
                  <c:v>9419634.1324799918</c:v>
                </c:pt>
                <c:pt idx="21">
                  <c:v>8872595.4240000229</c:v>
                </c:pt>
                <c:pt idx="22">
                  <c:v>8302212.3571199924</c:v>
                </c:pt>
                <c:pt idx="23">
                  <c:v>7732581.6691200174</c:v>
                </c:pt>
                <c:pt idx="24">
                  <c:v>7186078.9017599933</c:v>
                </c:pt>
                <c:pt idx="25">
                  <c:v>6684023.1744000139</c:v>
                </c:pt>
                <c:pt idx="26">
                  <c:v>6245672.2943999954</c:v>
                </c:pt>
                <c:pt idx="27">
                  <c:v>5885434.8326400118</c:v>
                </c:pt>
                <c:pt idx="28">
                  <c:v>5613421.5244799955</c:v>
                </c:pt>
                <c:pt idx="29">
                  <c:v>5431528.7769600097</c:v>
                </c:pt>
                <c:pt idx="30">
                  <c:v>5332913.0342399953</c:v>
                </c:pt>
                <c:pt idx="31">
                  <c:v>5301063.1872000089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Hoja1!$Y$3</c:f>
              <c:strCache>
                <c:ptCount val="1"/>
                <c:pt idx="0">
                  <c:v>Produccion de Acido</c:v>
                </c:pt>
              </c:strCache>
            </c:strRef>
          </c:tx>
          <c:spPr>
            <a:ln w="9525"/>
          </c:spPr>
          <c:marker>
            <c:symbol val="plus"/>
            <c:size val="3"/>
          </c:marker>
          <c:val>
            <c:numRef>
              <c:f>Hoja1!$Y$4:$Y$35</c:f>
              <c:numCache>
                <c:formatCode>#,##0</c:formatCode>
                <c:ptCount val="32"/>
                <c:pt idx="0">
                  <c:v>3311000</c:v>
                </c:pt>
                <c:pt idx="1">
                  <c:v>3602000</c:v>
                </c:pt>
                <c:pt idx="2">
                  <c:v>3660000</c:v>
                </c:pt>
                <c:pt idx="3">
                  <c:v>3840000</c:v>
                </c:pt>
                <c:pt idx="4">
                  <c:v>4479000</c:v>
                </c:pt>
                <c:pt idx="5">
                  <c:v>4618000</c:v>
                </c:pt>
                <c:pt idx="6">
                  <c:v>5009000</c:v>
                </c:pt>
                <c:pt idx="7">
                  <c:v>5027000</c:v>
                </c:pt>
                <c:pt idx="8">
                  <c:v>4775000</c:v>
                </c:pt>
                <c:pt idx="9">
                  <c:v>4858000</c:v>
                </c:pt>
                <c:pt idx="10">
                  <c:v>5077000</c:v>
                </c:pt>
                <c:pt idx="11">
                  <c:v>5164000</c:v>
                </c:pt>
                <c:pt idx="12">
                  <c:v>5277000</c:v>
                </c:pt>
                <c:pt idx="13">
                  <c:v>5245000</c:v>
                </c:pt>
                <c:pt idx="14">
                  <c:v>5422000</c:v>
                </c:pt>
                <c:pt idx="15">
                  <c:v>5741000</c:v>
                </c:pt>
                <c:pt idx="16">
                  <c:v>5748300.0000000177</c:v>
                </c:pt>
                <c:pt idx="17">
                  <c:v>5869720.0000000009</c:v>
                </c:pt>
                <c:pt idx="18">
                  <c:v>6456692.0000000019</c:v>
                </c:pt>
                <c:pt idx="19">
                  <c:v>6456692.0000000019</c:v>
                </c:pt>
                <c:pt idx="20">
                  <c:v>6456692.0000000019</c:v>
                </c:pt>
                <c:pt idx="21">
                  <c:v>6456692.0000000019</c:v>
                </c:pt>
                <c:pt idx="22">
                  <c:v>6456692.0000000019</c:v>
                </c:pt>
                <c:pt idx="23">
                  <c:v>6456692.0000000019</c:v>
                </c:pt>
                <c:pt idx="24">
                  <c:v>6456692.0000000019</c:v>
                </c:pt>
                <c:pt idx="25">
                  <c:v>6456692.0000000019</c:v>
                </c:pt>
                <c:pt idx="26">
                  <c:v>6456692.0000000019</c:v>
                </c:pt>
                <c:pt idx="27">
                  <c:v>6456692.0000000019</c:v>
                </c:pt>
                <c:pt idx="28">
                  <c:v>6456692.0000000019</c:v>
                </c:pt>
                <c:pt idx="29">
                  <c:v>6456692.0000000019</c:v>
                </c:pt>
                <c:pt idx="30">
                  <c:v>6456692.0000000019</c:v>
                </c:pt>
                <c:pt idx="31">
                  <c:v>6456692.0000000019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114688"/>
        <c:axId val="48645248"/>
      </c:lineChart>
      <c:catAx>
        <c:axId val="48114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CL"/>
                  <a:t>AÑO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s-CL"/>
          </a:p>
        </c:txPr>
        <c:crossAx val="48645248"/>
        <c:crosses val="autoZero"/>
        <c:auto val="1"/>
        <c:lblAlgn val="ctr"/>
        <c:lblOffset val="100"/>
        <c:noMultiLvlLbl val="0"/>
      </c:catAx>
      <c:valAx>
        <c:axId val="486452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CL"/>
                  <a:t>TONELADAS</a:t>
                </a:r>
                <a:r>
                  <a:rPr lang="es-CL" baseline="0"/>
                  <a:t> DE ACIDO</a:t>
                </a:r>
                <a:endParaRPr lang="es-CL"/>
              </a:p>
            </c:rich>
          </c:tx>
          <c:layout/>
          <c:overlay val="0"/>
        </c:title>
        <c:numFmt formatCode="#,##0" sourceLinked="1"/>
        <c:majorTickMark val="out"/>
        <c:minorTickMark val="none"/>
        <c:tickLblPos val="nextTo"/>
        <c:crossAx val="48114688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MILES TON</a:t>
            </a:r>
            <a:r>
              <a:rPr lang="es-CL" baseline="0"/>
              <a:t> CONSUMIDAS ACIDO </a:t>
            </a:r>
            <a:endParaRPr lang="es-CL"/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OLD!$B$71</c:f>
              <c:strCache>
                <c:ptCount val="1"/>
                <c:pt idx="0">
                  <c:v>PRODUCCIÓN </c:v>
                </c:pt>
              </c:strCache>
            </c:strRef>
          </c:tx>
          <c:invertIfNegative val="0"/>
          <c:cat>
            <c:numRef>
              <c:f>OLD!$C$70:$Q$70</c:f>
              <c:numCache>
                <c:formatCode>General</c:formatCode>
                <c:ptCount val="15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</c:numCache>
            </c:numRef>
          </c:cat>
          <c:val>
            <c:numRef>
              <c:f>OLD!$C$71:$Q$71</c:f>
              <c:numCache>
                <c:formatCode>_-* #,##0_-;\-* #,##0_-;_-* "-"??_-;_-@_-</c:formatCode>
                <c:ptCount val="15"/>
                <c:pt idx="0">
                  <c:v>3311</c:v>
                </c:pt>
                <c:pt idx="1">
                  <c:v>3602</c:v>
                </c:pt>
                <c:pt idx="2">
                  <c:v>3660</c:v>
                </c:pt>
                <c:pt idx="3">
                  <c:v>3840</c:v>
                </c:pt>
                <c:pt idx="4">
                  <c:v>4479</c:v>
                </c:pt>
                <c:pt idx="5">
                  <c:v>4618</c:v>
                </c:pt>
                <c:pt idx="6">
                  <c:v>5009</c:v>
                </c:pt>
                <c:pt idx="7">
                  <c:v>5027</c:v>
                </c:pt>
                <c:pt idx="8">
                  <c:v>4775</c:v>
                </c:pt>
                <c:pt idx="9">
                  <c:v>4858</c:v>
                </c:pt>
                <c:pt idx="10">
                  <c:v>5077</c:v>
                </c:pt>
                <c:pt idx="11">
                  <c:v>5164</c:v>
                </c:pt>
                <c:pt idx="12">
                  <c:v>5277</c:v>
                </c:pt>
                <c:pt idx="13">
                  <c:v>5245</c:v>
                </c:pt>
                <c:pt idx="14">
                  <c:v>5422</c:v>
                </c:pt>
              </c:numCache>
            </c:numRef>
          </c:val>
        </c:ser>
        <c:ser>
          <c:idx val="1"/>
          <c:order val="1"/>
          <c:tx>
            <c:strRef>
              <c:f>OLD!$B$72</c:f>
              <c:strCache>
                <c:ptCount val="1"/>
                <c:pt idx="0">
                  <c:v>IMPORTACIONES</c:v>
                </c:pt>
              </c:strCache>
            </c:strRef>
          </c:tx>
          <c:invertIfNegative val="0"/>
          <c:cat>
            <c:numRef>
              <c:f>OLD!$C$70:$Q$70</c:f>
              <c:numCache>
                <c:formatCode>General</c:formatCode>
                <c:ptCount val="15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</c:numCache>
            </c:numRef>
          </c:cat>
          <c:val>
            <c:numRef>
              <c:f>OLD!$C$72:$Q$72</c:f>
              <c:numCache>
                <c:formatCode>_-* #,##0_-;\-* #,##0_-;_-* "-"??_-;_-@_-</c:formatCode>
                <c:ptCount val="15"/>
                <c:pt idx="0">
                  <c:v>381</c:v>
                </c:pt>
                <c:pt idx="1">
                  <c:v>529</c:v>
                </c:pt>
                <c:pt idx="2">
                  <c:v>559</c:v>
                </c:pt>
                <c:pt idx="3">
                  <c:v>522</c:v>
                </c:pt>
                <c:pt idx="4">
                  <c:v>488</c:v>
                </c:pt>
                <c:pt idx="5">
                  <c:v>340</c:v>
                </c:pt>
                <c:pt idx="6">
                  <c:v>552</c:v>
                </c:pt>
                <c:pt idx="7">
                  <c:v>607</c:v>
                </c:pt>
                <c:pt idx="8">
                  <c:v>1285</c:v>
                </c:pt>
                <c:pt idx="9">
                  <c:v>2399</c:v>
                </c:pt>
                <c:pt idx="10">
                  <c:v>1872</c:v>
                </c:pt>
                <c:pt idx="11">
                  <c:v>2644</c:v>
                </c:pt>
                <c:pt idx="12">
                  <c:v>3164</c:v>
                </c:pt>
                <c:pt idx="13">
                  <c:v>3211</c:v>
                </c:pt>
                <c:pt idx="14">
                  <c:v>2834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shape val="box"/>
        <c:axId val="43897856"/>
        <c:axId val="44899072"/>
        <c:axId val="0"/>
      </c:bar3DChart>
      <c:catAx>
        <c:axId val="43897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s-CL"/>
          </a:p>
        </c:txPr>
        <c:crossAx val="44899072"/>
        <c:crosses val="autoZero"/>
        <c:auto val="1"/>
        <c:lblAlgn val="ctr"/>
        <c:lblOffset val="100"/>
        <c:tickLblSkip val="1"/>
        <c:noMultiLvlLbl val="0"/>
      </c:catAx>
      <c:valAx>
        <c:axId val="448990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CL"/>
                  <a:t>Miles de toneladas Acido </a:t>
                </a:r>
              </a:p>
            </c:rich>
          </c:tx>
          <c:overlay val="0"/>
        </c:title>
        <c:numFmt formatCode="_-* #,##0_-;\-* #,##0_-;_-* &quot;-&quot;??_-;_-@_-" sourceLinked="1"/>
        <c:majorTickMark val="none"/>
        <c:minorTickMark val="none"/>
        <c:tickLblPos val="nextTo"/>
        <c:spPr>
          <a:ln w="9525">
            <a:noFill/>
          </a:ln>
        </c:spPr>
        <c:crossAx val="438978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OLD!$B$73</c:f>
              <c:strCache>
                <c:ptCount val="1"/>
                <c:pt idx="0">
                  <c:v>CONSUMO TOTAL ACÍDO</c:v>
                </c:pt>
              </c:strCache>
            </c:strRef>
          </c:tx>
          <c:trendline>
            <c:spPr>
              <a:effectLst>
                <a:outerShdw blurRad="114300" dist="50800" dir="5400000" algn="ctr" rotWithShape="0">
                  <a:srgbClr val="000000"/>
                </a:outerShdw>
              </a:effectLst>
            </c:spPr>
            <c:trendlineType val="poly"/>
            <c:order val="2"/>
            <c:dispRSqr val="1"/>
            <c:dispEq val="1"/>
            <c:trendlineLbl>
              <c:layout>
                <c:manualLayout>
                  <c:x val="6.4432633420822394E-2"/>
                  <c:y val="0.39778907844852729"/>
                </c:manualLayout>
              </c:layout>
              <c:numFmt formatCode="General" sourceLinked="0"/>
            </c:trendlineLbl>
          </c:trendline>
          <c:cat>
            <c:numRef>
              <c:f>OLD!$C$70:$Q$70</c:f>
              <c:numCache>
                <c:formatCode>General</c:formatCode>
                <c:ptCount val="15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</c:numCache>
            </c:numRef>
          </c:cat>
          <c:val>
            <c:numRef>
              <c:f>OLD!$C$73:$Q$73</c:f>
              <c:numCache>
                <c:formatCode>_-* #,##0_-;\-* #,##0_-;_-* "-"??_-;_-@_-</c:formatCode>
                <c:ptCount val="15"/>
                <c:pt idx="0">
                  <c:v>3692</c:v>
                </c:pt>
                <c:pt idx="1">
                  <c:v>4131</c:v>
                </c:pt>
                <c:pt idx="2">
                  <c:v>4219</c:v>
                </c:pt>
                <c:pt idx="3">
                  <c:v>4362</c:v>
                </c:pt>
                <c:pt idx="4">
                  <c:v>4967</c:v>
                </c:pt>
                <c:pt idx="5">
                  <c:v>4958</c:v>
                </c:pt>
                <c:pt idx="6">
                  <c:v>5561</c:v>
                </c:pt>
                <c:pt idx="7">
                  <c:v>5634</c:v>
                </c:pt>
                <c:pt idx="8">
                  <c:v>6060</c:v>
                </c:pt>
                <c:pt idx="9">
                  <c:v>7257</c:v>
                </c:pt>
                <c:pt idx="10">
                  <c:v>6949</c:v>
                </c:pt>
                <c:pt idx="11">
                  <c:v>7808</c:v>
                </c:pt>
                <c:pt idx="12">
                  <c:v>8441</c:v>
                </c:pt>
                <c:pt idx="13">
                  <c:v>8456</c:v>
                </c:pt>
                <c:pt idx="14">
                  <c:v>8256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740544"/>
        <c:axId val="45302912"/>
      </c:lineChart>
      <c:dateAx>
        <c:axId val="45740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5302912"/>
        <c:crosses val="autoZero"/>
        <c:auto val="0"/>
        <c:lblOffset val="100"/>
        <c:baseTimeUnit val="days"/>
        <c:majorUnit val="1"/>
        <c:majorTimeUnit val="days"/>
      </c:dateAx>
      <c:valAx>
        <c:axId val="453029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CL"/>
                  <a:t>Miles de toneladas Acido</a:t>
                </a:r>
              </a:p>
            </c:rich>
          </c:tx>
          <c:overlay val="0"/>
        </c:title>
        <c:numFmt formatCode="_-* #,##0_-;\-* #,##0_-;_-* &quot;-&quot;??_-;_-@_-" sourceLinked="1"/>
        <c:majorTickMark val="out"/>
        <c:minorTickMark val="none"/>
        <c:tickLblPos val="nextTo"/>
        <c:crossAx val="45740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OLD!$B$73</c:f>
              <c:strCache>
                <c:ptCount val="1"/>
                <c:pt idx="0">
                  <c:v>CONSUMO TOTAL ACÍDO</c:v>
                </c:pt>
              </c:strCache>
            </c:strRef>
          </c:tx>
          <c:trendline>
            <c:spPr>
              <a:effectLst>
                <a:outerShdw blurRad="114300" dist="50800" dir="5400000" algn="ctr" rotWithShape="0">
                  <a:srgbClr val="000000"/>
                </a:outerShdw>
              </a:effectLst>
            </c:spPr>
            <c:trendlineType val="poly"/>
            <c:order val="3"/>
            <c:dispRSqr val="1"/>
            <c:dispEq val="1"/>
            <c:trendlineLbl>
              <c:layout>
                <c:manualLayout>
                  <c:x val="6.4432633420822394E-2"/>
                  <c:y val="0.39778907844852729"/>
                </c:manualLayout>
              </c:layout>
              <c:numFmt formatCode="General" sourceLinked="0"/>
            </c:trendlineLbl>
          </c:trendline>
          <c:cat>
            <c:numRef>
              <c:f>OLD!$C$70:$Q$70</c:f>
              <c:numCache>
                <c:formatCode>General</c:formatCode>
                <c:ptCount val="15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</c:numCache>
            </c:numRef>
          </c:cat>
          <c:val>
            <c:numRef>
              <c:f>OLD!$C$73:$Q$73</c:f>
              <c:numCache>
                <c:formatCode>_-* #,##0_-;\-* #,##0_-;_-* "-"??_-;_-@_-</c:formatCode>
                <c:ptCount val="15"/>
                <c:pt idx="0">
                  <c:v>3692</c:v>
                </c:pt>
                <c:pt idx="1">
                  <c:v>4131</c:v>
                </c:pt>
                <c:pt idx="2">
                  <c:v>4219</c:v>
                </c:pt>
                <c:pt idx="3">
                  <c:v>4362</c:v>
                </c:pt>
                <c:pt idx="4">
                  <c:v>4967</c:v>
                </c:pt>
                <c:pt idx="5">
                  <c:v>4958</c:v>
                </c:pt>
                <c:pt idx="6">
                  <c:v>5561</c:v>
                </c:pt>
                <c:pt idx="7">
                  <c:v>5634</c:v>
                </c:pt>
                <c:pt idx="8">
                  <c:v>6060</c:v>
                </c:pt>
                <c:pt idx="9">
                  <c:v>7257</c:v>
                </c:pt>
                <c:pt idx="10">
                  <c:v>6949</c:v>
                </c:pt>
                <c:pt idx="11">
                  <c:v>7808</c:v>
                </c:pt>
                <c:pt idx="12">
                  <c:v>8441</c:v>
                </c:pt>
                <c:pt idx="13">
                  <c:v>8456</c:v>
                </c:pt>
                <c:pt idx="14">
                  <c:v>8256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741056"/>
        <c:axId val="45304640"/>
      </c:lineChart>
      <c:dateAx>
        <c:axId val="45741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5304640"/>
        <c:crosses val="autoZero"/>
        <c:auto val="0"/>
        <c:lblOffset val="100"/>
        <c:baseTimeUnit val="days"/>
        <c:majorUnit val="1"/>
        <c:majorTimeUnit val="days"/>
      </c:dateAx>
      <c:valAx>
        <c:axId val="453046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CL"/>
                  <a:t>Miles de toneladas Acido</a:t>
                </a:r>
              </a:p>
            </c:rich>
          </c:tx>
          <c:overlay val="0"/>
        </c:title>
        <c:numFmt formatCode="_-* #,##0_-;\-* #,##0_-;_-* &quot;-&quot;??_-;_-@_-" sourceLinked="1"/>
        <c:majorTickMark val="out"/>
        <c:minorTickMark val="none"/>
        <c:tickLblPos val="nextTo"/>
        <c:crossAx val="45741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OLD!$B$73</c:f>
              <c:strCache>
                <c:ptCount val="1"/>
                <c:pt idx="0">
                  <c:v>CONSUMO TOTAL ACÍDO</c:v>
                </c:pt>
              </c:strCache>
            </c:strRef>
          </c:tx>
          <c:trendline>
            <c:spPr>
              <a:effectLst>
                <a:outerShdw blurRad="114300" dist="50800" dir="5400000" algn="ctr" rotWithShape="0">
                  <a:srgbClr val="000000"/>
                </a:outerShdw>
              </a:effectLst>
            </c:spPr>
            <c:trendlineType val="poly"/>
            <c:order val="4"/>
            <c:dispRSqr val="1"/>
            <c:dispEq val="1"/>
            <c:trendlineLbl>
              <c:layout>
                <c:manualLayout>
                  <c:x val="6.4432633420822394E-2"/>
                  <c:y val="0.39778907844852729"/>
                </c:manualLayout>
              </c:layout>
              <c:numFmt formatCode="General" sourceLinked="0"/>
            </c:trendlineLbl>
          </c:trendline>
          <c:cat>
            <c:numRef>
              <c:f>OLD!$C$70:$Q$70</c:f>
              <c:numCache>
                <c:formatCode>General</c:formatCode>
                <c:ptCount val="15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</c:numCache>
            </c:numRef>
          </c:cat>
          <c:val>
            <c:numRef>
              <c:f>OLD!$C$73:$Q$73</c:f>
              <c:numCache>
                <c:formatCode>_-* #,##0_-;\-* #,##0_-;_-* "-"??_-;_-@_-</c:formatCode>
                <c:ptCount val="15"/>
                <c:pt idx="0">
                  <c:v>3692</c:v>
                </c:pt>
                <c:pt idx="1">
                  <c:v>4131</c:v>
                </c:pt>
                <c:pt idx="2">
                  <c:v>4219</c:v>
                </c:pt>
                <c:pt idx="3">
                  <c:v>4362</c:v>
                </c:pt>
                <c:pt idx="4">
                  <c:v>4967</c:v>
                </c:pt>
                <c:pt idx="5">
                  <c:v>4958</c:v>
                </c:pt>
                <c:pt idx="6">
                  <c:v>5561</c:v>
                </c:pt>
                <c:pt idx="7">
                  <c:v>5634</c:v>
                </c:pt>
                <c:pt idx="8">
                  <c:v>6060</c:v>
                </c:pt>
                <c:pt idx="9">
                  <c:v>7257</c:v>
                </c:pt>
                <c:pt idx="10">
                  <c:v>6949</c:v>
                </c:pt>
                <c:pt idx="11">
                  <c:v>7808</c:v>
                </c:pt>
                <c:pt idx="12">
                  <c:v>8441</c:v>
                </c:pt>
                <c:pt idx="13">
                  <c:v>8456</c:v>
                </c:pt>
                <c:pt idx="14">
                  <c:v>8256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741568"/>
        <c:axId val="45306368"/>
      </c:lineChart>
      <c:dateAx>
        <c:axId val="45741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5306368"/>
        <c:crosses val="autoZero"/>
        <c:auto val="0"/>
        <c:lblOffset val="100"/>
        <c:baseTimeUnit val="days"/>
        <c:majorUnit val="1"/>
        <c:majorTimeUnit val="days"/>
      </c:dateAx>
      <c:valAx>
        <c:axId val="453063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CL"/>
                  <a:t>Miles de toneladas Acido</a:t>
                </a:r>
              </a:p>
            </c:rich>
          </c:tx>
          <c:overlay val="0"/>
        </c:title>
        <c:numFmt formatCode="_-* #,##0_-;\-* #,##0_-;_-* &quot;-&quot;??_-;_-@_-" sourceLinked="1"/>
        <c:majorTickMark val="out"/>
        <c:minorTickMark val="none"/>
        <c:tickLblPos val="nextTo"/>
        <c:crossAx val="45741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OLD!$B$73</c:f>
              <c:strCache>
                <c:ptCount val="1"/>
                <c:pt idx="0">
                  <c:v>CONSUMO TOTAL ACÍDO</c:v>
                </c:pt>
              </c:strCache>
            </c:strRef>
          </c:tx>
          <c:trendline>
            <c:spPr>
              <a:effectLst>
                <a:outerShdw blurRad="114300" dist="50800" dir="5400000" algn="ctr" rotWithShape="0">
                  <a:srgbClr val="000000"/>
                </a:outerShdw>
              </a:effectLst>
            </c:spPr>
            <c:trendlineType val="poly"/>
            <c:order val="5"/>
            <c:dispRSqr val="1"/>
            <c:dispEq val="1"/>
            <c:trendlineLbl>
              <c:layout>
                <c:manualLayout>
                  <c:x val="6.4432633420822394E-2"/>
                  <c:y val="0.39778907844852729"/>
                </c:manualLayout>
              </c:layout>
              <c:numFmt formatCode="General" sourceLinked="0"/>
            </c:trendlineLbl>
          </c:trendline>
          <c:cat>
            <c:numRef>
              <c:f>OLD!$C$70:$Q$70</c:f>
              <c:numCache>
                <c:formatCode>General</c:formatCode>
                <c:ptCount val="15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</c:numCache>
            </c:numRef>
          </c:cat>
          <c:val>
            <c:numRef>
              <c:f>OLD!$C$73:$Q$73</c:f>
              <c:numCache>
                <c:formatCode>_-* #,##0_-;\-* #,##0_-;_-* "-"??_-;_-@_-</c:formatCode>
                <c:ptCount val="15"/>
                <c:pt idx="0">
                  <c:v>3692</c:v>
                </c:pt>
                <c:pt idx="1">
                  <c:v>4131</c:v>
                </c:pt>
                <c:pt idx="2">
                  <c:v>4219</c:v>
                </c:pt>
                <c:pt idx="3">
                  <c:v>4362</c:v>
                </c:pt>
                <c:pt idx="4">
                  <c:v>4967</c:v>
                </c:pt>
                <c:pt idx="5">
                  <c:v>4958</c:v>
                </c:pt>
                <c:pt idx="6">
                  <c:v>5561</c:v>
                </c:pt>
                <c:pt idx="7">
                  <c:v>5634</c:v>
                </c:pt>
                <c:pt idx="8">
                  <c:v>6060</c:v>
                </c:pt>
                <c:pt idx="9">
                  <c:v>7257</c:v>
                </c:pt>
                <c:pt idx="10">
                  <c:v>6949</c:v>
                </c:pt>
                <c:pt idx="11">
                  <c:v>7808</c:v>
                </c:pt>
                <c:pt idx="12">
                  <c:v>8441</c:v>
                </c:pt>
                <c:pt idx="13">
                  <c:v>8456</c:v>
                </c:pt>
                <c:pt idx="14">
                  <c:v>8256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742080"/>
        <c:axId val="45308096"/>
      </c:lineChart>
      <c:dateAx>
        <c:axId val="45742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5308096"/>
        <c:crosses val="autoZero"/>
        <c:auto val="0"/>
        <c:lblOffset val="100"/>
        <c:baseTimeUnit val="days"/>
        <c:majorUnit val="1"/>
        <c:majorTimeUnit val="days"/>
      </c:dateAx>
      <c:valAx>
        <c:axId val="453080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CL"/>
                  <a:t>Miles de toneladas Acido</a:t>
                </a:r>
              </a:p>
            </c:rich>
          </c:tx>
          <c:overlay val="0"/>
        </c:title>
        <c:numFmt formatCode="_-* #,##0_-;\-* #,##0_-;_-* &quot;-&quot;??_-;_-@_-" sourceLinked="1"/>
        <c:majorTickMark val="out"/>
        <c:minorTickMark val="none"/>
        <c:tickLblPos val="nextTo"/>
        <c:crossAx val="45742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.xml"/><Relationship Id="rId13" Type="http://schemas.openxmlformats.org/officeDocument/2006/relationships/chart" Target="../charts/chart17.xml"/><Relationship Id="rId18" Type="http://schemas.openxmlformats.org/officeDocument/2006/relationships/chart" Target="../charts/chart22.xml"/><Relationship Id="rId3" Type="http://schemas.openxmlformats.org/officeDocument/2006/relationships/chart" Target="../charts/chart7.xml"/><Relationship Id="rId21" Type="http://schemas.openxmlformats.org/officeDocument/2006/relationships/chart" Target="../charts/chart25.xml"/><Relationship Id="rId7" Type="http://schemas.openxmlformats.org/officeDocument/2006/relationships/chart" Target="../charts/chart11.xml"/><Relationship Id="rId12" Type="http://schemas.openxmlformats.org/officeDocument/2006/relationships/chart" Target="../charts/chart16.xml"/><Relationship Id="rId17" Type="http://schemas.openxmlformats.org/officeDocument/2006/relationships/chart" Target="../charts/chart21.xml"/><Relationship Id="rId2" Type="http://schemas.openxmlformats.org/officeDocument/2006/relationships/chart" Target="../charts/chart6.xml"/><Relationship Id="rId16" Type="http://schemas.openxmlformats.org/officeDocument/2006/relationships/chart" Target="../charts/chart20.xml"/><Relationship Id="rId20" Type="http://schemas.openxmlformats.org/officeDocument/2006/relationships/chart" Target="../charts/chart24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11" Type="http://schemas.openxmlformats.org/officeDocument/2006/relationships/chart" Target="../charts/chart15.xml"/><Relationship Id="rId5" Type="http://schemas.openxmlformats.org/officeDocument/2006/relationships/chart" Target="../charts/chart9.xml"/><Relationship Id="rId15" Type="http://schemas.openxmlformats.org/officeDocument/2006/relationships/chart" Target="../charts/chart19.xml"/><Relationship Id="rId10" Type="http://schemas.openxmlformats.org/officeDocument/2006/relationships/chart" Target="../charts/chart14.xml"/><Relationship Id="rId19" Type="http://schemas.openxmlformats.org/officeDocument/2006/relationships/chart" Target="../charts/chart23.xml"/><Relationship Id="rId4" Type="http://schemas.openxmlformats.org/officeDocument/2006/relationships/chart" Target="../charts/chart8.xml"/><Relationship Id="rId9" Type="http://schemas.openxmlformats.org/officeDocument/2006/relationships/chart" Target="../charts/chart13.xml"/><Relationship Id="rId14" Type="http://schemas.openxmlformats.org/officeDocument/2006/relationships/chart" Target="../charts/chart18.xml"/><Relationship Id="rId22" Type="http://schemas.openxmlformats.org/officeDocument/2006/relationships/chart" Target="../charts/chart2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Relationship Id="rId4" Type="http://schemas.openxmlformats.org/officeDocument/2006/relationships/chart" Target="../charts/chart30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Relationship Id="rId4" Type="http://schemas.openxmlformats.org/officeDocument/2006/relationships/chart" Target="../charts/chart3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7.xml"/><Relationship Id="rId2" Type="http://schemas.openxmlformats.org/officeDocument/2006/relationships/chart" Target="../charts/chart36.xml"/><Relationship Id="rId1" Type="http://schemas.openxmlformats.org/officeDocument/2006/relationships/chart" Target="../charts/chart35.xml"/><Relationship Id="rId4" Type="http://schemas.openxmlformats.org/officeDocument/2006/relationships/chart" Target="../charts/chart3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1.xml"/><Relationship Id="rId2" Type="http://schemas.openxmlformats.org/officeDocument/2006/relationships/chart" Target="../charts/chart40.xml"/><Relationship Id="rId1" Type="http://schemas.openxmlformats.org/officeDocument/2006/relationships/chart" Target="../charts/chart39.xml"/><Relationship Id="rId4" Type="http://schemas.openxmlformats.org/officeDocument/2006/relationships/chart" Target="../charts/chart4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952498</xdr:colOff>
      <xdr:row>23</xdr:row>
      <xdr:rowOff>40820</xdr:rowOff>
    </xdr:from>
    <xdr:to>
      <xdr:col>7</xdr:col>
      <xdr:colOff>843642</xdr:colOff>
      <xdr:row>39</xdr:row>
      <xdr:rowOff>149679</xdr:rowOff>
    </xdr:to>
    <xdr:graphicFrame macro="">
      <xdr:nvGraphicFramePr>
        <xdr:cNvPr id="20" name="19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1061357</xdr:colOff>
      <xdr:row>23</xdr:row>
      <xdr:rowOff>54429</xdr:rowOff>
    </xdr:from>
    <xdr:to>
      <xdr:col>13</xdr:col>
      <xdr:colOff>544286</xdr:colOff>
      <xdr:row>38</xdr:row>
      <xdr:rowOff>176893</xdr:rowOff>
    </xdr:to>
    <xdr:graphicFrame macro="">
      <xdr:nvGraphicFramePr>
        <xdr:cNvPr id="21" name="20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792390</xdr:colOff>
      <xdr:row>23</xdr:row>
      <xdr:rowOff>73931</xdr:rowOff>
    </xdr:from>
    <xdr:to>
      <xdr:col>20</xdr:col>
      <xdr:colOff>639536</xdr:colOff>
      <xdr:row>48</xdr:row>
      <xdr:rowOff>135164</xdr:rowOff>
    </xdr:to>
    <xdr:graphicFrame macro="">
      <xdr:nvGraphicFramePr>
        <xdr:cNvPr id="22" name="2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46263</xdr:colOff>
      <xdr:row>23</xdr:row>
      <xdr:rowOff>58507</xdr:rowOff>
    </xdr:from>
    <xdr:to>
      <xdr:col>31</xdr:col>
      <xdr:colOff>253093</xdr:colOff>
      <xdr:row>50</xdr:row>
      <xdr:rowOff>97970</xdr:rowOff>
    </xdr:to>
    <xdr:graphicFrame macro="">
      <xdr:nvGraphicFramePr>
        <xdr:cNvPr id="23" name="2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476250</xdr:colOff>
      <xdr:row>75</xdr:row>
      <xdr:rowOff>14287</xdr:rowOff>
    </xdr:from>
    <xdr:to>
      <xdr:col>5</xdr:col>
      <xdr:colOff>838200</xdr:colOff>
      <xdr:row>89</xdr:row>
      <xdr:rowOff>90487</xdr:rowOff>
    </xdr:to>
    <xdr:graphicFrame macro="">
      <xdr:nvGraphicFramePr>
        <xdr:cNvPr id="5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238125</xdr:colOff>
      <xdr:row>75</xdr:row>
      <xdr:rowOff>28575</xdr:rowOff>
    </xdr:from>
    <xdr:to>
      <xdr:col>11</xdr:col>
      <xdr:colOff>428625</xdr:colOff>
      <xdr:row>89</xdr:row>
      <xdr:rowOff>104775</xdr:rowOff>
    </xdr:to>
    <xdr:graphicFrame macro="">
      <xdr:nvGraphicFramePr>
        <xdr:cNvPr id="4" name="3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75</xdr:row>
      <xdr:rowOff>0</xdr:rowOff>
    </xdr:from>
    <xdr:to>
      <xdr:col>17</xdr:col>
      <xdr:colOff>190500</xdr:colOff>
      <xdr:row>89</xdr:row>
      <xdr:rowOff>76200</xdr:rowOff>
    </xdr:to>
    <xdr:graphicFrame macro="">
      <xdr:nvGraphicFramePr>
        <xdr:cNvPr id="6" name="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0</xdr:colOff>
      <xdr:row>75</xdr:row>
      <xdr:rowOff>0</xdr:rowOff>
    </xdr:from>
    <xdr:to>
      <xdr:col>23</xdr:col>
      <xdr:colOff>714375</xdr:colOff>
      <xdr:row>89</xdr:row>
      <xdr:rowOff>76200</xdr:rowOff>
    </xdr:to>
    <xdr:graphicFrame macro="">
      <xdr:nvGraphicFramePr>
        <xdr:cNvPr id="7" name="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0</xdr:colOff>
      <xdr:row>75</xdr:row>
      <xdr:rowOff>0</xdr:rowOff>
    </xdr:from>
    <xdr:to>
      <xdr:col>30</xdr:col>
      <xdr:colOff>714375</xdr:colOff>
      <xdr:row>89</xdr:row>
      <xdr:rowOff>76200</xdr:rowOff>
    </xdr:to>
    <xdr:graphicFrame macro="">
      <xdr:nvGraphicFramePr>
        <xdr:cNvPr id="8" name="7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32</xdr:col>
      <xdr:colOff>0</xdr:colOff>
      <xdr:row>75</xdr:row>
      <xdr:rowOff>0</xdr:rowOff>
    </xdr:from>
    <xdr:to>
      <xdr:col>37</xdr:col>
      <xdr:colOff>742950</xdr:colOff>
      <xdr:row>89</xdr:row>
      <xdr:rowOff>76200</xdr:rowOff>
    </xdr:to>
    <xdr:graphicFrame macro="">
      <xdr:nvGraphicFramePr>
        <xdr:cNvPr id="10" name="9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49</xdr:row>
      <xdr:rowOff>0</xdr:rowOff>
    </xdr:from>
    <xdr:to>
      <xdr:col>5</xdr:col>
      <xdr:colOff>361950</xdr:colOff>
      <xdr:row>63</xdr:row>
      <xdr:rowOff>76200</xdr:rowOff>
    </xdr:to>
    <xdr:graphicFrame macro="">
      <xdr:nvGraphicFramePr>
        <xdr:cNvPr id="11" name="10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95250</xdr:colOff>
      <xdr:row>48</xdr:row>
      <xdr:rowOff>171450</xdr:rowOff>
    </xdr:from>
    <xdr:to>
      <xdr:col>11</xdr:col>
      <xdr:colOff>285750</xdr:colOff>
      <xdr:row>63</xdr:row>
      <xdr:rowOff>57150</xdr:rowOff>
    </xdr:to>
    <xdr:graphicFrame macro="">
      <xdr:nvGraphicFramePr>
        <xdr:cNvPr id="12" name="1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0</xdr:colOff>
      <xdr:row>49</xdr:row>
      <xdr:rowOff>0</xdr:rowOff>
    </xdr:from>
    <xdr:to>
      <xdr:col>17</xdr:col>
      <xdr:colOff>190500</xdr:colOff>
      <xdr:row>63</xdr:row>
      <xdr:rowOff>76200</xdr:rowOff>
    </xdr:to>
    <xdr:graphicFrame macro="">
      <xdr:nvGraphicFramePr>
        <xdr:cNvPr id="13" name="1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0</xdr:colOff>
      <xdr:row>49</xdr:row>
      <xdr:rowOff>0</xdr:rowOff>
    </xdr:from>
    <xdr:to>
      <xdr:col>23</xdr:col>
      <xdr:colOff>714375</xdr:colOff>
      <xdr:row>63</xdr:row>
      <xdr:rowOff>76200</xdr:rowOff>
    </xdr:to>
    <xdr:graphicFrame macro="">
      <xdr:nvGraphicFramePr>
        <xdr:cNvPr id="14" name="13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25</xdr:col>
      <xdr:colOff>0</xdr:colOff>
      <xdr:row>49</xdr:row>
      <xdr:rowOff>0</xdr:rowOff>
    </xdr:from>
    <xdr:to>
      <xdr:col>30</xdr:col>
      <xdr:colOff>714375</xdr:colOff>
      <xdr:row>63</xdr:row>
      <xdr:rowOff>76200</xdr:rowOff>
    </xdr:to>
    <xdr:graphicFrame macro="">
      <xdr:nvGraphicFramePr>
        <xdr:cNvPr id="15" name="1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32</xdr:col>
      <xdr:colOff>0</xdr:colOff>
      <xdr:row>49</xdr:row>
      <xdr:rowOff>0</xdr:rowOff>
    </xdr:from>
    <xdr:to>
      <xdr:col>37</xdr:col>
      <xdr:colOff>742950</xdr:colOff>
      <xdr:row>63</xdr:row>
      <xdr:rowOff>76200</xdr:rowOff>
    </xdr:to>
    <xdr:graphicFrame macro="">
      <xdr:nvGraphicFramePr>
        <xdr:cNvPr id="16" name="1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0</xdr:colOff>
      <xdr:row>14</xdr:row>
      <xdr:rowOff>0</xdr:rowOff>
    </xdr:from>
    <xdr:to>
      <xdr:col>6</xdr:col>
      <xdr:colOff>762000</xdr:colOff>
      <xdr:row>37</xdr:row>
      <xdr:rowOff>127000</xdr:rowOff>
    </xdr:to>
    <xdr:graphicFrame macro="">
      <xdr:nvGraphicFramePr>
        <xdr:cNvPr id="18" name="17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17</xdr:row>
      <xdr:rowOff>0</xdr:rowOff>
    </xdr:from>
    <xdr:to>
      <xdr:col>12</xdr:col>
      <xdr:colOff>190500</xdr:colOff>
      <xdr:row>31</xdr:row>
      <xdr:rowOff>76200</xdr:rowOff>
    </xdr:to>
    <xdr:graphicFrame macro="">
      <xdr:nvGraphicFramePr>
        <xdr:cNvPr id="17" name="1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13</xdr:col>
      <xdr:colOff>0</xdr:colOff>
      <xdr:row>17</xdr:row>
      <xdr:rowOff>0</xdr:rowOff>
    </xdr:from>
    <xdr:to>
      <xdr:col>18</xdr:col>
      <xdr:colOff>296333</xdr:colOff>
      <xdr:row>31</xdr:row>
      <xdr:rowOff>76200</xdr:rowOff>
    </xdr:to>
    <xdr:graphicFrame macro="">
      <xdr:nvGraphicFramePr>
        <xdr:cNvPr id="19" name="18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19</xdr:col>
      <xdr:colOff>0</xdr:colOff>
      <xdr:row>17</xdr:row>
      <xdr:rowOff>0</xdr:rowOff>
    </xdr:from>
    <xdr:to>
      <xdr:col>24</xdr:col>
      <xdr:colOff>719666</xdr:colOff>
      <xdr:row>31</xdr:row>
      <xdr:rowOff>76200</xdr:rowOff>
    </xdr:to>
    <xdr:graphicFrame macro="">
      <xdr:nvGraphicFramePr>
        <xdr:cNvPr id="20" name="19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26</xdr:col>
      <xdr:colOff>0</xdr:colOff>
      <xdr:row>16</xdr:row>
      <xdr:rowOff>0</xdr:rowOff>
    </xdr:from>
    <xdr:to>
      <xdr:col>31</xdr:col>
      <xdr:colOff>719667</xdr:colOff>
      <xdr:row>30</xdr:row>
      <xdr:rowOff>76200</xdr:rowOff>
    </xdr:to>
    <xdr:graphicFrame macro="">
      <xdr:nvGraphicFramePr>
        <xdr:cNvPr id="21" name="20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33</xdr:col>
      <xdr:colOff>0</xdr:colOff>
      <xdr:row>16</xdr:row>
      <xdr:rowOff>0</xdr:rowOff>
    </xdr:from>
    <xdr:to>
      <xdr:col>39</xdr:col>
      <xdr:colOff>0</xdr:colOff>
      <xdr:row>30</xdr:row>
      <xdr:rowOff>76200</xdr:rowOff>
    </xdr:to>
    <xdr:graphicFrame macro="">
      <xdr:nvGraphicFramePr>
        <xdr:cNvPr id="22" name="2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952498</xdr:colOff>
      <xdr:row>92</xdr:row>
      <xdr:rowOff>40820</xdr:rowOff>
    </xdr:from>
    <xdr:to>
      <xdr:col>7</xdr:col>
      <xdr:colOff>843642</xdr:colOff>
      <xdr:row>108</xdr:row>
      <xdr:rowOff>149679</xdr:rowOff>
    </xdr:to>
    <xdr:graphicFrame macro="">
      <xdr:nvGraphicFramePr>
        <xdr:cNvPr id="23" name="2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9</xdr:col>
      <xdr:colOff>0</xdr:colOff>
      <xdr:row>92</xdr:row>
      <xdr:rowOff>0</xdr:rowOff>
    </xdr:from>
    <xdr:to>
      <xdr:col>14</xdr:col>
      <xdr:colOff>653143</xdr:colOff>
      <xdr:row>107</xdr:row>
      <xdr:rowOff>122464</xdr:rowOff>
    </xdr:to>
    <xdr:graphicFrame macro="">
      <xdr:nvGraphicFramePr>
        <xdr:cNvPr id="24" name="23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3</xdr:col>
      <xdr:colOff>1782536</xdr:colOff>
      <xdr:row>176</xdr:row>
      <xdr:rowOff>159202</xdr:rowOff>
    </xdr:from>
    <xdr:to>
      <xdr:col>9</xdr:col>
      <xdr:colOff>544286</xdr:colOff>
      <xdr:row>203</xdr:row>
      <xdr:rowOff>68035</xdr:rowOff>
    </xdr:to>
    <xdr:graphicFrame macro="">
      <xdr:nvGraphicFramePr>
        <xdr:cNvPr id="26" name="2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</xdr:col>
      <xdr:colOff>13606</xdr:colOff>
      <xdr:row>130</xdr:row>
      <xdr:rowOff>9522</xdr:rowOff>
    </xdr:from>
    <xdr:to>
      <xdr:col>15</xdr:col>
      <xdr:colOff>54429</xdr:colOff>
      <xdr:row>158</xdr:row>
      <xdr:rowOff>68035</xdr:rowOff>
    </xdr:to>
    <xdr:graphicFrame macro="">
      <xdr:nvGraphicFramePr>
        <xdr:cNvPr id="27" name="2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952498</xdr:colOff>
      <xdr:row>24</xdr:row>
      <xdr:rowOff>40820</xdr:rowOff>
    </xdr:from>
    <xdr:to>
      <xdr:col>7</xdr:col>
      <xdr:colOff>843642</xdr:colOff>
      <xdr:row>40</xdr:row>
      <xdr:rowOff>149679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1061357</xdr:colOff>
      <xdr:row>24</xdr:row>
      <xdr:rowOff>54429</xdr:rowOff>
    </xdr:from>
    <xdr:to>
      <xdr:col>13</xdr:col>
      <xdr:colOff>544286</xdr:colOff>
      <xdr:row>39</xdr:row>
      <xdr:rowOff>176893</xdr:rowOff>
    </xdr:to>
    <xdr:graphicFrame macro="">
      <xdr:nvGraphicFramePr>
        <xdr:cNvPr id="3" name="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792390</xdr:colOff>
      <xdr:row>24</xdr:row>
      <xdr:rowOff>73931</xdr:rowOff>
    </xdr:from>
    <xdr:to>
      <xdr:col>20</xdr:col>
      <xdr:colOff>639536</xdr:colOff>
      <xdr:row>49</xdr:row>
      <xdr:rowOff>135164</xdr:rowOff>
    </xdr:to>
    <xdr:graphicFrame macro="">
      <xdr:nvGraphicFramePr>
        <xdr:cNvPr id="4" name="3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46263</xdr:colOff>
      <xdr:row>24</xdr:row>
      <xdr:rowOff>58507</xdr:rowOff>
    </xdr:from>
    <xdr:to>
      <xdr:col>31</xdr:col>
      <xdr:colOff>253093</xdr:colOff>
      <xdr:row>51</xdr:row>
      <xdr:rowOff>97970</xdr:rowOff>
    </xdr:to>
    <xdr:graphicFrame macro="">
      <xdr:nvGraphicFramePr>
        <xdr:cNvPr id="5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952498</xdr:colOff>
      <xdr:row>23</xdr:row>
      <xdr:rowOff>40820</xdr:rowOff>
    </xdr:from>
    <xdr:to>
      <xdr:col>7</xdr:col>
      <xdr:colOff>843642</xdr:colOff>
      <xdr:row>39</xdr:row>
      <xdr:rowOff>149679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1061357</xdr:colOff>
      <xdr:row>23</xdr:row>
      <xdr:rowOff>54429</xdr:rowOff>
    </xdr:from>
    <xdr:to>
      <xdr:col>13</xdr:col>
      <xdr:colOff>544286</xdr:colOff>
      <xdr:row>38</xdr:row>
      <xdr:rowOff>176893</xdr:rowOff>
    </xdr:to>
    <xdr:graphicFrame macro="">
      <xdr:nvGraphicFramePr>
        <xdr:cNvPr id="3" name="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792390</xdr:colOff>
      <xdr:row>23</xdr:row>
      <xdr:rowOff>73931</xdr:rowOff>
    </xdr:from>
    <xdr:to>
      <xdr:col>20</xdr:col>
      <xdr:colOff>639536</xdr:colOff>
      <xdr:row>48</xdr:row>
      <xdr:rowOff>135164</xdr:rowOff>
    </xdr:to>
    <xdr:graphicFrame macro="">
      <xdr:nvGraphicFramePr>
        <xdr:cNvPr id="4" name="3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46263</xdr:colOff>
      <xdr:row>23</xdr:row>
      <xdr:rowOff>58507</xdr:rowOff>
    </xdr:from>
    <xdr:to>
      <xdr:col>31</xdr:col>
      <xdr:colOff>253093</xdr:colOff>
      <xdr:row>50</xdr:row>
      <xdr:rowOff>97970</xdr:rowOff>
    </xdr:to>
    <xdr:graphicFrame macro="">
      <xdr:nvGraphicFramePr>
        <xdr:cNvPr id="5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952498</xdr:colOff>
      <xdr:row>23</xdr:row>
      <xdr:rowOff>40820</xdr:rowOff>
    </xdr:from>
    <xdr:to>
      <xdr:col>7</xdr:col>
      <xdr:colOff>843642</xdr:colOff>
      <xdr:row>39</xdr:row>
      <xdr:rowOff>149679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1061357</xdr:colOff>
      <xdr:row>23</xdr:row>
      <xdr:rowOff>54429</xdr:rowOff>
    </xdr:from>
    <xdr:to>
      <xdr:col>13</xdr:col>
      <xdr:colOff>544286</xdr:colOff>
      <xdr:row>38</xdr:row>
      <xdr:rowOff>176893</xdr:rowOff>
    </xdr:to>
    <xdr:graphicFrame macro="">
      <xdr:nvGraphicFramePr>
        <xdr:cNvPr id="3" name="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792390</xdr:colOff>
      <xdr:row>23</xdr:row>
      <xdr:rowOff>73931</xdr:rowOff>
    </xdr:from>
    <xdr:to>
      <xdr:col>20</xdr:col>
      <xdr:colOff>639536</xdr:colOff>
      <xdr:row>48</xdr:row>
      <xdr:rowOff>135164</xdr:rowOff>
    </xdr:to>
    <xdr:graphicFrame macro="">
      <xdr:nvGraphicFramePr>
        <xdr:cNvPr id="4" name="3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46263</xdr:colOff>
      <xdr:row>23</xdr:row>
      <xdr:rowOff>58507</xdr:rowOff>
    </xdr:from>
    <xdr:to>
      <xdr:col>31</xdr:col>
      <xdr:colOff>253093</xdr:colOff>
      <xdr:row>50</xdr:row>
      <xdr:rowOff>97970</xdr:rowOff>
    </xdr:to>
    <xdr:graphicFrame macro="">
      <xdr:nvGraphicFramePr>
        <xdr:cNvPr id="5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952498</xdr:colOff>
      <xdr:row>26</xdr:row>
      <xdr:rowOff>40820</xdr:rowOff>
    </xdr:from>
    <xdr:to>
      <xdr:col>7</xdr:col>
      <xdr:colOff>843642</xdr:colOff>
      <xdr:row>42</xdr:row>
      <xdr:rowOff>149679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1061357</xdr:colOff>
      <xdr:row>26</xdr:row>
      <xdr:rowOff>54429</xdr:rowOff>
    </xdr:from>
    <xdr:to>
      <xdr:col>13</xdr:col>
      <xdr:colOff>544286</xdr:colOff>
      <xdr:row>41</xdr:row>
      <xdr:rowOff>176893</xdr:rowOff>
    </xdr:to>
    <xdr:graphicFrame macro="">
      <xdr:nvGraphicFramePr>
        <xdr:cNvPr id="3" name="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792390</xdr:colOff>
      <xdr:row>26</xdr:row>
      <xdr:rowOff>73931</xdr:rowOff>
    </xdr:from>
    <xdr:to>
      <xdr:col>20</xdr:col>
      <xdr:colOff>639536</xdr:colOff>
      <xdr:row>51</xdr:row>
      <xdr:rowOff>135164</xdr:rowOff>
    </xdr:to>
    <xdr:graphicFrame macro="">
      <xdr:nvGraphicFramePr>
        <xdr:cNvPr id="4" name="3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46263</xdr:colOff>
      <xdr:row>26</xdr:row>
      <xdr:rowOff>58507</xdr:rowOff>
    </xdr:from>
    <xdr:to>
      <xdr:col>31</xdr:col>
      <xdr:colOff>253093</xdr:colOff>
      <xdr:row>53</xdr:row>
      <xdr:rowOff>97970</xdr:rowOff>
    </xdr:to>
    <xdr:graphicFrame macro="">
      <xdr:nvGraphicFramePr>
        <xdr:cNvPr id="5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H81"/>
  <sheetViews>
    <sheetView zoomScale="70" zoomScaleNormal="70" workbookViewId="0">
      <selection activeCell="I52" sqref="I52:M56"/>
    </sheetView>
  </sheetViews>
  <sheetFormatPr baseColWidth="10" defaultRowHeight="15" x14ac:dyDescent="0.25"/>
  <cols>
    <col min="1" max="1" width="11.42578125" style="3"/>
    <col min="2" max="2" width="36.85546875" style="3" bestFit="1" customWidth="1"/>
    <col min="3" max="3" width="14.85546875" style="3" customWidth="1"/>
    <col min="4" max="4" width="15.7109375" style="3" customWidth="1"/>
    <col min="5" max="5" width="16.42578125" style="3" customWidth="1"/>
    <col min="6" max="6" width="20" style="3" bestFit="1" customWidth="1"/>
    <col min="7" max="7" width="15.85546875" style="3" customWidth="1"/>
    <col min="8" max="8" width="17.140625" style="3" customWidth="1"/>
    <col min="9" max="9" width="15.85546875" style="3" customWidth="1"/>
    <col min="10" max="13" width="15.85546875" style="3" bestFit="1" customWidth="1"/>
    <col min="14" max="15" width="15.42578125" style="3" bestFit="1" customWidth="1"/>
    <col min="16" max="18" width="15.85546875" style="3" bestFit="1" customWidth="1"/>
    <col min="19" max="19" width="14.5703125" style="3" bestFit="1" customWidth="1"/>
    <col min="20" max="23" width="11.5703125" style="3" bestFit="1" customWidth="1"/>
    <col min="24" max="24" width="15.42578125" style="3" customWidth="1"/>
    <col min="25" max="28" width="11.5703125" style="3" bestFit="1" customWidth="1"/>
    <col min="29" max="29" width="15" style="3" bestFit="1" customWidth="1"/>
    <col min="30" max="33" width="11.5703125" style="3" bestFit="1" customWidth="1"/>
    <col min="34" max="34" width="13.140625" style="3" bestFit="1" customWidth="1"/>
    <col min="35" max="16384" width="11.42578125" style="3"/>
  </cols>
  <sheetData>
    <row r="3" spans="2:34" x14ac:dyDescent="0.25">
      <c r="B3" s="10" t="s">
        <v>0</v>
      </c>
      <c r="C3" s="10">
        <v>1999</v>
      </c>
      <c r="D3" s="10">
        <v>2000</v>
      </c>
      <c r="E3" s="10">
        <v>2001</v>
      </c>
      <c r="F3" s="10">
        <v>2002</v>
      </c>
      <c r="G3" s="10">
        <v>2003</v>
      </c>
      <c r="H3" s="10">
        <v>2004</v>
      </c>
      <c r="I3" s="10">
        <v>2005</v>
      </c>
      <c r="J3" s="10">
        <v>2006</v>
      </c>
      <c r="K3" s="10">
        <v>2007</v>
      </c>
      <c r="L3" s="10">
        <v>2008</v>
      </c>
      <c r="M3" s="10">
        <v>2009</v>
      </c>
      <c r="N3" s="10">
        <v>2010</v>
      </c>
      <c r="O3" s="10">
        <v>2011</v>
      </c>
      <c r="P3" s="10">
        <v>2012</v>
      </c>
      <c r="Q3" s="10">
        <v>2013</v>
      </c>
      <c r="R3" s="10">
        <v>2014</v>
      </c>
      <c r="S3" s="10">
        <v>2015</v>
      </c>
      <c r="T3" s="10">
        <v>2016</v>
      </c>
      <c r="U3" s="10">
        <v>2017</v>
      </c>
      <c r="V3" s="10">
        <v>2018</v>
      </c>
      <c r="W3" s="10">
        <v>2019</v>
      </c>
      <c r="X3" s="10">
        <v>2020</v>
      </c>
      <c r="Y3" s="10">
        <v>2021</v>
      </c>
      <c r="Z3" s="10">
        <v>2022</v>
      </c>
      <c r="AA3" s="10">
        <v>2023</v>
      </c>
      <c r="AB3" s="10">
        <v>2024</v>
      </c>
      <c r="AC3" s="10">
        <v>2025</v>
      </c>
      <c r="AD3" s="10">
        <v>2026</v>
      </c>
      <c r="AE3" s="10">
        <v>2027</v>
      </c>
      <c r="AF3" s="10">
        <v>2028</v>
      </c>
      <c r="AG3" s="10">
        <v>2029</v>
      </c>
      <c r="AH3" s="10">
        <v>2030</v>
      </c>
    </row>
    <row r="4" spans="2:34" x14ac:dyDescent="0.25">
      <c r="B4" s="1" t="s">
        <v>1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>
        <v>0</v>
      </c>
      <c r="AD4" s="1"/>
      <c r="AE4" s="1"/>
      <c r="AF4" s="1"/>
      <c r="AG4" s="1"/>
      <c r="AH4" s="1">
        <v>0</v>
      </c>
    </row>
    <row r="5" spans="2:34" x14ac:dyDescent="0.25">
      <c r="B5" s="1" t="s">
        <v>3</v>
      </c>
      <c r="C5" s="2">
        <v>150866.78554714104</v>
      </c>
      <c r="D5" s="2">
        <v>151004.78522356719</v>
      </c>
      <c r="E5" s="2">
        <v>165571.43304554812</v>
      </c>
      <c r="F5" s="2">
        <v>165067.79967826148</v>
      </c>
      <c r="G5" s="2">
        <v>167441.14608541472</v>
      </c>
      <c r="H5" s="2">
        <v>162233.19124730738</v>
      </c>
      <c r="I5" s="2">
        <v>158318.83697064655</v>
      </c>
      <c r="J5" s="2">
        <v>156165.54596364562</v>
      </c>
      <c r="K5" s="2">
        <v>168488.0972002284</v>
      </c>
      <c r="L5" s="2">
        <v>177015.96736931268</v>
      </c>
      <c r="M5" s="2">
        <v>190543.79386270975</v>
      </c>
      <c r="N5" s="2">
        <v>187219.19357017663</v>
      </c>
      <c r="O5" s="2">
        <v>183210.58889044492</v>
      </c>
      <c r="P5" s="2">
        <v>181877.23505226456</v>
      </c>
      <c r="Q5" s="2">
        <v>172681</v>
      </c>
      <c r="R5" s="2">
        <v>179670</v>
      </c>
      <c r="S5" s="2"/>
      <c r="T5" s="2"/>
      <c r="U5" s="2"/>
      <c r="V5" s="2"/>
      <c r="W5" s="2"/>
      <c r="X5" s="2">
        <v>84467.5</v>
      </c>
      <c r="Y5" s="2"/>
      <c r="Z5" s="2"/>
      <c r="AA5" s="2"/>
      <c r="AB5" s="2"/>
      <c r="AC5" s="2">
        <v>67094</v>
      </c>
      <c r="AD5" s="2"/>
      <c r="AE5" s="2"/>
      <c r="AF5" s="2"/>
      <c r="AG5" s="2"/>
      <c r="AH5" s="2">
        <v>15840</v>
      </c>
    </row>
    <row r="6" spans="2:34" x14ac:dyDescent="0.25">
      <c r="B6" s="1" t="s">
        <v>4</v>
      </c>
      <c r="C6" s="2">
        <v>1799596.7084041026</v>
      </c>
      <c r="D6" s="2">
        <v>1801242.8213146194</v>
      </c>
      <c r="E6" s="2">
        <v>1974999.3667188932</v>
      </c>
      <c r="F6" s="2">
        <v>1968991.8353280404</v>
      </c>
      <c r="G6" s="2">
        <v>1997302.0188235396</v>
      </c>
      <c r="H6" s="2">
        <v>1935179.5420292907</v>
      </c>
      <c r="I6" s="2">
        <v>1888487.6273957333</v>
      </c>
      <c r="J6" s="2">
        <v>1862802.3488608883</v>
      </c>
      <c r="K6" s="2">
        <v>2009790.4520677805</v>
      </c>
      <c r="L6" s="2">
        <v>2111514.1484421971</v>
      </c>
      <c r="M6" s="2">
        <v>2272879.2358011524</v>
      </c>
      <c r="N6" s="2">
        <v>2233222.1322080465</v>
      </c>
      <c r="O6" s="2">
        <v>2185405.9627259681</v>
      </c>
      <c r="P6" s="2">
        <v>2169501.208279022</v>
      </c>
      <c r="Q6" s="2">
        <v>2059805</v>
      </c>
      <c r="R6" s="2">
        <v>1954483.03</v>
      </c>
      <c r="S6" s="2"/>
      <c r="T6" s="2"/>
      <c r="U6" s="2"/>
      <c r="V6" s="2"/>
      <c r="W6" s="2"/>
      <c r="X6" s="2">
        <v>1167933.8149999999</v>
      </c>
      <c r="Y6" s="2"/>
      <c r="Z6" s="2"/>
      <c r="AA6" s="2"/>
      <c r="AB6" s="2"/>
      <c r="AC6" s="2">
        <v>893331.12000000011</v>
      </c>
      <c r="AD6" s="2"/>
      <c r="AE6" s="2"/>
      <c r="AF6" s="2"/>
      <c r="AG6" s="2"/>
      <c r="AH6" s="2">
        <v>593939.10400000005</v>
      </c>
    </row>
    <row r="7" spans="2:34" x14ac:dyDescent="0.25">
      <c r="B7" s="1" t="s">
        <v>5</v>
      </c>
      <c r="C7" s="2">
        <v>167927.00480333614</v>
      </c>
      <c r="D7" s="2">
        <v>168080.60966899313</v>
      </c>
      <c r="E7" s="2">
        <v>184294.47364109955</v>
      </c>
      <c r="F7" s="2">
        <v>183733.88873448313</v>
      </c>
      <c r="G7" s="2">
        <v>186375.61634913739</v>
      </c>
      <c r="H7" s="2">
        <v>180578.73896527386</v>
      </c>
      <c r="I7" s="2">
        <v>176221.74423621609</v>
      </c>
      <c r="J7" s="2">
        <v>173824.95618267439</v>
      </c>
      <c r="K7" s="2">
        <v>187540.95810576438</v>
      </c>
      <c r="L7" s="2">
        <v>197033.17131659447</v>
      </c>
      <c r="M7" s="2">
        <v>212090.74264547759</v>
      </c>
      <c r="N7" s="2">
        <v>208390.19207519363</v>
      </c>
      <c r="O7" s="2">
        <v>203928.28898057481</v>
      </c>
      <c r="P7" s="2">
        <v>202444.1576949732</v>
      </c>
      <c r="Q7" s="2">
        <v>192208</v>
      </c>
      <c r="R7" s="2">
        <v>177813.41</v>
      </c>
      <c r="S7" s="2"/>
      <c r="T7" s="2"/>
      <c r="U7" s="2"/>
      <c r="V7" s="2"/>
      <c r="W7" s="2"/>
      <c r="X7" s="2">
        <v>57085.057500000003</v>
      </c>
      <c r="Y7" s="2"/>
      <c r="Z7" s="2"/>
      <c r="AA7" s="2"/>
      <c r="AB7" s="2"/>
      <c r="AC7" s="2">
        <v>51055.62</v>
      </c>
      <c r="AD7" s="2"/>
      <c r="AE7" s="2"/>
      <c r="AF7" s="2"/>
      <c r="AG7" s="2"/>
      <c r="AH7" s="2">
        <v>44880</v>
      </c>
    </row>
    <row r="8" spans="2:34" x14ac:dyDescent="0.25">
      <c r="B8" s="1" t="s">
        <v>6</v>
      </c>
      <c r="C8" s="2">
        <v>18417.033948921613</v>
      </c>
      <c r="D8" s="2">
        <v>18433.880232989133</v>
      </c>
      <c r="E8" s="2">
        <v>20212.100975788617</v>
      </c>
      <c r="F8" s="2">
        <v>20150.620028942107</v>
      </c>
      <c r="G8" s="2">
        <v>20440.34583700895</v>
      </c>
      <c r="H8" s="2">
        <v>19804.585747669051</v>
      </c>
      <c r="I8" s="2">
        <v>19326.741699093873</v>
      </c>
      <c r="J8" s="2">
        <v>19063.87911185162</v>
      </c>
      <c r="K8" s="2">
        <v>20568.152193818743</v>
      </c>
      <c r="L8" s="2">
        <v>21609.190311297196</v>
      </c>
      <c r="M8" s="2">
        <v>23260.597139383724</v>
      </c>
      <c r="N8" s="2">
        <v>22854.74719546055</v>
      </c>
      <c r="O8" s="2">
        <v>22365.397546983044</v>
      </c>
      <c r="P8" s="2">
        <v>22202.62863257531</v>
      </c>
      <c r="Q8" s="2">
        <v>21080</v>
      </c>
      <c r="R8" s="2">
        <v>4520</v>
      </c>
      <c r="S8" s="2"/>
      <c r="T8" s="2"/>
      <c r="U8" s="2"/>
      <c r="V8" s="2"/>
      <c r="W8" s="2"/>
      <c r="X8" s="2">
        <v>3390</v>
      </c>
      <c r="Y8" s="2"/>
      <c r="Z8" s="2"/>
      <c r="AA8" s="2"/>
      <c r="AB8" s="2"/>
      <c r="AC8" s="2">
        <v>2640</v>
      </c>
      <c r="AD8" s="2"/>
      <c r="AE8" s="2"/>
      <c r="AF8" s="2"/>
      <c r="AG8" s="2"/>
      <c r="AH8" s="2">
        <v>2376</v>
      </c>
    </row>
    <row r="9" spans="2:34" x14ac:dyDescent="0.25">
      <c r="B9" s="1" t="s">
        <v>7</v>
      </c>
      <c r="C9" s="2">
        <v>18831.155110771178</v>
      </c>
      <c r="D9" s="2">
        <v>18848.38019648234</v>
      </c>
      <c r="E9" s="2">
        <v>20666.585599247999</v>
      </c>
      <c r="F9" s="2">
        <v>20603.722206063478</v>
      </c>
      <c r="G9" s="2">
        <v>20899.962721579261</v>
      </c>
      <c r="H9" s="2">
        <v>20249.907078048327</v>
      </c>
      <c r="I9" s="2">
        <v>19761.318338817331</v>
      </c>
      <c r="J9" s="2">
        <v>19492.545084290789</v>
      </c>
      <c r="K9" s="2">
        <v>21030.642902541229</v>
      </c>
      <c r="L9" s="2">
        <v>22095.089562129968</v>
      </c>
      <c r="M9" s="2">
        <v>23783.629541853737</v>
      </c>
      <c r="N9" s="2">
        <v>23368.653750045381</v>
      </c>
      <c r="O9" s="2">
        <v>22868.300698656189</v>
      </c>
      <c r="P9" s="2">
        <v>22701.871800119934</v>
      </c>
      <c r="Q9" s="2">
        <v>21554</v>
      </c>
      <c r="R9" s="2">
        <v>7910</v>
      </c>
      <c r="S9" s="2"/>
      <c r="T9" s="2"/>
      <c r="U9" s="2"/>
      <c r="V9" s="2"/>
      <c r="W9" s="2"/>
      <c r="X9" s="2">
        <v>5932.5</v>
      </c>
      <c r="Y9" s="2"/>
      <c r="Z9" s="2"/>
      <c r="AA9" s="2"/>
      <c r="AB9" s="2"/>
      <c r="AC9" s="2">
        <v>4620</v>
      </c>
      <c r="AD9" s="2"/>
      <c r="AE9" s="2"/>
      <c r="AF9" s="2"/>
      <c r="AG9" s="2"/>
      <c r="AH9" s="2">
        <v>0</v>
      </c>
    </row>
    <row r="10" spans="2:34" x14ac:dyDescent="0.25">
      <c r="B10" s="1" t="s">
        <v>8</v>
      </c>
      <c r="C10" s="2">
        <v>1135.7753384059818</v>
      </c>
      <c r="D10" s="2">
        <v>1136.8142458674513</v>
      </c>
      <c r="E10" s="2">
        <v>1246.4768153949335</v>
      </c>
      <c r="F10" s="2">
        <v>1242.6852959025016</v>
      </c>
      <c r="G10" s="2">
        <v>1260.5526370071932</v>
      </c>
      <c r="H10" s="2">
        <v>1221.3454208714311</v>
      </c>
      <c r="I10" s="2">
        <v>1191.8768600010453</v>
      </c>
      <c r="J10" s="2">
        <v>1175.6661691369595</v>
      </c>
      <c r="K10" s="2">
        <v>1268.4344332051405</v>
      </c>
      <c r="L10" s="2">
        <v>1332.6350761236411</v>
      </c>
      <c r="M10" s="2">
        <v>1434.4770531878009</v>
      </c>
      <c r="N10" s="2">
        <v>1409.4483564562956</v>
      </c>
      <c r="O10" s="2">
        <v>1379.2702472048366</v>
      </c>
      <c r="P10" s="2">
        <v>1369.2323160506594</v>
      </c>
      <c r="Q10" s="2">
        <v>1300</v>
      </c>
      <c r="R10" s="2">
        <v>44070</v>
      </c>
      <c r="S10" s="2"/>
      <c r="T10" s="2"/>
      <c r="U10" s="2"/>
      <c r="V10" s="2"/>
      <c r="W10" s="2"/>
      <c r="X10" s="2">
        <v>33052.5</v>
      </c>
      <c r="Y10" s="2"/>
      <c r="Z10" s="2"/>
      <c r="AA10" s="2"/>
      <c r="AB10" s="2"/>
      <c r="AC10" s="2">
        <v>25740</v>
      </c>
      <c r="AD10" s="2"/>
      <c r="AE10" s="2"/>
      <c r="AF10" s="2"/>
      <c r="AG10" s="2"/>
      <c r="AH10" s="2">
        <v>23166</v>
      </c>
    </row>
    <row r="11" spans="2:34" x14ac:dyDescent="0.25">
      <c r="B11" s="1" t="s">
        <v>9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>
        <v>0</v>
      </c>
      <c r="S11" s="2"/>
      <c r="T11" s="2"/>
      <c r="U11" s="2"/>
      <c r="V11" s="2"/>
      <c r="W11" s="2"/>
      <c r="X11" s="2">
        <v>0</v>
      </c>
      <c r="Y11" s="2"/>
      <c r="Z11" s="2"/>
      <c r="AA11" s="2"/>
      <c r="AB11" s="2"/>
      <c r="AC11" s="2">
        <v>0</v>
      </c>
      <c r="AD11" s="2"/>
      <c r="AE11" s="2"/>
      <c r="AF11" s="2"/>
      <c r="AG11" s="2"/>
      <c r="AH11" s="2">
        <v>0</v>
      </c>
    </row>
    <row r="12" spans="2:34" x14ac:dyDescent="0.25">
      <c r="B12" s="1" t="s">
        <v>18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>
        <v>56500</v>
      </c>
      <c r="S12" s="2"/>
      <c r="T12" s="2"/>
      <c r="U12" s="2"/>
      <c r="V12" s="2"/>
      <c r="W12" s="2"/>
      <c r="X12" s="2">
        <v>42375</v>
      </c>
      <c r="Y12" s="2"/>
      <c r="Z12" s="2"/>
      <c r="AA12" s="2"/>
      <c r="AB12" s="2"/>
      <c r="AC12" s="2">
        <v>33000</v>
      </c>
      <c r="AD12" s="2"/>
      <c r="AE12" s="2"/>
      <c r="AF12" s="2"/>
      <c r="AG12" s="2"/>
      <c r="AH12" s="2">
        <v>29700</v>
      </c>
    </row>
    <row r="13" spans="2:34" x14ac:dyDescent="0.25">
      <c r="B13" s="1" t="s">
        <v>10</v>
      </c>
      <c r="C13" s="4">
        <f t="shared" ref="C13:R13" si="0">+SUM(C5:C11)</f>
        <v>2156774.4631526787</v>
      </c>
      <c r="D13" s="4">
        <f t="shared" si="0"/>
        <v>2158747.290882519</v>
      </c>
      <c r="E13" s="4">
        <f t="shared" si="0"/>
        <v>2366990.4367959723</v>
      </c>
      <c r="F13" s="4">
        <f t="shared" si="0"/>
        <v>2359790.5512716933</v>
      </c>
      <c r="G13" s="4">
        <f t="shared" si="0"/>
        <v>2393719.6424536873</v>
      </c>
      <c r="H13" s="4">
        <f t="shared" si="0"/>
        <v>2319267.3104884606</v>
      </c>
      <c r="I13" s="4">
        <f t="shared" si="0"/>
        <v>2263308.1455005086</v>
      </c>
      <c r="J13" s="4">
        <f t="shared" si="0"/>
        <v>2232524.9413724872</v>
      </c>
      <c r="K13" s="4">
        <f t="shared" si="0"/>
        <v>2408686.7369033387</v>
      </c>
      <c r="L13" s="4">
        <f t="shared" si="0"/>
        <v>2530600.2020776556</v>
      </c>
      <c r="M13" s="4">
        <f t="shared" si="0"/>
        <v>2723992.476043765</v>
      </c>
      <c r="N13" s="4">
        <f t="shared" si="0"/>
        <v>2676464.3671553782</v>
      </c>
      <c r="O13" s="4">
        <f t="shared" si="0"/>
        <v>2619157.8090898315</v>
      </c>
      <c r="P13" s="4">
        <f t="shared" si="0"/>
        <v>2600096.3337750058</v>
      </c>
      <c r="Q13" s="4">
        <f t="shared" si="0"/>
        <v>2468628</v>
      </c>
      <c r="R13" s="4">
        <f t="shared" si="0"/>
        <v>2368466.4400000004</v>
      </c>
      <c r="S13" s="4"/>
      <c r="T13" s="2"/>
      <c r="U13" s="2"/>
      <c r="V13" s="2"/>
      <c r="W13" s="2"/>
      <c r="X13" s="17">
        <f>SUM(X4:X12)</f>
        <v>1394236.3725000001</v>
      </c>
      <c r="Y13" s="2"/>
      <c r="Z13" s="2"/>
      <c r="AA13" s="2"/>
      <c r="AB13" s="2"/>
      <c r="AC13" s="17">
        <f>SUM(AC4:AC12)</f>
        <v>1077480.7400000002</v>
      </c>
      <c r="AD13" s="2"/>
      <c r="AE13" s="2"/>
      <c r="AF13" s="2"/>
      <c r="AG13" s="2"/>
      <c r="AH13" s="17">
        <f>SUM(AH4:AH12)</f>
        <v>709901.10400000005</v>
      </c>
    </row>
    <row r="14" spans="2:34" s="6" customFormat="1" x14ac:dyDescent="0.25">
      <c r="B14" s="5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</row>
    <row r="15" spans="2:34" s="6" customFormat="1" x14ac:dyDescent="0.25">
      <c r="B15" s="8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</row>
    <row r="16" spans="2:34" x14ac:dyDescent="0.25">
      <c r="B16" s="10" t="s">
        <v>15</v>
      </c>
      <c r="C16" s="10">
        <v>1999</v>
      </c>
      <c r="D16" s="10">
        <v>2000</v>
      </c>
      <c r="E16" s="10">
        <v>2001</v>
      </c>
      <c r="F16" s="10">
        <v>2002</v>
      </c>
      <c r="G16" s="10">
        <v>2003</v>
      </c>
      <c r="H16" s="10">
        <v>2004</v>
      </c>
      <c r="I16" s="10">
        <v>2005</v>
      </c>
      <c r="J16" s="10">
        <v>2006</v>
      </c>
      <c r="K16" s="10">
        <v>2007</v>
      </c>
      <c r="L16" s="10">
        <v>2008</v>
      </c>
      <c r="M16" s="10">
        <v>2009</v>
      </c>
      <c r="N16" s="10">
        <v>2010</v>
      </c>
      <c r="O16" s="10">
        <v>2011</v>
      </c>
      <c r="P16" s="10">
        <v>2012</v>
      </c>
      <c r="Q16" s="10">
        <v>2013</v>
      </c>
      <c r="R16" s="10">
        <v>2014</v>
      </c>
      <c r="S16" s="15">
        <v>2015</v>
      </c>
      <c r="T16" s="10">
        <v>2016</v>
      </c>
      <c r="U16" s="10">
        <v>2017</v>
      </c>
      <c r="V16" s="10">
        <v>2018</v>
      </c>
      <c r="W16" s="10">
        <v>2019</v>
      </c>
      <c r="X16" s="15">
        <v>2020</v>
      </c>
      <c r="Y16" s="10">
        <v>2021</v>
      </c>
      <c r="Z16" s="10">
        <v>2022</v>
      </c>
      <c r="AA16" s="10">
        <v>2023</v>
      </c>
      <c r="AB16" s="10">
        <v>2024</v>
      </c>
      <c r="AC16" s="15">
        <v>2025</v>
      </c>
      <c r="AD16" s="10">
        <v>2026</v>
      </c>
      <c r="AE16" s="10">
        <v>2027</v>
      </c>
      <c r="AF16" s="10">
        <v>2028</v>
      </c>
      <c r="AG16" s="10">
        <v>2029</v>
      </c>
      <c r="AH16" s="15">
        <v>2030</v>
      </c>
    </row>
    <row r="17" spans="2:34" x14ac:dyDescent="0.25">
      <c r="B17" s="1" t="s">
        <v>16</v>
      </c>
      <c r="C17" s="2">
        <v>3311</v>
      </c>
      <c r="D17" s="2">
        <v>3602</v>
      </c>
      <c r="E17" s="2">
        <v>3660</v>
      </c>
      <c r="F17" s="2">
        <v>3840</v>
      </c>
      <c r="G17" s="2">
        <v>4479</v>
      </c>
      <c r="H17" s="2">
        <v>4618</v>
      </c>
      <c r="I17" s="2">
        <v>5009</v>
      </c>
      <c r="J17" s="2">
        <v>5027</v>
      </c>
      <c r="K17" s="2">
        <v>4775</v>
      </c>
      <c r="L17" s="2">
        <v>4858</v>
      </c>
      <c r="M17" s="2">
        <v>5077</v>
      </c>
      <c r="N17" s="2">
        <v>5164</v>
      </c>
      <c r="O17" s="2">
        <v>5277</v>
      </c>
      <c r="P17" s="2">
        <v>5245</v>
      </c>
      <c r="Q17" s="2">
        <v>5422</v>
      </c>
      <c r="R17" s="2">
        <v>5741</v>
      </c>
      <c r="S17" s="16"/>
      <c r="T17" s="2"/>
      <c r="U17" s="2"/>
      <c r="V17" s="2"/>
      <c r="W17" s="2"/>
      <c r="X17" s="16"/>
      <c r="Y17" s="2"/>
      <c r="Z17" s="2"/>
      <c r="AA17" s="2"/>
      <c r="AB17" s="2"/>
      <c r="AC17" s="16"/>
      <c r="AD17" s="2"/>
      <c r="AE17" s="2"/>
      <c r="AF17" s="2"/>
      <c r="AG17" s="2"/>
      <c r="AH17" s="16"/>
    </row>
    <row r="18" spans="2:34" x14ac:dyDescent="0.25">
      <c r="B18" s="1" t="s">
        <v>27</v>
      </c>
      <c r="C18" s="2">
        <v>381</v>
      </c>
      <c r="D18" s="2">
        <v>529</v>
      </c>
      <c r="E18" s="2">
        <v>559</v>
      </c>
      <c r="F18" s="2">
        <v>522</v>
      </c>
      <c r="G18" s="2">
        <v>488</v>
      </c>
      <c r="H18" s="2">
        <v>340</v>
      </c>
      <c r="I18" s="2">
        <v>552</v>
      </c>
      <c r="J18" s="2">
        <v>607</v>
      </c>
      <c r="K18" s="2">
        <v>1285</v>
      </c>
      <c r="L18" s="2">
        <v>2399</v>
      </c>
      <c r="M18" s="2">
        <v>1872</v>
      </c>
      <c r="N18" s="2">
        <v>2644</v>
      </c>
      <c r="O18" s="2">
        <v>3164</v>
      </c>
      <c r="P18" s="2">
        <v>3211</v>
      </c>
      <c r="Q18" s="2">
        <v>2834</v>
      </c>
      <c r="R18" s="2">
        <v>2514.645</v>
      </c>
      <c r="S18" s="16"/>
      <c r="T18" s="2"/>
      <c r="U18" s="2"/>
      <c r="V18" s="2"/>
      <c r="W18" s="2"/>
      <c r="X18" s="16"/>
      <c r="Y18" s="2"/>
      <c r="Z18" s="2"/>
      <c r="AA18" s="2"/>
      <c r="AB18" s="2"/>
      <c r="AC18" s="16"/>
      <c r="AD18" s="2"/>
      <c r="AE18" s="2"/>
      <c r="AF18" s="2"/>
      <c r="AG18" s="2"/>
      <c r="AH18" s="16"/>
    </row>
    <row r="19" spans="2:34" x14ac:dyDescent="0.25">
      <c r="B19" s="12" t="s">
        <v>17</v>
      </c>
      <c r="C19" s="4">
        <f t="shared" ref="C19:R19" si="1">SUM(C17:C18)</f>
        <v>3692</v>
      </c>
      <c r="D19" s="4">
        <f t="shared" si="1"/>
        <v>4131</v>
      </c>
      <c r="E19" s="4">
        <f t="shared" si="1"/>
        <v>4219</v>
      </c>
      <c r="F19" s="4">
        <f t="shared" si="1"/>
        <v>4362</v>
      </c>
      <c r="G19" s="4">
        <f t="shared" si="1"/>
        <v>4967</v>
      </c>
      <c r="H19" s="4">
        <f t="shared" si="1"/>
        <v>4958</v>
      </c>
      <c r="I19" s="4">
        <f t="shared" si="1"/>
        <v>5561</v>
      </c>
      <c r="J19" s="4">
        <f t="shared" si="1"/>
        <v>5634</v>
      </c>
      <c r="K19" s="4">
        <f t="shared" si="1"/>
        <v>6060</v>
      </c>
      <c r="L19" s="4">
        <f t="shared" si="1"/>
        <v>7257</v>
      </c>
      <c r="M19" s="4">
        <f t="shared" si="1"/>
        <v>6949</v>
      </c>
      <c r="N19" s="4">
        <f t="shared" si="1"/>
        <v>7808</v>
      </c>
      <c r="O19" s="4">
        <f t="shared" si="1"/>
        <v>8441</v>
      </c>
      <c r="P19" s="4">
        <f t="shared" si="1"/>
        <v>8456</v>
      </c>
      <c r="Q19" s="4">
        <f t="shared" si="1"/>
        <v>8256</v>
      </c>
      <c r="R19" s="4">
        <f t="shared" si="1"/>
        <v>8255.6450000000004</v>
      </c>
      <c r="S19" s="16"/>
      <c r="T19" s="2"/>
      <c r="U19" s="2"/>
      <c r="V19" s="2"/>
      <c r="W19" s="2"/>
      <c r="X19" s="16"/>
      <c r="Y19" s="2"/>
      <c r="Z19" s="2"/>
      <c r="AA19" s="2"/>
      <c r="AB19" s="2"/>
      <c r="AC19" s="16"/>
      <c r="AD19" s="2"/>
      <c r="AE19" s="2"/>
      <c r="AF19" s="2"/>
      <c r="AG19" s="2"/>
      <c r="AH19" s="16"/>
    </row>
    <row r="20" spans="2:34" x14ac:dyDescent="0.25">
      <c r="B20" s="12" t="s">
        <v>28</v>
      </c>
      <c r="C20" s="39">
        <f t="shared" ref="C20:R20" si="2">+C19*1000/C13</f>
        <v>1.7118155203874195</v>
      </c>
      <c r="D20" s="39">
        <f t="shared" si="2"/>
        <v>1.9136098131760495</v>
      </c>
      <c r="E20" s="39">
        <f t="shared" si="2"/>
        <v>1.7824322119826399</v>
      </c>
      <c r="F20" s="39">
        <f t="shared" si="2"/>
        <v>1.8484691353854747</v>
      </c>
      <c r="G20" s="39">
        <f t="shared" si="2"/>
        <v>2.0750132604955218</v>
      </c>
      <c r="H20" s="39">
        <f t="shared" si="2"/>
        <v>2.1377440959816729</v>
      </c>
      <c r="I20" s="39">
        <f t="shared" si="2"/>
        <v>2.4570229250733506</v>
      </c>
      <c r="J20" s="39">
        <f t="shared" si="2"/>
        <v>2.5236000259582281</v>
      </c>
      <c r="K20" s="39">
        <f t="shared" si="2"/>
        <v>2.515893788575791</v>
      </c>
      <c r="L20" s="39">
        <f t="shared" si="2"/>
        <v>2.8676991308393593</v>
      </c>
      <c r="M20" s="39">
        <f t="shared" si="2"/>
        <v>2.5510349463565678</v>
      </c>
      <c r="N20" s="39">
        <f t="shared" si="2"/>
        <v>2.9172815060857928</v>
      </c>
      <c r="O20" s="39">
        <f t="shared" si="2"/>
        <v>3.2227916816258135</v>
      </c>
      <c r="P20" s="39">
        <f t="shared" si="2"/>
        <v>3.2521871940502201</v>
      </c>
      <c r="Q20" s="39">
        <f t="shared" si="2"/>
        <v>3.3443678026822998</v>
      </c>
      <c r="R20" s="39">
        <f t="shared" si="2"/>
        <v>3.4856499803307317</v>
      </c>
      <c r="S20" s="16"/>
      <c r="T20" s="2"/>
      <c r="U20" s="2"/>
      <c r="V20" s="2"/>
      <c r="W20" s="2"/>
      <c r="X20" s="16"/>
      <c r="Y20" s="2"/>
      <c r="Z20" s="2"/>
      <c r="AA20" s="2"/>
      <c r="AB20" s="2"/>
      <c r="AC20" s="16"/>
      <c r="AD20" s="2"/>
      <c r="AE20" s="2"/>
      <c r="AF20" s="2"/>
      <c r="AG20" s="2"/>
      <c r="AH20" s="16"/>
    </row>
    <row r="21" spans="2:34" x14ac:dyDescent="0.25"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</row>
    <row r="43" spans="3:13" ht="15.75" thickBot="1" x14ac:dyDescent="0.3"/>
    <row r="44" spans="3:13" ht="30.75" thickBot="1" x14ac:dyDescent="0.3">
      <c r="C44" s="66" t="s">
        <v>11</v>
      </c>
      <c r="D44" s="67" t="s">
        <v>19</v>
      </c>
      <c r="E44" s="67" t="s">
        <v>20</v>
      </c>
      <c r="F44" s="67" t="s">
        <v>21</v>
      </c>
      <c r="G44" s="68" t="s">
        <v>26</v>
      </c>
      <c r="I44" s="148" t="s">
        <v>11</v>
      </c>
      <c r="J44" s="149" t="s">
        <v>19</v>
      </c>
      <c r="K44" s="150" t="s">
        <v>29</v>
      </c>
      <c r="L44" s="150" t="s">
        <v>30</v>
      </c>
      <c r="M44" s="151" t="s">
        <v>31</v>
      </c>
    </row>
    <row r="45" spans="3:13" ht="15.75" thickBot="1" x14ac:dyDescent="0.3">
      <c r="C45" s="47">
        <v>1999</v>
      </c>
      <c r="D45" s="48">
        <v>1.7118155203874195</v>
      </c>
      <c r="E45" s="49">
        <v>2191759</v>
      </c>
      <c r="F45" s="49">
        <f>+E45*D45</f>
        <v>3751887.0731488103</v>
      </c>
      <c r="G45" s="50">
        <v>3311000</v>
      </c>
      <c r="I45" s="133">
        <v>2014</v>
      </c>
      <c r="J45" s="134">
        <v>3.4044368053192517</v>
      </c>
      <c r="K45" s="132">
        <v>2368466.44</v>
      </c>
      <c r="L45" s="128">
        <v>8063294.320499463</v>
      </c>
      <c r="M45" s="144">
        <v>5741000</v>
      </c>
    </row>
    <row r="46" spans="3:13" x14ac:dyDescent="0.25">
      <c r="C46" s="51">
        <v>2000</v>
      </c>
      <c r="D46" s="52">
        <v>1.9136098131760495</v>
      </c>
      <c r="E46" s="53">
        <v>2193763</v>
      </c>
      <c r="F46" s="53">
        <f t="shared" ref="F46:F76" si="3">+E46*D46</f>
        <v>4198006.4045825303</v>
      </c>
      <c r="G46" s="54">
        <v>3602000</v>
      </c>
      <c r="I46" s="135">
        <v>2020</v>
      </c>
      <c r="J46" s="136">
        <f t="shared" ref="J46:J48" si="4">0.1191*I46-236.51</f>
        <v>4.0720000000000027</v>
      </c>
      <c r="K46" s="129">
        <v>1394236.3725000001</v>
      </c>
      <c r="L46" s="137">
        <f t="shared" ref="L46:L48" si="5">+K46*J46</f>
        <v>5677330.5088200038</v>
      </c>
      <c r="M46" s="145">
        <v>5850870</v>
      </c>
    </row>
    <row r="47" spans="3:13" x14ac:dyDescent="0.25">
      <c r="C47" s="51">
        <v>2001</v>
      </c>
      <c r="D47" s="52">
        <v>1.7824322119826399</v>
      </c>
      <c r="E47" s="53">
        <v>2405192</v>
      </c>
      <c r="F47" s="53">
        <f t="shared" si="3"/>
        <v>4287091.6968029495</v>
      </c>
      <c r="G47" s="54">
        <v>3660000</v>
      </c>
      <c r="I47" s="138">
        <v>2025</v>
      </c>
      <c r="J47" s="139">
        <f>0.1191*I47-236.51</f>
        <v>4.6675000000000182</v>
      </c>
      <c r="K47" s="130">
        <v>1077480.7400000002</v>
      </c>
      <c r="L47" s="140">
        <f t="shared" si="5"/>
        <v>5029141.3539500209</v>
      </c>
      <c r="M47" s="146">
        <v>5850870</v>
      </c>
    </row>
    <row r="48" spans="3:13" ht="15.75" thickBot="1" x14ac:dyDescent="0.3">
      <c r="C48" s="51">
        <v>2002</v>
      </c>
      <c r="D48" s="52">
        <v>1.8484691353854747</v>
      </c>
      <c r="E48" s="53">
        <v>2397883</v>
      </c>
      <c r="F48" s="53">
        <f t="shared" si="3"/>
        <v>4432412.7157655284</v>
      </c>
      <c r="G48" s="54">
        <v>3840000</v>
      </c>
      <c r="I48" s="141">
        <v>2030</v>
      </c>
      <c r="J48" s="142">
        <f t="shared" si="4"/>
        <v>5.2630000000000052</v>
      </c>
      <c r="K48" s="131">
        <v>709901.10400000005</v>
      </c>
      <c r="L48" s="143">
        <f t="shared" si="5"/>
        <v>3736209.5103520039</v>
      </c>
      <c r="M48" s="147">
        <v>5850870</v>
      </c>
    </row>
    <row r="49" spans="3:13" x14ac:dyDescent="0.25">
      <c r="C49" s="51">
        <v>2003</v>
      </c>
      <c r="D49" s="52">
        <v>2.0750132604955218</v>
      </c>
      <c r="E49" s="53">
        <v>2432332</v>
      </c>
      <c r="F49" s="53">
        <f t="shared" si="3"/>
        <v>5047121.1539275935</v>
      </c>
      <c r="G49" s="54">
        <v>4479000</v>
      </c>
    </row>
    <row r="50" spans="3:13" x14ac:dyDescent="0.25">
      <c r="C50" s="51">
        <v>2004</v>
      </c>
      <c r="D50" s="52">
        <v>2.1377440959816729</v>
      </c>
      <c r="E50" s="53">
        <v>2356742</v>
      </c>
      <c r="F50" s="53">
        <f t="shared" si="3"/>
        <v>5038111.2962520402</v>
      </c>
      <c r="G50" s="54">
        <v>4618000</v>
      </c>
    </row>
    <row r="51" spans="3:13" ht="15.75" thickBot="1" x14ac:dyDescent="0.3">
      <c r="C51" s="51">
        <v>2005</v>
      </c>
      <c r="D51" s="52">
        <v>2.4570229250733506</v>
      </c>
      <c r="E51" s="53">
        <v>2299928</v>
      </c>
      <c r="F51" s="53">
        <f t="shared" si="3"/>
        <v>5650975.8220181009</v>
      </c>
      <c r="G51" s="54">
        <v>5009000</v>
      </c>
    </row>
    <row r="52" spans="3:13" ht="30.75" thickBot="1" x14ac:dyDescent="0.3">
      <c r="C52" s="51">
        <v>2006</v>
      </c>
      <c r="D52" s="52">
        <v>2.5236000259582281</v>
      </c>
      <c r="E52" s="53">
        <v>2268675</v>
      </c>
      <c r="F52" s="53">
        <f t="shared" si="3"/>
        <v>5725228.2888907827</v>
      </c>
      <c r="G52" s="54">
        <v>5027000</v>
      </c>
      <c r="I52" s="148" t="s">
        <v>11</v>
      </c>
      <c r="J52" s="149" t="s">
        <v>19</v>
      </c>
      <c r="K52" s="150" t="s">
        <v>29</v>
      </c>
      <c r="L52" s="150" t="s">
        <v>30</v>
      </c>
      <c r="M52" s="151" t="s">
        <v>31</v>
      </c>
    </row>
    <row r="53" spans="3:13" ht="15.75" thickBot="1" x14ac:dyDescent="0.3">
      <c r="C53" s="51">
        <v>2007</v>
      </c>
      <c r="D53" s="52">
        <v>2.515893788575791</v>
      </c>
      <c r="E53" s="53">
        <v>2447532</v>
      </c>
      <c r="F53" s="53">
        <f t="shared" si="3"/>
        <v>6157730.5561404834</v>
      </c>
      <c r="G53" s="54">
        <v>4775000</v>
      </c>
      <c r="I53" s="133">
        <v>2014</v>
      </c>
      <c r="J53" s="134">
        <v>3.4044368053192517</v>
      </c>
      <c r="K53" s="128">
        <v>2368466.44</v>
      </c>
      <c r="L53" s="128">
        <v>8063294.320499463</v>
      </c>
      <c r="M53" s="144">
        <v>5741000</v>
      </c>
    </row>
    <row r="54" spans="3:13" x14ac:dyDescent="0.25">
      <c r="C54" s="51">
        <v>2008</v>
      </c>
      <c r="D54" s="52">
        <v>2.8676991308393593</v>
      </c>
      <c r="E54" s="53">
        <v>2571311</v>
      </c>
      <c r="F54" s="53">
        <f t="shared" si="3"/>
        <v>7373746.3198176837</v>
      </c>
      <c r="G54" s="54">
        <v>4858000</v>
      </c>
      <c r="I54" s="135">
        <v>2020</v>
      </c>
      <c r="J54" s="136">
        <f>D66</f>
        <v>4.2700000000000102</v>
      </c>
      <c r="K54" s="137">
        <f>E66</f>
        <v>1574160</v>
      </c>
      <c r="L54" s="137">
        <f>F66</f>
        <v>6721663.200000016</v>
      </c>
      <c r="M54" s="145">
        <v>5850870</v>
      </c>
    </row>
    <row r="55" spans="3:13" x14ac:dyDescent="0.25">
      <c r="C55" s="51">
        <v>2009</v>
      </c>
      <c r="D55" s="52">
        <v>2.5510349463565678</v>
      </c>
      <c r="E55" s="53">
        <v>2767662</v>
      </c>
      <c r="F55" s="53">
        <f t="shared" si="3"/>
        <v>7060402.481703111</v>
      </c>
      <c r="G55" s="54">
        <v>5077000</v>
      </c>
      <c r="I55" s="138">
        <v>2025</v>
      </c>
      <c r="J55" s="139">
        <f>D71</f>
        <v>4.8799999999999955</v>
      </c>
      <c r="K55" s="140">
        <f>E71</f>
        <v>969584</v>
      </c>
      <c r="L55" s="140">
        <f t="shared" ref="L55:L56" si="6">+K55*J55</f>
        <v>4731569.9199999953</v>
      </c>
      <c r="M55" s="146">
        <v>5850870</v>
      </c>
    </row>
    <row r="56" spans="3:13" ht="15.75" thickBot="1" x14ac:dyDescent="0.3">
      <c r="C56" s="51">
        <v>2010</v>
      </c>
      <c r="D56" s="52">
        <v>2.9172815060857928</v>
      </c>
      <c r="E56" s="53">
        <v>2719408</v>
      </c>
      <c r="F56" s="53">
        <f t="shared" si="3"/>
        <v>7933278.6659017541</v>
      </c>
      <c r="G56" s="54">
        <v>5164000</v>
      </c>
      <c r="I56" s="141">
        <v>2030</v>
      </c>
      <c r="J56" s="142">
        <f>D76</f>
        <v>5.4900000000000091</v>
      </c>
      <c r="K56" s="143">
        <f>E76</f>
        <v>731504</v>
      </c>
      <c r="L56" s="143">
        <f t="shared" si="6"/>
        <v>4015956.9600000065</v>
      </c>
      <c r="M56" s="147">
        <v>5850870</v>
      </c>
    </row>
    <row r="57" spans="3:13" x14ac:dyDescent="0.25">
      <c r="C57" s="51">
        <v>2011</v>
      </c>
      <c r="D57" s="52">
        <v>3.2227916816258135</v>
      </c>
      <c r="E57" s="53">
        <v>2661226</v>
      </c>
      <c r="F57" s="53">
        <f t="shared" si="3"/>
        <v>8576577.0157263372</v>
      </c>
      <c r="G57" s="54">
        <v>5277000</v>
      </c>
    </row>
    <row r="58" spans="3:13" x14ac:dyDescent="0.25">
      <c r="C58" s="51">
        <v>2012</v>
      </c>
      <c r="D58" s="52">
        <v>3.2521871940502201</v>
      </c>
      <c r="E58" s="53">
        <v>2641874</v>
      </c>
      <c r="F58" s="53">
        <f t="shared" si="3"/>
        <v>8591868.7910942305</v>
      </c>
      <c r="G58" s="54">
        <v>5245000</v>
      </c>
      <c r="H58"/>
    </row>
    <row r="59" spans="3:13" x14ac:dyDescent="0.25">
      <c r="C59" s="51">
        <v>2013</v>
      </c>
      <c r="D59" s="52">
        <v>3.3443678026822998</v>
      </c>
      <c r="E59" s="53">
        <v>2508396</v>
      </c>
      <c r="F59" s="53">
        <f t="shared" si="3"/>
        <v>8388998.8187770694</v>
      </c>
      <c r="G59" s="54">
        <v>5422000</v>
      </c>
    </row>
    <row r="60" spans="3:13" ht="15.75" thickBot="1" x14ac:dyDescent="0.3">
      <c r="C60" s="55">
        <v>2014</v>
      </c>
      <c r="D60" s="56">
        <v>3.4044368053192517</v>
      </c>
      <c r="E60" s="57">
        <v>2368466.4400000004</v>
      </c>
      <c r="F60" s="79">
        <f t="shared" si="3"/>
        <v>8063294.320499463</v>
      </c>
      <c r="G60" s="58">
        <v>5741000</v>
      </c>
    </row>
    <row r="61" spans="3:13" x14ac:dyDescent="0.25">
      <c r="C61" s="81">
        <v>2015</v>
      </c>
      <c r="D61" s="80">
        <f t="shared" ref="D61:D76" si="7">0.122*C61 - 242.17</f>
        <v>3.6599999999999966</v>
      </c>
      <c r="E61" s="64">
        <f t="shared" ref="E61:E76" si="8">-1.10182183892221*C61^5+11117.6221884797*C61^4-44871038.4173958*C61^3+90549072863.1658*C61^2-91361993395092.5*C61+36872346508759500</f>
        <v>2271440</v>
      </c>
      <c r="F61" s="64">
        <f t="shared" si="3"/>
        <v>8313470.399999992</v>
      </c>
      <c r="G61" s="83">
        <f xml:space="preserve"> (121.42*C61 - 238913)*1000</f>
        <v>5748300.0000000177</v>
      </c>
    </row>
    <row r="62" spans="3:13" x14ac:dyDescent="0.25">
      <c r="C62" s="82">
        <v>2016</v>
      </c>
      <c r="D62" s="80">
        <f t="shared" si="7"/>
        <v>3.7820000000000107</v>
      </c>
      <c r="E62" s="65">
        <f t="shared" si="8"/>
        <v>2146384</v>
      </c>
      <c r="F62" s="65">
        <f t="shared" si="3"/>
        <v>8117624.288000023</v>
      </c>
      <c r="G62" s="62">
        <f t="shared" ref="G62" si="9" xml:space="preserve"> (121.42*C62 - 238913)*1000</f>
        <v>5869720.0000000009</v>
      </c>
    </row>
    <row r="63" spans="3:13" x14ac:dyDescent="0.25">
      <c r="C63" s="82">
        <v>2017</v>
      </c>
      <c r="D63" s="80">
        <f t="shared" si="7"/>
        <v>3.9039999999999964</v>
      </c>
      <c r="E63" s="65">
        <f t="shared" si="8"/>
        <v>2010448</v>
      </c>
      <c r="F63" s="65">
        <f t="shared" si="3"/>
        <v>7848788.9919999931</v>
      </c>
      <c r="G63" s="62">
        <v>5869720</v>
      </c>
      <c r="H63" s="3" t="s">
        <v>25</v>
      </c>
    </row>
    <row r="64" spans="3:13" x14ac:dyDescent="0.25">
      <c r="C64" s="82">
        <v>2018</v>
      </c>
      <c r="D64" s="80">
        <f t="shared" si="7"/>
        <v>4.0260000000000105</v>
      </c>
      <c r="E64" s="65">
        <f t="shared" si="8"/>
        <v>1867120</v>
      </c>
      <c r="F64" s="65">
        <f t="shared" si="3"/>
        <v>7517025.1200000197</v>
      </c>
      <c r="G64" s="62">
        <v>5869720</v>
      </c>
    </row>
    <row r="65" spans="3:22" x14ac:dyDescent="0.25">
      <c r="C65" s="82">
        <v>2019</v>
      </c>
      <c r="D65" s="80">
        <f t="shared" si="7"/>
        <v>4.1479999999999961</v>
      </c>
      <c r="E65" s="65">
        <f t="shared" si="8"/>
        <v>1720368</v>
      </c>
      <c r="F65" s="65">
        <f t="shared" si="3"/>
        <v>7136086.4639999932</v>
      </c>
      <c r="G65" s="62">
        <v>5869720</v>
      </c>
    </row>
    <row r="66" spans="3:22" x14ac:dyDescent="0.25">
      <c r="C66" s="85">
        <v>2020</v>
      </c>
      <c r="D66" s="86">
        <f t="shared" si="7"/>
        <v>4.2700000000000102</v>
      </c>
      <c r="E66" s="87">
        <f t="shared" si="8"/>
        <v>1574160</v>
      </c>
      <c r="F66" s="87">
        <f t="shared" si="3"/>
        <v>6721663.200000016</v>
      </c>
      <c r="G66" s="62">
        <v>5869720</v>
      </c>
    </row>
    <row r="67" spans="3:22" x14ac:dyDescent="0.25">
      <c r="C67" s="82">
        <v>2021</v>
      </c>
      <c r="D67" s="80">
        <f t="shared" si="7"/>
        <v>4.3919999999999959</v>
      </c>
      <c r="E67" s="65">
        <f t="shared" si="8"/>
        <v>1432048</v>
      </c>
      <c r="F67" s="65">
        <f t="shared" si="3"/>
        <v>6289554.8159999941</v>
      </c>
      <c r="G67" s="62">
        <v>5869720</v>
      </c>
    </row>
    <row r="68" spans="3:22" x14ac:dyDescent="0.25">
      <c r="C68" s="98">
        <v>2022</v>
      </c>
      <c r="D68" s="99">
        <f t="shared" si="7"/>
        <v>4.51400000000001</v>
      </c>
      <c r="E68" s="95">
        <f t="shared" si="8"/>
        <v>1297744</v>
      </c>
      <c r="F68" s="95">
        <f t="shared" si="3"/>
        <v>5858016.4160000132</v>
      </c>
      <c r="G68" s="94">
        <v>5869720</v>
      </c>
    </row>
    <row r="69" spans="3:22" x14ac:dyDescent="0.25">
      <c r="C69" s="98">
        <v>2023</v>
      </c>
      <c r="D69" s="99">
        <f t="shared" si="7"/>
        <v>4.6359999999999957</v>
      </c>
      <c r="E69" s="95">
        <f t="shared" si="8"/>
        <v>1174288</v>
      </c>
      <c r="F69" s="95">
        <f t="shared" si="3"/>
        <v>5443999.1679999949</v>
      </c>
      <c r="G69" s="94">
        <v>5869720</v>
      </c>
    </row>
    <row r="70" spans="3:22" x14ac:dyDescent="0.25">
      <c r="C70" s="82">
        <v>2024</v>
      </c>
      <c r="D70" s="80">
        <f t="shared" si="7"/>
        <v>4.7580000000000098</v>
      </c>
      <c r="E70" s="65">
        <f t="shared" si="8"/>
        <v>1064240</v>
      </c>
      <c r="F70" s="65">
        <f t="shared" si="3"/>
        <v>5063653.9200000102</v>
      </c>
      <c r="G70" s="62">
        <v>5869720</v>
      </c>
    </row>
    <row r="71" spans="3:22" x14ac:dyDescent="0.25">
      <c r="C71" s="85">
        <v>2025</v>
      </c>
      <c r="D71" s="86">
        <f t="shared" si="7"/>
        <v>4.8799999999999955</v>
      </c>
      <c r="E71" s="87">
        <f t="shared" si="8"/>
        <v>969584</v>
      </c>
      <c r="F71" s="87">
        <f t="shared" si="3"/>
        <v>4731569.9199999953</v>
      </c>
      <c r="G71" s="62">
        <v>5869720</v>
      </c>
    </row>
    <row r="72" spans="3:22" x14ac:dyDescent="0.25">
      <c r="C72" s="82">
        <v>2026</v>
      </c>
      <c r="D72" s="80">
        <f t="shared" si="7"/>
        <v>5.0020000000000095</v>
      </c>
      <c r="E72" s="65">
        <f t="shared" si="8"/>
        <v>891376</v>
      </c>
      <c r="F72" s="65">
        <f t="shared" si="3"/>
        <v>4458662.7520000087</v>
      </c>
      <c r="G72" s="62">
        <v>5869720</v>
      </c>
    </row>
    <row r="73" spans="3:22" x14ac:dyDescent="0.25">
      <c r="C73" s="82">
        <v>2027</v>
      </c>
      <c r="D73" s="80">
        <f t="shared" si="7"/>
        <v>5.1239999999999952</v>
      </c>
      <c r="E73" s="65">
        <f t="shared" si="8"/>
        <v>829936</v>
      </c>
      <c r="F73" s="65">
        <f t="shared" si="3"/>
        <v>4252592.0639999956</v>
      </c>
      <c r="G73" s="62">
        <v>5869720</v>
      </c>
    </row>
    <row r="74" spans="3:22" x14ac:dyDescent="0.25">
      <c r="C74" s="82">
        <v>2028</v>
      </c>
      <c r="D74" s="80">
        <f t="shared" si="7"/>
        <v>5.2460000000000093</v>
      </c>
      <c r="E74" s="65">
        <f t="shared" si="8"/>
        <v>784368</v>
      </c>
      <c r="F74" s="65">
        <f t="shared" si="3"/>
        <v>4114794.5280000074</v>
      </c>
      <c r="G74" s="62">
        <v>5869720</v>
      </c>
    </row>
    <row r="75" spans="3:22" x14ac:dyDescent="0.25">
      <c r="C75" s="82">
        <v>2029</v>
      </c>
      <c r="D75" s="80">
        <f t="shared" si="7"/>
        <v>5.367999999999995</v>
      </c>
      <c r="E75" s="65">
        <f t="shared" si="8"/>
        <v>752624</v>
      </c>
      <c r="F75" s="65">
        <f t="shared" si="3"/>
        <v>4040085.631999996</v>
      </c>
      <c r="G75" s="62">
        <v>5869720</v>
      </c>
    </row>
    <row r="76" spans="3:22" ht="15.75" thickBot="1" x14ac:dyDescent="0.3">
      <c r="C76" s="88">
        <v>2030</v>
      </c>
      <c r="D76" s="89">
        <f t="shared" si="7"/>
        <v>5.4900000000000091</v>
      </c>
      <c r="E76" s="90">
        <f t="shared" si="8"/>
        <v>731504</v>
      </c>
      <c r="F76" s="90">
        <f t="shared" si="3"/>
        <v>4015956.9600000065</v>
      </c>
      <c r="G76" s="63">
        <v>5869720</v>
      </c>
    </row>
    <row r="77" spans="3:22" x14ac:dyDescent="0.25">
      <c r="E77" s="22"/>
    </row>
    <row r="80" spans="3:22" x14ac:dyDescent="0.25">
      <c r="C80" s="1" t="s">
        <v>11</v>
      </c>
      <c r="D80" s="1">
        <v>1999</v>
      </c>
      <c r="E80" s="1">
        <v>2000</v>
      </c>
      <c r="F80" s="1">
        <v>2001</v>
      </c>
      <c r="G80" s="1">
        <v>2002</v>
      </c>
      <c r="H80" s="1">
        <v>2003</v>
      </c>
      <c r="I80" s="1">
        <v>2004</v>
      </c>
      <c r="J80" s="1">
        <v>2005</v>
      </c>
      <c r="K80" s="1">
        <v>2006</v>
      </c>
      <c r="L80" s="1">
        <v>2007</v>
      </c>
      <c r="M80" s="1">
        <v>2008</v>
      </c>
      <c r="N80" s="1">
        <v>2009</v>
      </c>
      <c r="O80" s="1">
        <v>2010</v>
      </c>
      <c r="P80" s="1">
        <v>2011</v>
      </c>
      <c r="Q80" s="1">
        <v>2012</v>
      </c>
      <c r="R80" s="1">
        <v>2013</v>
      </c>
      <c r="S80" s="1">
        <v>2014</v>
      </c>
      <c r="T80" s="1">
        <v>2020</v>
      </c>
      <c r="U80" s="1">
        <v>2025</v>
      </c>
      <c r="V80" s="1">
        <v>2030</v>
      </c>
    </row>
    <row r="81" spans="3:22" x14ac:dyDescent="0.25">
      <c r="C81" s="1" t="s">
        <v>20</v>
      </c>
      <c r="D81" s="40">
        <v>2191759</v>
      </c>
      <c r="E81" s="40">
        <v>2193763</v>
      </c>
      <c r="F81" s="40">
        <v>2405192</v>
      </c>
      <c r="G81" s="40">
        <v>2397883</v>
      </c>
      <c r="H81" s="40">
        <v>2432332</v>
      </c>
      <c r="I81" s="40">
        <v>2356742</v>
      </c>
      <c r="J81" s="40">
        <v>2299928</v>
      </c>
      <c r="K81" s="40">
        <v>2268675</v>
      </c>
      <c r="L81" s="40">
        <v>2447532</v>
      </c>
      <c r="M81" s="40">
        <v>2571311</v>
      </c>
      <c r="N81" s="40">
        <v>2767662</v>
      </c>
      <c r="O81" s="40">
        <v>2719408</v>
      </c>
      <c r="P81" s="40">
        <v>2661226</v>
      </c>
      <c r="Q81" s="40">
        <v>2641874</v>
      </c>
      <c r="R81" s="40">
        <v>2508396</v>
      </c>
      <c r="S81" s="40">
        <v>2368466.4400000004</v>
      </c>
      <c r="T81" s="24">
        <v>1394236.3725000001</v>
      </c>
      <c r="U81" s="24">
        <v>1077480.7400000002</v>
      </c>
      <c r="V81" s="24">
        <v>709901.10400000005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H175"/>
  <sheetViews>
    <sheetView topLeftCell="A43" zoomScale="70" zoomScaleNormal="70" workbookViewId="0">
      <selection activeCell="A72" sqref="A72"/>
    </sheetView>
  </sheetViews>
  <sheetFormatPr baseColWidth="10" defaultRowHeight="15" x14ac:dyDescent="0.25"/>
  <cols>
    <col min="1" max="1" width="11.42578125" style="3"/>
    <col min="2" max="2" width="30.5703125" style="3" bestFit="1" customWidth="1"/>
    <col min="3" max="3" width="15.42578125" style="3" bestFit="1" customWidth="1"/>
    <col min="4" max="4" width="19.85546875" style="3" customWidth="1"/>
    <col min="5" max="5" width="15.42578125" style="3" bestFit="1" customWidth="1"/>
    <col min="6" max="6" width="15.85546875" style="3" bestFit="1" customWidth="1"/>
    <col min="7" max="7" width="18.28515625" style="3" customWidth="1"/>
    <col min="8" max="13" width="15.85546875" style="3" bestFit="1" customWidth="1"/>
    <col min="14" max="15" width="15.42578125" style="3" bestFit="1" customWidth="1"/>
    <col min="16" max="18" width="15.85546875" style="3" bestFit="1" customWidth="1"/>
    <col min="19" max="19" width="14.5703125" style="3" bestFit="1" customWidth="1"/>
    <col min="20" max="23" width="11.5703125" style="3" bestFit="1" customWidth="1"/>
    <col min="24" max="24" width="15.42578125" style="3" customWidth="1"/>
    <col min="25" max="28" width="11.5703125" style="3" bestFit="1" customWidth="1"/>
    <col min="29" max="29" width="15" style="3" bestFit="1" customWidth="1"/>
    <col min="30" max="33" width="11.5703125" style="3" bestFit="1" customWidth="1"/>
    <col min="34" max="34" width="13.140625" style="3" bestFit="1" customWidth="1"/>
    <col min="35" max="16384" width="11.42578125" style="3"/>
  </cols>
  <sheetData>
    <row r="3" spans="2:34" x14ac:dyDescent="0.25">
      <c r="B3" s="10" t="s">
        <v>0</v>
      </c>
      <c r="C3" s="10">
        <v>1999</v>
      </c>
      <c r="D3" s="10">
        <v>2000</v>
      </c>
      <c r="E3" s="10">
        <v>2001</v>
      </c>
      <c r="F3" s="10">
        <v>2002</v>
      </c>
      <c r="G3" s="10">
        <v>2003</v>
      </c>
      <c r="H3" s="10">
        <v>2004</v>
      </c>
      <c r="I3" s="10">
        <v>2005</v>
      </c>
      <c r="J3" s="10">
        <v>2006</v>
      </c>
      <c r="K3" s="10">
        <v>2007</v>
      </c>
      <c r="L3" s="10">
        <v>2008</v>
      </c>
      <c r="M3" s="10">
        <v>2009</v>
      </c>
      <c r="N3" s="10">
        <v>2010</v>
      </c>
      <c r="O3" s="10">
        <v>2011</v>
      </c>
      <c r="P3" s="10">
        <v>2012</v>
      </c>
      <c r="Q3" s="10">
        <v>2013</v>
      </c>
      <c r="R3" s="10">
        <v>2014</v>
      </c>
      <c r="S3" s="10">
        <v>2015</v>
      </c>
      <c r="T3" s="10">
        <v>2016</v>
      </c>
      <c r="U3" s="10">
        <v>2017</v>
      </c>
      <c r="V3" s="10">
        <v>2018</v>
      </c>
      <c r="W3" s="10">
        <v>2019</v>
      </c>
      <c r="X3" s="10">
        <v>2020</v>
      </c>
      <c r="Y3" s="10">
        <v>2021</v>
      </c>
      <c r="Z3" s="10">
        <v>2022</v>
      </c>
      <c r="AA3" s="10">
        <v>2023</v>
      </c>
      <c r="AB3" s="10">
        <v>2024</v>
      </c>
      <c r="AC3" s="10">
        <v>2025</v>
      </c>
      <c r="AD3" s="10">
        <v>2026</v>
      </c>
      <c r="AE3" s="10">
        <v>2027</v>
      </c>
      <c r="AF3" s="10">
        <v>2028</v>
      </c>
      <c r="AG3" s="10">
        <v>2029</v>
      </c>
      <c r="AH3" s="10">
        <v>2030</v>
      </c>
    </row>
    <row r="4" spans="2:34" x14ac:dyDescent="0.25">
      <c r="B4" s="1" t="s">
        <v>1</v>
      </c>
      <c r="C4" s="1"/>
      <c r="D4" s="1"/>
      <c r="E4" s="1"/>
      <c r="F4" s="1"/>
      <c r="G4" s="1"/>
      <c r="H4" s="1" t="s">
        <v>2</v>
      </c>
      <c r="I4" s="1" t="s">
        <v>2</v>
      </c>
      <c r="J4" s="1" t="s">
        <v>2</v>
      </c>
      <c r="K4" s="1" t="s">
        <v>2</v>
      </c>
      <c r="L4" s="1" t="s">
        <v>2</v>
      </c>
      <c r="M4" s="1"/>
      <c r="N4" s="1"/>
      <c r="O4" s="1"/>
      <c r="P4" s="1"/>
      <c r="Q4" s="1"/>
      <c r="R4" s="1">
        <v>0</v>
      </c>
      <c r="S4" s="1"/>
      <c r="T4" s="1"/>
      <c r="U4" s="1"/>
      <c r="V4" s="1"/>
      <c r="W4" s="1"/>
      <c r="X4" s="1"/>
      <c r="Y4" s="1"/>
      <c r="Z4" s="1"/>
      <c r="AA4" s="1"/>
      <c r="AB4" s="1"/>
      <c r="AC4" s="1">
        <v>0</v>
      </c>
      <c r="AD4" s="1"/>
      <c r="AE4" s="1"/>
      <c r="AF4" s="1"/>
      <c r="AG4" s="1"/>
      <c r="AH4" s="1">
        <v>0</v>
      </c>
    </row>
    <row r="5" spans="2:34" x14ac:dyDescent="0.25">
      <c r="B5" s="1" t="s">
        <v>3</v>
      </c>
      <c r="C5" s="2">
        <v>150866.78554714104</v>
      </c>
      <c r="D5" s="2">
        <v>151004.78522356719</v>
      </c>
      <c r="E5" s="2">
        <v>165571.43304554812</v>
      </c>
      <c r="F5" s="2">
        <v>165067.79967826148</v>
      </c>
      <c r="G5" s="2">
        <v>167441.14608541472</v>
      </c>
      <c r="H5" s="2">
        <v>162233.19124730738</v>
      </c>
      <c r="I5" s="2">
        <v>158318.83697064655</v>
      </c>
      <c r="J5" s="2">
        <v>156165.54596364562</v>
      </c>
      <c r="K5" s="2">
        <v>168488.0972002284</v>
      </c>
      <c r="L5" s="2">
        <v>177015.96736931268</v>
      </c>
      <c r="M5" s="2">
        <v>190543.79386270975</v>
      </c>
      <c r="N5" s="2">
        <v>187219.19357017663</v>
      </c>
      <c r="O5" s="2">
        <v>183210.58889044492</v>
      </c>
      <c r="P5" s="2">
        <v>181877.23505226456</v>
      </c>
      <c r="Q5" s="2">
        <v>172681</v>
      </c>
      <c r="R5" s="2">
        <v>179670</v>
      </c>
      <c r="S5" s="2"/>
      <c r="T5" s="2"/>
      <c r="U5" s="2"/>
      <c r="V5" s="2"/>
      <c r="W5" s="2"/>
      <c r="X5" s="2">
        <v>84467.5</v>
      </c>
      <c r="Y5" s="2"/>
      <c r="Z5" s="2"/>
      <c r="AA5" s="2"/>
      <c r="AB5" s="2"/>
      <c r="AC5" s="2">
        <v>67094</v>
      </c>
      <c r="AD5" s="2"/>
      <c r="AE5" s="2"/>
      <c r="AF5" s="2"/>
      <c r="AG5" s="2"/>
      <c r="AH5" s="2">
        <v>15840</v>
      </c>
    </row>
    <row r="6" spans="2:34" x14ac:dyDescent="0.25">
      <c r="B6" s="1" t="s">
        <v>4</v>
      </c>
      <c r="C6" s="2">
        <v>1799596.7084041026</v>
      </c>
      <c r="D6" s="2">
        <v>1801242.8213146194</v>
      </c>
      <c r="E6" s="2">
        <v>1974999.3667188932</v>
      </c>
      <c r="F6" s="2">
        <v>1968991.8353280404</v>
      </c>
      <c r="G6" s="2">
        <v>1997302.0188235396</v>
      </c>
      <c r="H6" s="2">
        <v>1935179.5420292907</v>
      </c>
      <c r="I6" s="2">
        <v>1888487.6273957333</v>
      </c>
      <c r="J6" s="2">
        <v>1862802.3488608883</v>
      </c>
      <c r="K6" s="2">
        <v>2009790.4520677805</v>
      </c>
      <c r="L6" s="2">
        <v>2111514.1484421971</v>
      </c>
      <c r="M6" s="2">
        <v>2272879.2358011524</v>
      </c>
      <c r="N6" s="2">
        <v>2233222.1322080465</v>
      </c>
      <c r="O6" s="2">
        <v>2185405.9627259681</v>
      </c>
      <c r="P6" s="2">
        <v>2169501.208279022</v>
      </c>
      <c r="Q6" s="2">
        <v>2059805</v>
      </c>
      <c r="R6" s="2">
        <v>1954483.03</v>
      </c>
      <c r="S6" s="2"/>
      <c r="T6" s="2"/>
      <c r="U6" s="2"/>
      <c r="V6" s="2"/>
      <c r="W6" s="2"/>
      <c r="X6" s="2">
        <v>1167933.8149999999</v>
      </c>
      <c r="Y6" s="2"/>
      <c r="Z6" s="2"/>
      <c r="AA6" s="2"/>
      <c r="AB6" s="2"/>
      <c r="AC6" s="2">
        <v>893331.12000000011</v>
      </c>
      <c r="AD6" s="2"/>
      <c r="AE6" s="2"/>
      <c r="AF6" s="2"/>
      <c r="AG6" s="2"/>
      <c r="AH6" s="2">
        <v>593939.10400000005</v>
      </c>
    </row>
    <row r="7" spans="2:34" x14ac:dyDescent="0.25">
      <c r="B7" s="1" t="s">
        <v>5</v>
      </c>
      <c r="C7" s="2">
        <v>167927.00480333614</v>
      </c>
      <c r="D7" s="2">
        <v>168080.60966899313</v>
      </c>
      <c r="E7" s="2">
        <v>184294.47364109955</v>
      </c>
      <c r="F7" s="2">
        <v>183733.88873448313</v>
      </c>
      <c r="G7" s="2">
        <v>186375.61634913739</v>
      </c>
      <c r="H7" s="2">
        <v>180578.73896527386</v>
      </c>
      <c r="I7" s="2">
        <v>176221.74423621609</v>
      </c>
      <c r="J7" s="2">
        <v>173824.95618267439</v>
      </c>
      <c r="K7" s="2">
        <v>187540.95810576438</v>
      </c>
      <c r="L7" s="2">
        <v>197033.17131659447</v>
      </c>
      <c r="M7" s="2">
        <v>212090.74264547759</v>
      </c>
      <c r="N7" s="2">
        <v>208390.19207519363</v>
      </c>
      <c r="O7" s="2">
        <v>203928.28898057481</v>
      </c>
      <c r="P7" s="2">
        <v>202444.1576949732</v>
      </c>
      <c r="Q7" s="2">
        <v>192208</v>
      </c>
      <c r="R7" s="2">
        <v>177813.41</v>
      </c>
      <c r="S7" s="2"/>
      <c r="T7" s="2"/>
      <c r="U7" s="2"/>
      <c r="V7" s="2"/>
      <c r="W7" s="2"/>
      <c r="X7" s="2">
        <v>57085.057500000003</v>
      </c>
      <c r="Y7" s="2"/>
      <c r="Z7" s="2"/>
      <c r="AA7" s="2"/>
      <c r="AB7" s="2"/>
      <c r="AC7" s="2">
        <v>51055.62</v>
      </c>
      <c r="AD7" s="2"/>
      <c r="AE7" s="2"/>
      <c r="AF7" s="2"/>
      <c r="AG7" s="2"/>
      <c r="AH7" s="2">
        <v>44880</v>
      </c>
    </row>
    <row r="8" spans="2:34" x14ac:dyDescent="0.25">
      <c r="B8" s="1" t="s">
        <v>6</v>
      </c>
      <c r="C8" s="2">
        <v>18417.033948921613</v>
      </c>
      <c r="D8" s="2">
        <v>18433.880232989133</v>
      </c>
      <c r="E8" s="2">
        <v>20212.100975788617</v>
      </c>
      <c r="F8" s="2">
        <v>20150.620028942107</v>
      </c>
      <c r="G8" s="2">
        <v>20440.34583700895</v>
      </c>
      <c r="H8" s="2">
        <v>19804.585747669051</v>
      </c>
      <c r="I8" s="2">
        <v>19326.741699093873</v>
      </c>
      <c r="J8" s="2">
        <v>19063.87911185162</v>
      </c>
      <c r="K8" s="2">
        <v>20568.152193818743</v>
      </c>
      <c r="L8" s="2">
        <v>21609.190311297196</v>
      </c>
      <c r="M8" s="2">
        <v>23260.597139383724</v>
      </c>
      <c r="N8" s="2">
        <v>22854.74719546055</v>
      </c>
      <c r="O8" s="2">
        <v>22365.397546983044</v>
      </c>
      <c r="P8" s="2">
        <v>22202.62863257531</v>
      </c>
      <c r="Q8" s="2">
        <v>21080</v>
      </c>
      <c r="R8" s="2">
        <v>4520</v>
      </c>
      <c r="S8" s="2"/>
      <c r="T8" s="2"/>
      <c r="U8" s="2"/>
      <c r="V8" s="2"/>
      <c r="W8" s="2"/>
      <c r="X8" s="2">
        <v>3390</v>
      </c>
      <c r="Y8" s="2"/>
      <c r="Z8" s="2"/>
      <c r="AA8" s="2"/>
      <c r="AB8" s="2"/>
      <c r="AC8" s="2">
        <v>2640</v>
      </c>
      <c r="AD8" s="2"/>
      <c r="AE8" s="2"/>
      <c r="AF8" s="2"/>
      <c r="AG8" s="2"/>
      <c r="AH8" s="2">
        <v>2376</v>
      </c>
    </row>
    <row r="9" spans="2:34" x14ac:dyDescent="0.25">
      <c r="B9" s="1" t="s">
        <v>7</v>
      </c>
      <c r="C9" s="2">
        <v>18831.155110771178</v>
      </c>
      <c r="D9" s="2">
        <v>18848.38019648234</v>
      </c>
      <c r="E9" s="2">
        <v>20666.585599247999</v>
      </c>
      <c r="F9" s="2">
        <v>20603.722206063478</v>
      </c>
      <c r="G9" s="2">
        <v>20899.962721579261</v>
      </c>
      <c r="H9" s="2">
        <v>20249.907078048327</v>
      </c>
      <c r="I9" s="2">
        <v>19761.318338817331</v>
      </c>
      <c r="J9" s="2">
        <v>19492.545084290789</v>
      </c>
      <c r="K9" s="2">
        <v>21030.642902541229</v>
      </c>
      <c r="L9" s="2">
        <v>22095.089562129968</v>
      </c>
      <c r="M9" s="2">
        <v>23783.629541853737</v>
      </c>
      <c r="N9" s="2">
        <v>23368.653750045381</v>
      </c>
      <c r="O9" s="2">
        <v>22868.300698656189</v>
      </c>
      <c r="P9" s="2">
        <v>22701.871800119934</v>
      </c>
      <c r="Q9" s="2">
        <v>21554</v>
      </c>
      <c r="R9" s="2">
        <v>7910</v>
      </c>
      <c r="S9" s="2"/>
      <c r="T9" s="2"/>
      <c r="U9" s="2"/>
      <c r="V9" s="2"/>
      <c r="W9" s="2"/>
      <c r="X9" s="2">
        <v>5932.5</v>
      </c>
      <c r="Y9" s="2"/>
      <c r="Z9" s="2"/>
      <c r="AA9" s="2"/>
      <c r="AB9" s="2"/>
      <c r="AC9" s="2">
        <v>4620</v>
      </c>
      <c r="AD9" s="2"/>
      <c r="AE9" s="2"/>
      <c r="AF9" s="2"/>
      <c r="AG9" s="2"/>
      <c r="AH9" s="2">
        <v>0</v>
      </c>
    </row>
    <row r="10" spans="2:34" x14ac:dyDescent="0.25">
      <c r="B10" s="1" t="s">
        <v>8</v>
      </c>
      <c r="C10" s="2">
        <v>1135.7753384059818</v>
      </c>
      <c r="D10" s="2">
        <v>1136.8142458674513</v>
      </c>
      <c r="E10" s="2">
        <v>1246.4768153949335</v>
      </c>
      <c r="F10" s="2">
        <v>1242.6852959025016</v>
      </c>
      <c r="G10" s="2">
        <v>1260.5526370071932</v>
      </c>
      <c r="H10" s="2">
        <v>1221.3454208714311</v>
      </c>
      <c r="I10" s="2">
        <v>1191.8768600010453</v>
      </c>
      <c r="J10" s="2">
        <v>1175.6661691369595</v>
      </c>
      <c r="K10" s="2">
        <v>1268.4344332051405</v>
      </c>
      <c r="L10" s="2">
        <v>1332.6350761236411</v>
      </c>
      <c r="M10" s="2">
        <v>1434.4770531878009</v>
      </c>
      <c r="N10" s="2">
        <v>1409.4483564562956</v>
      </c>
      <c r="O10" s="2">
        <v>1379.2702472048366</v>
      </c>
      <c r="P10" s="2">
        <v>1369.2323160506594</v>
      </c>
      <c r="Q10" s="2">
        <v>1300</v>
      </c>
      <c r="R10" s="2">
        <v>44070</v>
      </c>
      <c r="S10" s="2"/>
      <c r="T10" s="2"/>
      <c r="U10" s="2"/>
      <c r="V10" s="2"/>
      <c r="W10" s="2"/>
      <c r="X10" s="2">
        <v>33052.5</v>
      </c>
      <c r="Y10" s="2"/>
      <c r="Z10" s="2"/>
      <c r="AA10" s="2"/>
      <c r="AB10" s="2"/>
      <c r="AC10" s="2">
        <v>25740</v>
      </c>
      <c r="AD10" s="2"/>
      <c r="AE10" s="2"/>
      <c r="AF10" s="2"/>
      <c r="AG10" s="2"/>
      <c r="AH10" s="2">
        <v>23166</v>
      </c>
    </row>
    <row r="11" spans="2:34" x14ac:dyDescent="0.25">
      <c r="B11" s="1" t="s">
        <v>9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>
        <v>0</v>
      </c>
      <c r="S11" s="2"/>
      <c r="T11" s="2"/>
      <c r="U11" s="2"/>
      <c r="V11" s="2"/>
      <c r="W11" s="2"/>
      <c r="X11" s="2">
        <v>0</v>
      </c>
      <c r="Y11" s="2"/>
      <c r="Z11" s="2"/>
      <c r="AA11" s="2"/>
      <c r="AB11" s="2"/>
      <c r="AC11" s="2">
        <v>0</v>
      </c>
      <c r="AD11" s="2"/>
      <c r="AE11" s="2"/>
      <c r="AF11" s="2"/>
      <c r="AG11" s="2"/>
      <c r="AH11" s="2">
        <v>0</v>
      </c>
    </row>
    <row r="12" spans="2:34" x14ac:dyDescent="0.25">
      <c r="B12" s="1" t="s">
        <v>18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>
        <v>56500</v>
      </c>
      <c r="S12" s="2"/>
      <c r="T12" s="2"/>
      <c r="U12" s="2"/>
      <c r="V12" s="2"/>
      <c r="W12" s="2"/>
      <c r="X12" s="2">
        <v>42375</v>
      </c>
      <c r="Y12" s="2"/>
      <c r="Z12" s="2"/>
      <c r="AA12" s="2"/>
      <c r="AB12" s="2"/>
      <c r="AC12" s="2">
        <v>33000</v>
      </c>
      <c r="AD12" s="2"/>
      <c r="AE12" s="2"/>
      <c r="AF12" s="2"/>
      <c r="AG12" s="2"/>
      <c r="AH12" s="2">
        <v>29700</v>
      </c>
    </row>
    <row r="13" spans="2:34" x14ac:dyDescent="0.25">
      <c r="B13" s="1" t="s">
        <v>10</v>
      </c>
      <c r="C13" s="4">
        <f t="shared" ref="C13:Q13" si="0">+SUM(C5:C11)</f>
        <v>2156774.4631526787</v>
      </c>
      <c r="D13" s="4">
        <f t="shared" si="0"/>
        <v>2158747.290882519</v>
      </c>
      <c r="E13" s="4">
        <f t="shared" si="0"/>
        <v>2366990.4367959723</v>
      </c>
      <c r="F13" s="4">
        <f t="shared" si="0"/>
        <v>2359790.5512716933</v>
      </c>
      <c r="G13" s="4">
        <f t="shared" si="0"/>
        <v>2393719.6424536873</v>
      </c>
      <c r="H13" s="4">
        <f t="shared" si="0"/>
        <v>2319267.3104884606</v>
      </c>
      <c r="I13" s="4">
        <f t="shared" si="0"/>
        <v>2263308.1455005086</v>
      </c>
      <c r="J13" s="4">
        <f t="shared" si="0"/>
        <v>2232524.9413724872</v>
      </c>
      <c r="K13" s="4">
        <f t="shared" si="0"/>
        <v>2408686.7369033387</v>
      </c>
      <c r="L13" s="4">
        <f t="shared" si="0"/>
        <v>2530600.2020776556</v>
      </c>
      <c r="M13" s="4">
        <f t="shared" si="0"/>
        <v>2723992.476043765</v>
      </c>
      <c r="N13" s="4">
        <f t="shared" si="0"/>
        <v>2676464.3671553782</v>
      </c>
      <c r="O13" s="4">
        <f t="shared" si="0"/>
        <v>2619157.8090898315</v>
      </c>
      <c r="P13" s="4">
        <f t="shared" si="0"/>
        <v>2600096.3337750058</v>
      </c>
      <c r="Q13" s="4">
        <f t="shared" si="0"/>
        <v>2468628</v>
      </c>
      <c r="R13" s="4">
        <f>SUM(R4:R12)</f>
        <v>2424966.4400000004</v>
      </c>
      <c r="S13" s="4"/>
      <c r="T13" s="2"/>
      <c r="U13" s="2"/>
      <c r="V13" s="2"/>
      <c r="W13" s="2"/>
      <c r="X13" s="17">
        <f>SUM(X4:X12)</f>
        <v>1394236.3725000001</v>
      </c>
      <c r="Y13" s="2"/>
      <c r="Z13" s="2"/>
      <c r="AA13" s="2"/>
      <c r="AB13" s="2"/>
      <c r="AC13" s="17">
        <f>SUM(AC4:AC12)</f>
        <v>1077480.7400000002</v>
      </c>
      <c r="AD13" s="2"/>
      <c r="AE13" s="2"/>
      <c r="AF13" s="2"/>
      <c r="AG13" s="2"/>
      <c r="AH13" s="17">
        <f>SUM(AH4:AH12)</f>
        <v>709901.10400000005</v>
      </c>
    </row>
    <row r="14" spans="2:34" s="6" customFormat="1" x14ac:dyDescent="0.25">
      <c r="B14" s="5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</row>
    <row r="15" spans="2:34" s="6" customFormat="1" x14ac:dyDescent="0.25"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</row>
    <row r="16" spans="2:34" s="6" customFormat="1" x14ac:dyDescent="0.25"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</row>
    <row r="17" spans="18:34" s="6" customFormat="1" x14ac:dyDescent="0.25"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</row>
    <row r="18" spans="18:34" s="6" customFormat="1" x14ac:dyDescent="0.25"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</row>
    <row r="19" spans="18:34" s="6" customFormat="1" x14ac:dyDescent="0.25"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</row>
    <row r="20" spans="18:34" s="6" customFormat="1" x14ac:dyDescent="0.25"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</row>
    <row r="21" spans="18:34" s="6" customFormat="1" x14ac:dyDescent="0.25"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</row>
    <row r="22" spans="18:34" s="6" customFormat="1" x14ac:dyDescent="0.25"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</row>
    <row r="23" spans="18:34" s="6" customFormat="1" x14ac:dyDescent="0.25"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</row>
    <row r="24" spans="18:34" s="6" customFormat="1" x14ac:dyDescent="0.25"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</row>
    <row r="25" spans="18:34" s="6" customFormat="1" x14ac:dyDescent="0.25"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</row>
    <row r="26" spans="18:34" s="6" customFormat="1" x14ac:dyDescent="0.25"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</row>
    <row r="27" spans="18:34" s="6" customFormat="1" x14ac:dyDescent="0.25"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</row>
    <row r="28" spans="18:34" s="6" customFormat="1" x14ac:dyDescent="0.25"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</row>
    <row r="29" spans="18:34" s="6" customFormat="1" x14ac:dyDescent="0.25"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</row>
    <row r="30" spans="18:34" s="6" customFormat="1" x14ac:dyDescent="0.25"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</row>
    <row r="31" spans="18:34" s="6" customFormat="1" x14ac:dyDescent="0.25"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</row>
    <row r="32" spans="18:34" s="6" customFormat="1" x14ac:dyDescent="0.25"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</row>
    <row r="33" spans="2:34" s="6" customFormat="1" x14ac:dyDescent="0.25"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</row>
    <row r="34" spans="2:34" s="6" customFormat="1" x14ac:dyDescent="0.25">
      <c r="R34" s="14"/>
      <c r="S34" s="14"/>
      <c r="T34" s="14"/>
      <c r="U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</row>
    <row r="35" spans="2:34" s="6" customFormat="1" x14ac:dyDescent="0.25">
      <c r="R35" s="14"/>
      <c r="S35" s="14"/>
      <c r="T35" s="14"/>
      <c r="U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</row>
    <row r="36" spans="2:34" s="6" customFormat="1" x14ac:dyDescent="0.25">
      <c r="R36" s="14"/>
      <c r="S36" s="14"/>
      <c r="T36" s="14"/>
      <c r="U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</row>
    <row r="37" spans="2:34" s="6" customFormat="1" x14ac:dyDescent="0.25">
      <c r="R37" s="14"/>
      <c r="S37" s="14"/>
      <c r="T37" s="14"/>
      <c r="U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</row>
    <row r="38" spans="2:34" s="6" customFormat="1" x14ac:dyDescent="0.25">
      <c r="R38" s="14"/>
      <c r="S38" s="14"/>
      <c r="T38" s="14"/>
      <c r="U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</row>
    <row r="39" spans="2:34" s="6" customFormat="1" x14ac:dyDescent="0.25">
      <c r="R39" s="14"/>
      <c r="S39" s="14"/>
      <c r="T39" s="14"/>
      <c r="U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</row>
    <row r="40" spans="2:34" s="6" customFormat="1" x14ac:dyDescent="0.25">
      <c r="R40" s="14"/>
      <c r="S40" s="14"/>
      <c r="T40" s="14"/>
      <c r="U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</row>
    <row r="41" spans="2:34" s="6" customFormat="1" x14ac:dyDescent="0.25">
      <c r="B41" s="8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Y41" s="9"/>
      <c r="Z41" s="9"/>
      <c r="AA41" s="9"/>
      <c r="AB41" s="9"/>
      <c r="AC41" s="9"/>
      <c r="AD41" s="9"/>
      <c r="AE41" s="9"/>
      <c r="AF41" s="9"/>
      <c r="AG41" s="9"/>
      <c r="AH41" s="9"/>
    </row>
    <row r="42" spans="2:34" x14ac:dyDescent="0.25">
      <c r="B42" s="10" t="s">
        <v>11</v>
      </c>
      <c r="C42" s="10">
        <v>1999</v>
      </c>
      <c r="D42" s="10">
        <v>2000</v>
      </c>
      <c r="E42" s="10">
        <v>2001</v>
      </c>
      <c r="F42" s="10">
        <v>2002</v>
      </c>
      <c r="G42" s="10">
        <v>2003</v>
      </c>
      <c r="H42" s="10">
        <v>2004</v>
      </c>
      <c r="I42" s="10">
        <v>2005</v>
      </c>
      <c r="J42" s="10">
        <v>2006</v>
      </c>
      <c r="K42" s="10">
        <v>2007</v>
      </c>
      <c r="L42" s="10">
        <v>2008</v>
      </c>
      <c r="M42" s="10">
        <v>2009</v>
      </c>
      <c r="N42" s="10">
        <v>2010</v>
      </c>
      <c r="O42" s="10">
        <v>2011</v>
      </c>
      <c r="P42" s="10">
        <v>2012</v>
      </c>
      <c r="Q42" s="10">
        <v>2013</v>
      </c>
      <c r="R42" s="10">
        <v>2014</v>
      </c>
      <c r="S42" s="15">
        <v>2015</v>
      </c>
      <c r="T42" s="10">
        <v>2016</v>
      </c>
      <c r="U42" s="10">
        <v>2017</v>
      </c>
      <c r="V42" s="10">
        <v>2018</v>
      </c>
      <c r="W42" s="10">
        <v>2019</v>
      </c>
      <c r="X42" s="15">
        <v>2020</v>
      </c>
      <c r="Y42" s="10">
        <v>2021</v>
      </c>
      <c r="Z42" s="10">
        <v>2022</v>
      </c>
      <c r="AA42" s="10">
        <v>2023</v>
      </c>
      <c r="AB42" s="10">
        <v>2024</v>
      </c>
      <c r="AC42" s="15">
        <v>2025</v>
      </c>
      <c r="AD42" s="10">
        <v>2026</v>
      </c>
      <c r="AE42" s="11">
        <v>2027</v>
      </c>
      <c r="AF42" s="11">
        <v>2028</v>
      </c>
      <c r="AG42" s="11">
        <v>2029</v>
      </c>
      <c r="AH42" s="16">
        <v>2030</v>
      </c>
    </row>
    <row r="43" spans="2:34" x14ac:dyDescent="0.25">
      <c r="B43" s="1" t="s">
        <v>12</v>
      </c>
      <c r="C43" s="2">
        <v>2086131</v>
      </c>
      <c r="D43" s="2">
        <v>2027669</v>
      </c>
      <c r="E43" s="2">
        <v>2190902</v>
      </c>
      <c r="F43" s="2">
        <v>2099143</v>
      </c>
      <c r="G43" s="2">
        <v>2126141</v>
      </c>
      <c r="H43" s="2">
        <v>2090147</v>
      </c>
      <c r="I43" s="2">
        <v>2166346</v>
      </c>
      <c r="J43" s="2">
        <v>2127240</v>
      </c>
      <c r="K43" s="2">
        <v>2299849</v>
      </c>
      <c r="L43" s="2">
        <v>2439573</v>
      </c>
      <c r="M43" s="2">
        <v>2649910</v>
      </c>
      <c r="N43" s="2">
        <v>2563456</v>
      </c>
      <c r="O43" s="2">
        <v>2497644</v>
      </c>
      <c r="P43" s="2">
        <v>2478229</v>
      </c>
      <c r="Q43" s="2">
        <v>2346744</v>
      </c>
      <c r="R43" s="2"/>
      <c r="S43" s="16"/>
      <c r="T43" s="2"/>
      <c r="U43" s="2"/>
      <c r="V43" s="2"/>
      <c r="W43" s="2"/>
      <c r="X43" s="16"/>
      <c r="Y43" s="2"/>
      <c r="Z43" s="2"/>
      <c r="AA43" s="2"/>
      <c r="AB43" s="2"/>
      <c r="AC43" s="16"/>
      <c r="AD43" s="2"/>
      <c r="AE43" s="2"/>
      <c r="AF43" s="2"/>
      <c r="AG43" s="2"/>
      <c r="AH43" s="16"/>
    </row>
    <row r="44" spans="2:34" x14ac:dyDescent="0.25">
      <c r="B44" s="1" t="s">
        <v>13</v>
      </c>
      <c r="C44" s="2">
        <v>101926</v>
      </c>
      <c r="D44" s="2">
        <v>162435</v>
      </c>
      <c r="E44" s="2">
        <v>210570</v>
      </c>
      <c r="F44" s="2">
        <v>294958</v>
      </c>
      <c r="G44" s="2">
        <v>302118</v>
      </c>
      <c r="H44" s="2">
        <v>261712</v>
      </c>
      <c r="I44" s="2">
        <v>128794</v>
      </c>
      <c r="J44" s="2">
        <v>136208</v>
      </c>
      <c r="K44" s="2">
        <v>142891</v>
      </c>
      <c r="L44" s="2">
        <v>126347</v>
      </c>
      <c r="M44" s="2">
        <v>115743</v>
      </c>
      <c r="N44" s="2">
        <v>153942</v>
      </c>
      <c r="O44" s="2">
        <v>161571</v>
      </c>
      <c r="P44" s="2">
        <v>161633</v>
      </c>
      <c r="Q44" s="2">
        <v>159639</v>
      </c>
      <c r="R44" s="2"/>
      <c r="S44" s="16"/>
      <c r="T44" s="2"/>
      <c r="U44" s="2"/>
      <c r="V44" s="2"/>
      <c r="W44" s="2"/>
      <c r="X44" s="16"/>
      <c r="Y44" s="2"/>
      <c r="Z44" s="2"/>
      <c r="AA44" s="2"/>
      <c r="AB44" s="2"/>
      <c r="AC44" s="16"/>
      <c r="AD44" s="2"/>
      <c r="AE44" s="2"/>
      <c r="AF44" s="2"/>
      <c r="AG44" s="2"/>
      <c r="AH44" s="16"/>
    </row>
    <row r="45" spans="2:34" x14ac:dyDescent="0.25">
      <c r="B45" s="1" t="s">
        <v>14</v>
      </c>
      <c r="C45" s="2">
        <v>1703</v>
      </c>
      <c r="D45" s="2">
        <v>1659</v>
      </c>
      <c r="E45" s="2">
        <v>1719</v>
      </c>
      <c r="F45" s="2">
        <v>1780</v>
      </c>
      <c r="G45" s="2">
        <v>2070</v>
      </c>
      <c r="H45" s="2">
        <v>2879</v>
      </c>
      <c r="I45" s="2">
        <v>2783</v>
      </c>
      <c r="J45" s="2">
        <v>3221</v>
      </c>
      <c r="K45" s="2">
        <v>2785</v>
      </c>
      <c r="L45" s="2">
        <v>3383</v>
      </c>
      <c r="M45" s="2"/>
      <c r="N45" s="2"/>
      <c r="O45" s="2"/>
      <c r="P45" s="2"/>
      <c r="Q45" s="2"/>
      <c r="R45" s="2"/>
      <c r="S45" s="16"/>
      <c r="T45" s="2"/>
      <c r="U45" s="2"/>
      <c r="V45" s="2"/>
      <c r="W45" s="2"/>
      <c r="X45" s="16"/>
      <c r="Y45" s="2"/>
      <c r="Z45" s="2"/>
      <c r="AA45" s="2"/>
      <c r="AB45" s="2"/>
      <c r="AC45" s="16"/>
      <c r="AD45" s="2"/>
      <c r="AE45" s="2"/>
      <c r="AF45" s="2"/>
      <c r="AG45" s="2"/>
      <c r="AH45" s="16"/>
    </row>
    <row r="46" spans="2:34" x14ac:dyDescent="0.25">
      <c r="B46" s="1" t="s">
        <v>10</v>
      </c>
      <c r="C46" s="4">
        <f t="shared" ref="C46:Q46" si="1">SUM(C42:C45)</f>
        <v>2191759</v>
      </c>
      <c r="D46" s="4">
        <f t="shared" si="1"/>
        <v>2193763</v>
      </c>
      <c r="E46" s="4">
        <f t="shared" si="1"/>
        <v>2405192</v>
      </c>
      <c r="F46" s="4">
        <f t="shared" si="1"/>
        <v>2397883</v>
      </c>
      <c r="G46" s="4">
        <f t="shared" si="1"/>
        <v>2432332</v>
      </c>
      <c r="H46" s="4">
        <f t="shared" si="1"/>
        <v>2356742</v>
      </c>
      <c r="I46" s="4">
        <f t="shared" si="1"/>
        <v>2299928</v>
      </c>
      <c r="J46" s="4">
        <f t="shared" si="1"/>
        <v>2268675</v>
      </c>
      <c r="K46" s="4">
        <f t="shared" si="1"/>
        <v>2447532</v>
      </c>
      <c r="L46" s="4">
        <f t="shared" si="1"/>
        <v>2571311</v>
      </c>
      <c r="M46" s="4">
        <f t="shared" si="1"/>
        <v>2767662</v>
      </c>
      <c r="N46" s="4">
        <f t="shared" si="1"/>
        <v>2719408</v>
      </c>
      <c r="O46" s="4">
        <f t="shared" si="1"/>
        <v>2661226</v>
      </c>
      <c r="P46" s="4">
        <f t="shared" si="1"/>
        <v>2641874</v>
      </c>
      <c r="Q46" s="4">
        <f t="shared" si="1"/>
        <v>2508396</v>
      </c>
      <c r="R46" s="2"/>
      <c r="S46" s="16"/>
      <c r="T46" s="2"/>
      <c r="U46" s="2"/>
      <c r="V46" s="2"/>
      <c r="W46" s="2"/>
      <c r="X46" s="16"/>
      <c r="Y46" s="2"/>
      <c r="Z46" s="2"/>
      <c r="AA46" s="2"/>
      <c r="AB46" s="2"/>
      <c r="AC46" s="16"/>
      <c r="AD46" s="2"/>
      <c r="AE46" s="2"/>
      <c r="AF46" s="2"/>
      <c r="AG46" s="2"/>
      <c r="AH46" s="16"/>
    </row>
    <row r="47" spans="2:34" x14ac:dyDescent="0.25">
      <c r="B47" s="5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7"/>
      <c r="S47" s="20"/>
      <c r="T47" s="7"/>
      <c r="U47" s="7"/>
      <c r="V47" s="7"/>
      <c r="W47" s="7"/>
      <c r="X47" s="20"/>
      <c r="Y47" s="7"/>
      <c r="Z47" s="7"/>
      <c r="AA47" s="7"/>
      <c r="AB47" s="7"/>
      <c r="AC47" s="20"/>
      <c r="AD47" s="7"/>
      <c r="AE47" s="7"/>
      <c r="AF47" s="7"/>
      <c r="AG47" s="7"/>
      <c r="AH47" s="20"/>
    </row>
    <row r="48" spans="2:34" x14ac:dyDescent="0.25">
      <c r="B48" s="5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7"/>
      <c r="S48" s="20"/>
      <c r="T48" s="7"/>
      <c r="U48" s="7"/>
      <c r="V48" s="7"/>
      <c r="W48" s="7"/>
      <c r="X48" s="20"/>
      <c r="Y48" s="7"/>
      <c r="Z48" s="7"/>
      <c r="AA48" s="7"/>
      <c r="AB48" s="7"/>
      <c r="AC48" s="20"/>
      <c r="AD48" s="7"/>
      <c r="AE48" s="7"/>
      <c r="AF48" s="7"/>
      <c r="AG48" s="7"/>
      <c r="AH48" s="20"/>
    </row>
    <row r="49" spans="2:34" s="6" customFormat="1" x14ac:dyDescent="0.25">
      <c r="B49" s="5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</row>
    <row r="50" spans="2:34" s="6" customFormat="1" x14ac:dyDescent="0.25"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</row>
    <row r="51" spans="2:34" s="6" customFormat="1" x14ac:dyDescent="0.25"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</row>
    <row r="52" spans="2:34" s="6" customFormat="1" x14ac:dyDescent="0.25"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</row>
    <row r="53" spans="2:34" s="6" customFormat="1" x14ac:dyDescent="0.25"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</row>
    <row r="54" spans="2:34" s="6" customFormat="1" x14ac:dyDescent="0.25"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</row>
    <row r="55" spans="2:34" s="6" customFormat="1" x14ac:dyDescent="0.25"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</row>
    <row r="56" spans="2:34" s="6" customFormat="1" x14ac:dyDescent="0.25"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</row>
    <row r="57" spans="2:34" s="6" customFormat="1" x14ac:dyDescent="0.25"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</row>
    <row r="58" spans="2:34" s="6" customFormat="1" x14ac:dyDescent="0.25"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</row>
    <row r="59" spans="2:34" s="6" customFormat="1" x14ac:dyDescent="0.25"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</row>
    <row r="60" spans="2:34" s="6" customFormat="1" x14ac:dyDescent="0.25"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</row>
    <row r="61" spans="2:34" s="6" customFormat="1" x14ac:dyDescent="0.25"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</row>
    <row r="62" spans="2:34" s="6" customFormat="1" x14ac:dyDescent="0.25"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</row>
    <row r="63" spans="2:34" s="6" customFormat="1" x14ac:dyDescent="0.25"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</row>
    <row r="64" spans="2:34" s="6" customFormat="1" x14ac:dyDescent="0.25">
      <c r="B64" s="8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</row>
    <row r="65" spans="2:34" s="6" customFormat="1" x14ac:dyDescent="0.25">
      <c r="B65" s="8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</row>
    <row r="66" spans="2:34" s="6" customFormat="1" x14ac:dyDescent="0.25">
      <c r="B66" s="8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</row>
    <row r="67" spans="2:34" s="6" customFormat="1" x14ac:dyDescent="0.25">
      <c r="B67" s="8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</row>
    <row r="68" spans="2:34" s="6" customFormat="1" x14ac:dyDescent="0.25">
      <c r="B68" s="8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</row>
    <row r="69" spans="2:34" s="6" customFormat="1" x14ac:dyDescent="0.25">
      <c r="B69" s="8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</row>
    <row r="70" spans="2:34" x14ac:dyDescent="0.25">
      <c r="B70" s="10" t="s">
        <v>15</v>
      </c>
      <c r="C70" s="10">
        <v>1999</v>
      </c>
      <c r="D70" s="10">
        <v>2000</v>
      </c>
      <c r="E70" s="10">
        <v>2001</v>
      </c>
      <c r="F70" s="10">
        <v>2002</v>
      </c>
      <c r="G70" s="10">
        <v>2003</v>
      </c>
      <c r="H70" s="10">
        <v>2004</v>
      </c>
      <c r="I70" s="10">
        <v>2005</v>
      </c>
      <c r="J70" s="10">
        <v>2006</v>
      </c>
      <c r="K70" s="10">
        <v>2007</v>
      </c>
      <c r="L70" s="10">
        <v>2008</v>
      </c>
      <c r="M70" s="10">
        <v>2009</v>
      </c>
      <c r="N70" s="10">
        <v>2010</v>
      </c>
      <c r="O70" s="10">
        <v>2011</v>
      </c>
      <c r="P70" s="10">
        <v>2012</v>
      </c>
      <c r="Q70" s="10">
        <v>2013</v>
      </c>
      <c r="R70" s="10">
        <v>2014</v>
      </c>
      <c r="S70" s="15">
        <v>2015</v>
      </c>
      <c r="T70" s="10">
        <v>2016</v>
      </c>
      <c r="U70" s="10">
        <v>2017</v>
      </c>
      <c r="V70" s="10">
        <v>2018</v>
      </c>
      <c r="W70" s="10">
        <v>2019</v>
      </c>
      <c r="X70" s="15">
        <v>2020</v>
      </c>
      <c r="Y70" s="10">
        <v>2021</v>
      </c>
      <c r="Z70" s="10">
        <v>2022</v>
      </c>
      <c r="AA70" s="10">
        <v>2023</v>
      </c>
      <c r="AB70" s="10">
        <v>2024</v>
      </c>
      <c r="AC70" s="15">
        <v>2025</v>
      </c>
      <c r="AD70" s="10">
        <v>2026</v>
      </c>
      <c r="AE70" s="10">
        <v>2027</v>
      </c>
      <c r="AF70" s="10">
        <v>2028</v>
      </c>
      <c r="AG70" s="10">
        <v>2029</v>
      </c>
      <c r="AH70" s="15">
        <v>2030</v>
      </c>
    </row>
    <row r="71" spans="2:34" x14ac:dyDescent="0.25">
      <c r="B71" s="1" t="s">
        <v>16</v>
      </c>
      <c r="C71" s="2">
        <v>3311</v>
      </c>
      <c r="D71" s="2">
        <v>3602</v>
      </c>
      <c r="E71" s="2">
        <v>3660</v>
      </c>
      <c r="F71" s="2">
        <v>3840</v>
      </c>
      <c r="G71" s="2">
        <v>4479</v>
      </c>
      <c r="H71" s="2">
        <v>4618</v>
      </c>
      <c r="I71" s="2">
        <v>5009</v>
      </c>
      <c r="J71" s="2">
        <v>5027</v>
      </c>
      <c r="K71" s="2">
        <v>4775</v>
      </c>
      <c r="L71" s="2">
        <v>4858</v>
      </c>
      <c r="M71" s="2">
        <v>5077</v>
      </c>
      <c r="N71" s="2">
        <v>5164</v>
      </c>
      <c r="O71" s="2">
        <v>5277</v>
      </c>
      <c r="P71" s="2">
        <v>5245</v>
      </c>
      <c r="Q71" s="2">
        <v>5422</v>
      </c>
      <c r="R71" s="2">
        <v>5741</v>
      </c>
      <c r="S71" s="16"/>
      <c r="T71" s="2"/>
      <c r="U71" s="2"/>
      <c r="V71" s="2"/>
      <c r="W71" s="2"/>
      <c r="X71" s="16"/>
      <c r="Y71" s="2"/>
      <c r="Z71" s="2"/>
      <c r="AA71" s="2"/>
      <c r="AB71" s="2"/>
      <c r="AC71" s="16"/>
      <c r="AD71" s="2"/>
      <c r="AE71" s="2"/>
      <c r="AF71" s="2"/>
      <c r="AG71" s="2"/>
      <c r="AH71" s="16"/>
    </row>
    <row r="72" spans="2:34" x14ac:dyDescent="0.25">
      <c r="B72" s="1" t="s">
        <v>27</v>
      </c>
      <c r="C72" s="2">
        <v>381</v>
      </c>
      <c r="D72" s="2">
        <v>529</v>
      </c>
      <c r="E72" s="2">
        <v>559</v>
      </c>
      <c r="F72" s="2">
        <v>522</v>
      </c>
      <c r="G72" s="2">
        <v>488</v>
      </c>
      <c r="H72" s="2">
        <v>340</v>
      </c>
      <c r="I72" s="2">
        <v>552</v>
      </c>
      <c r="J72" s="2">
        <v>607</v>
      </c>
      <c r="K72" s="2">
        <v>1285</v>
      </c>
      <c r="L72" s="2">
        <v>2399</v>
      </c>
      <c r="M72" s="2">
        <v>1872</v>
      </c>
      <c r="N72" s="2">
        <v>2644</v>
      </c>
      <c r="O72" s="2">
        <v>3164</v>
      </c>
      <c r="P72" s="2">
        <v>3211</v>
      </c>
      <c r="Q72" s="2">
        <v>2834</v>
      </c>
      <c r="R72" s="2">
        <v>2514.645</v>
      </c>
      <c r="S72" s="16"/>
      <c r="T72" s="2"/>
      <c r="U72" s="2"/>
      <c r="V72" s="2"/>
      <c r="W72" s="2"/>
      <c r="X72" s="16"/>
      <c r="Y72" s="2"/>
      <c r="Z72" s="2"/>
      <c r="AA72" s="2"/>
      <c r="AB72" s="2"/>
      <c r="AC72" s="16"/>
      <c r="AD72" s="2"/>
      <c r="AE72" s="2"/>
      <c r="AF72" s="2"/>
      <c r="AG72" s="2"/>
      <c r="AH72" s="16"/>
    </row>
    <row r="73" spans="2:34" x14ac:dyDescent="0.25">
      <c r="B73" s="12" t="s">
        <v>17</v>
      </c>
      <c r="C73" s="4">
        <f t="shared" ref="C73:R73" si="2">SUM(C71:C72)</f>
        <v>3692</v>
      </c>
      <c r="D73" s="4">
        <f t="shared" si="2"/>
        <v>4131</v>
      </c>
      <c r="E73" s="4">
        <f t="shared" si="2"/>
        <v>4219</v>
      </c>
      <c r="F73" s="4">
        <f t="shared" si="2"/>
        <v>4362</v>
      </c>
      <c r="G73" s="4">
        <f t="shared" si="2"/>
        <v>4967</v>
      </c>
      <c r="H73" s="4">
        <f t="shared" si="2"/>
        <v>4958</v>
      </c>
      <c r="I73" s="4">
        <f t="shared" si="2"/>
        <v>5561</v>
      </c>
      <c r="J73" s="4">
        <f t="shared" si="2"/>
        <v>5634</v>
      </c>
      <c r="K73" s="4">
        <f t="shared" si="2"/>
        <v>6060</v>
      </c>
      <c r="L73" s="4">
        <f t="shared" si="2"/>
        <v>7257</v>
      </c>
      <c r="M73" s="4">
        <f t="shared" si="2"/>
        <v>6949</v>
      </c>
      <c r="N73" s="4">
        <f t="shared" si="2"/>
        <v>7808</v>
      </c>
      <c r="O73" s="4">
        <f t="shared" si="2"/>
        <v>8441</v>
      </c>
      <c r="P73" s="4">
        <f t="shared" si="2"/>
        <v>8456</v>
      </c>
      <c r="Q73" s="4">
        <f t="shared" si="2"/>
        <v>8256</v>
      </c>
      <c r="R73" s="4">
        <f t="shared" si="2"/>
        <v>8255.6450000000004</v>
      </c>
      <c r="S73" s="16"/>
      <c r="T73" s="2"/>
      <c r="U73" s="2"/>
      <c r="V73" s="2"/>
      <c r="W73" s="2"/>
      <c r="X73" s="16"/>
      <c r="Y73" s="2"/>
      <c r="Z73" s="2"/>
      <c r="AA73" s="2"/>
      <c r="AB73" s="2"/>
      <c r="AC73" s="16"/>
      <c r="AD73" s="2"/>
      <c r="AE73" s="2"/>
      <c r="AF73" s="2"/>
      <c r="AG73" s="2"/>
      <c r="AH73" s="16"/>
    </row>
    <row r="74" spans="2:34" x14ac:dyDescent="0.25">
      <c r="C74" s="18">
        <f t="shared" ref="C74:R74" si="3">+C73*1000/C13</f>
        <v>1.7118155203874195</v>
      </c>
      <c r="D74" s="18">
        <f t="shared" si="3"/>
        <v>1.9136098131760495</v>
      </c>
      <c r="E74" s="18">
        <f t="shared" si="3"/>
        <v>1.7824322119826399</v>
      </c>
      <c r="F74" s="18">
        <f t="shared" si="3"/>
        <v>1.8484691353854747</v>
      </c>
      <c r="G74" s="18">
        <f t="shared" si="3"/>
        <v>2.0750132604955218</v>
      </c>
      <c r="H74" s="18">
        <f t="shared" si="3"/>
        <v>2.1377440959816729</v>
      </c>
      <c r="I74" s="18">
        <f t="shared" si="3"/>
        <v>2.4570229250733506</v>
      </c>
      <c r="J74" s="18">
        <f t="shared" si="3"/>
        <v>2.5236000259582281</v>
      </c>
      <c r="K74" s="18">
        <f t="shared" si="3"/>
        <v>2.515893788575791</v>
      </c>
      <c r="L74" s="18">
        <f t="shared" si="3"/>
        <v>2.8676991308393593</v>
      </c>
      <c r="M74" s="18">
        <f t="shared" si="3"/>
        <v>2.5510349463565678</v>
      </c>
      <c r="N74" s="18">
        <f t="shared" si="3"/>
        <v>2.9172815060857928</v>
      </c>
      <c r="O74" s="18">
        <f t="shared" si="3"/>
        <v>3.2227916816258135</v>
      </c>
      <c r="P74" s="18">
        <f t="shared" si="3"/>
        <v>3.2521871940502201</v>
      </c>
      <c r="Q74" s="18">
        <f t="shared" si="3"/>
        <v>3.3443678026822998</v>
      </c>
      <c r="R74" s="18">
        <f t="shared" si="3"/>
        <v>3.4044368053192517</v>
      </c>
    </row>
    <row r="75" spans="2:34" x14ac:dyDescent="0.25"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</row>
    <row r="76" spans="2:34" x14ac:dyDescent="0.25"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</row>
    <row r="113" spans="2:11" x14ac:dyDescent="0.25">
      <c r="B113" s="25" t="s">
        <v>11</v>
      </c>
      <c r="C113" s="25" t="s">
        <v>19</v>
      </c>
      <c r="D113" s="25" t="s">
        <v>20</v>
      </c>
      <c r="E113" s="25" t="s">
        <v>21</v>
      </c>
      <c r="F113" s="25" t="s">
        <v>26</v>
      </c>
      <c r="G113" s="3" t="s">
        <v>11</v>
      </c>
      <c r="H113" s="3" t="s">
        <v>19</v>
      </c>
      <c r="I113" s="3" t="s">
        <v>20</v>
      </c>
      <c r="J113" s="3" t="s">
        <v>21</v>
      </c>
      <c r="K113" s="3" t="s">
        <v>22</v>
      </c>
    </row>
    <row r="114" spans="2:11" x14ac:dyDescent="0.25">
      <c r="B114" s="25">
        <v>1999</v>
      </c>
      <c r="C114" s="28">
        <v>1.6844917712211973</v>
      </c>
      <c r="D114" s="26">
        <v>2191759</v>
      </c>
      <c r="E114" s="26">
        <f>+D114*C114</f>
        <v>3692000</v>
      </c>
      <c r="F114" s="26">
        <v>3311000</v>
      </c>
      <c r="G114" s="3">
        <v>2013</v>
      </c>
      <c r="H114" s="23">
        <f t="shared" ref="H114:H117" si="4">0.1191*G114-236.51</f>
        <v>3.2383000000000095</v>
      </c>
      <c r="I114" s="22">
        <v>2508396</v>
      </c>
      <c r="J114" s="22">
        <f t="shared" ref="J114:J117" si="5">+I114*H114</f>
        <v>8122938.7668000236</v>
      </c>
      <c r="K114" s="3">
        <v>5422000</v>
      </c>
    </row>
    <row r="115" spans="2:11" x14ac:dyDescent="0.25">
      <c r="B115" s="25">
        <v>2000</v>
      </c>
      <c r="C115" s="28">
        <v>1.883065764168691</v>
      </c>
      <c r="D115" s="26">
        <v>2193763</v>
      </c>
      <c r="E115" s="26">
        <f t="shared" ref="E115:E132" si="6">+D115*C115</f>
        <v>4131000</v>
      </c>
      <c r="F115" s="26">
        <v>3602000</v>
      </c>
      <c r="G115" s="3">
        <v>2020</v>
      </c>
      <c r="H115" s="23">
        <f t="shared" si="4"/>
        <v>4.0720000000000027</v>
      </c>
      <c r="I115" s="38">
        <v>1394236.3725000001</v>
      </c>
      <c r="J115" s="22">
        <f t="shared" si="5"/>
        <v>5677330.5088200038</v>
      </c>
      <c r="K115" s="3">
        <v>5850870</v>
      </c>
    </row>
    <row r="116" spans="2:11" x14ac:dyDescent="0.25">
      <c r="B116" s="25">
        <v>2001</v>
      </c>
      <c r="C116" s="28">
        <v>1.7541219162545028</v>
      </c>
      <c r="D116" s="26">
        <v>2405192</v>
      </c>
      <c r="E116" s="26">
        <f t="shared" si="6"/>
        <v>4219000</v>
      </c>
      <c r="F116" s="26">
        <v>3660000</v>
      </c>
      <c r="G116" s="3">
        <v>2025</v>
      </c>
      <c r="H116" s="23">
        <f t="shared" si="4"/>
        <v>4.6675000000000182</v>
      </c>
      <c r="I116" s="38">
        <v>1077480.7400000002</v>
      </c>
      <c r="J116" s="22">
        <f t="shared" si="5"/>
        <v>5029141.3539500209</v>
      </c>
      <c r="K116" s="3">
        <v>5850870</v>
      </c>
    </row>
    <row r="117" spans="2:11" x14ac:dyDescent="0.25">
      <c r="B117" s="25">
        <v>2002</v>
      </c>
      <c r="C117" s="28">
        <v>1.8191046018508827</v>
      </c>
      <c r="D117" s="26">
        <v>2397883</v>
      </c>
      <c r="E117" s="26">
        <f t="shared" si="6"/>
        <v>4362000</v>
      </c>
      <c r="F117" s="26">
        <v>3840000</v>
      </c>
      <c r="G117" s="3">
        <v>2030</v>
      </c>
      <c r="H117" s="23">
        <f t="shared" si="4"/>
        <v>5.2630000000000052</v>
      </c>
      <c r="I117" s="38">
        <v>709901.10400000005</v>
      </c>
      <c r="J117" s="22">
        <f t="shared" si="5"/>
        <v>3736209.5103520039</v>
      </c>
      <c r="K117" s="3">
        <v>5850870</v>
      </c>
    </row>
    <row r="118" spans="2:11" x14ac:dyDescent="0.25">
      <c r="B118" s="25">
        <v>2003</v>
      </c>
      <c r="C118" s="28">
        <v>2.0420732038225045</v>
      </c>
      <c r="D118" s="26">
        <v>2432332</v>
      </c>
      <c r="E118" s="26">
        <f t="shared" si="6"/>
        <v>4967000</v>
      </c>
      <c r="F118" s="26">
        <v>4479000</v>
      </c>
    </row>
    <row r="119" spans="2:11" x14ac:dyDescent="0.25">
      <c r="B119" s="25">
        <v>2004</v>
      </c>
      <c r="C119" s="28">
        <v>2.1037517046838388</v>
      </c>
      <c r="D119" s="26">
        <v>2356742</v>
      </c>
      <c r="E119" s="26">
        <f t="shared" si="6"/>
        <v>4958000</v>
      </c>
      <c r="F119" s="26">
        <v>4618000</v>
      </c>
    </row>
    <row r="120" spans="2:11" x14ac:dyDescent="0.25">
      <c r="B120" s="25">
        <v>2005</v>
      </c>
      <c r="C120" s="28">
        <v>2.4179017777947833</v>
      </c>
      <c r="D120" s="26">
        <v>2299928</v>
      </c>
      <c r="E120" s="26">
        <f t="shared" si="6"/>
        <v>5561000</v>
      </c>
      <c r="F120" s="26">
        <v>5009000</v>
      </c>
    </row>
    <row r="121" spans="2:11" x14ac:dyDescent="0.25">
      <c r="B121" s="25">
        <v>2006</v>
      </c>
      <c r="C121" s="28">
        <v>2.4833878805910938</v>
      </c>
      <c r="D121" s="26">
        <v>2268675</v>
      </c>
      <c r="E121" s="26">
        <f t="shared" si="6"/>
        <v>5634000</v>
      </c>
      <c r="F121" s="26">
        <v>5027000</v>
      </c>
    </row>
    <row r="122" spans="2:11" x14ac:dyDescent="0.25">
      <c r="B122" s="25">
        <v>2007</v>
      </c>
      <c r="C122" s="28">
        <v>2.4759635420497057</v>
      </c>
      <c r="D122" s="26">
        <v>2447532</v>
      </c>
      <c r="E122" s="26">
        <f t="shared" si="6"/>
        <v>6060000</v>
      </c>
      <c r="F122" s="26">
        <v>4775000</v>
      </c>
    </row>
    <row r="123" spans="2:11" x14ac:dyDescent="0.25">
      <c r="B123" s="25">
        <v>2008</v>
      </c>
      <c r="C123" s="28">
        <v>2.8222957082982183</v>
      </c>
      <c r="D123" s="26">
        <v>2571311</v>
      </c>
      <c r="E123" s="26">
        <f t="shared" si="6"/>
        <v>7257000</v>
      </c>
      <c r="F123" s="26">
        <v>4858000</v>
      </c>
    </row>
    <row r="124" spans="2:11" x14ac:dyDescent="0.25">
      <c r="B124" s="25">
        <v>2009</v>
      </c>
      <c r="C124" s="28">
        <v>2.5107834699468361</v>
      </c>
      <c r="D124" s="26">
        <v>2767662</v>
      </c>
      <c r="E124" s="26">
        <f t="shared" si="6"/>
        <v>6949000</v>
      </c>
      <c r="F124" s="26">
        <v>5077000</v>
      </c>
    </row>
    <row r="125" spans="2:11" x14ac:dyDescent="0.25">
      <c r="B125" s="25">
        <v>2010</v>
      </c>
      <c r="C125" s="28">
        <v>2.8712131463906849</v>
      </c>
      <c r="D125" s="26">
        <v>2719408</v>
      </c>
      <c r="E125" s="26">
        <f t="shared" si="6"/>
        <v>7808000</v>
      </c>
      <c r="F125" s="26">
        <v>5164000</v>
      </c>
    </row>
    <row r="126" spans="2:11" x14ac:dyDescent="0.25">
      <c r="B126" s="25">
        <v>2011</v>
      </c>
      <c r="C126" s="28">
        <v>3.1718463595350412</v>
      </c>
      <c r="D126" s="26">
        <v>2661226</v>
      </c>
      <c r="E126" s="26">
        <f t="shared" si="6"/>
        <v>8441000</v>
      </c>
      <c r="F126" s="26">
        <v>5277000</v>
      </c>
    </row>
    <row r="127" spans="2:11" x14ac:dyDescent="0.25">
      <c r="B127" s="25">
        <v>2012</v>
      </c>
      <c r="C127" s="28">
        <v>3.2007582496364324</v>
      </c>
      <c r="D127" s="26">
        <v>2641874</v>
      </c>
      <c r="E127" s="26">
        <f t="shared" si="6"/>
        <v>8456000</v>
      </c>
      <c r="F127" s="26">
        <v>5245000</v>
      </c>
    </row>
    <row r="128" spans="2:11" x14ac:dyDescent="0.25">
      <c r="B128" s="25">
        <v>2013</v>
      </c>
      <c r="C128" s="28">
        <v>3.2913463424435374</v>
      </c>
      <c r="D128" s="26">
        <v>2508396</v>
      </c>
      <c r="E128" s="26">
        <f t="shared" si="6"/>
        <v>8255999.9999999991</v>
      </c>
      <c r="F128" s="26">
        <v>5422000</v>
      </c>
    </row>
    <row r="129" spans="2:7" x14ac:dyDescent="0.25">
      <c r="B129" s="15">
        <v>2014</v>
      </c>
      <c r="C129" s="29">
        <f t="shared" ref="C129:C145" si="7">0.1191*B129-236.51</f>
        <v>3.3574000000000126</v>
      </c>
      <c r="D129" s="24">
        <f t="shared" ref="D129:D145" si="8">-1.07108203368853*B129^5+10808.2938806886*B129^4-43625966.953435*B129^3+88043338833.2083*B129^2-88840593412006.5*B129+35857490107912300</f>
        <v>2388012</v>
      </c>
      <c r="E129" s="31">
        <f t="shared" si="6"/>
        <v>8017511.4888000302</v>
      </c>
      <c r="F129" s="24">
        <f t="shared" ref="F129:F132" si="9" xml:space="preserve"> (104.11*B129- 204139)*1000</f>
        <v>5538540.0000000084</v>
      </c>
    </row>
    <row r="130" spans="2:7" x14ac:dyDescent="0.25">
      <c r="B130" s="15">
        <v>2015</v>
      </c>
      <c r="C130" s="29">
        <f t="shared" si="7"/>
        <v>3.4765000000000157</v>
      </c>
      <c r="D130" s="24">
        <f t="shared" si="8"/>
        <v>2278188</v>
      </c>
      <c r="E130" s="31">
        <f t="shared" si="6"/>
        <v>7920120.5820000358</v>
      </c>
      <c r="F130" s="24">
        <f t="shared" si="9"/>
        <v>5642649.9999999944</v>
      </c>
    </row>
    <row r="131" spans="2:7" x14ac:dyDescent="0.25">
      <c r="B131" s="15">
        <v>2016</v>
      </c>
      <c r="C131" s="29">
        <f t="shared" si="7"/>
        <v>3.5955999999999904</v>
      </c>
      <c r="D131" s="24">
        <f t="shared" si="8"/>
        <v>2153708</v>
      </c>
      <c r="E131" s="31">
        <f t="shared" si="6"/>
        <v>7743872.4847999793</v>
      </c>
      <c r="F131" s="24">
        <f t="shared" si="9"/>
        <v>5746760.0000000093</v>
      </c>
    </row>
    <row r="132" spans="2:7" x14ac:dyDescent="0.25">
      <c r="B132" s="15">
        <v>2017</v>
      </c>
      <c r="C132" s="29">
        <f t="shared" si="7"/>
        <v>3.7146999999999935</v>
      </c>
      <c r="D132" s="24">
        <f t="shared" si="8"/>
        <v>2017836</v>
      </c>
      <c r="E132" s="31">
        <f t="shared" si="6"/>
        <v>7495655.3891999871</v>
      </c>
      <c r="F132" s="32">
        <f t="shared" si="9"/>
        <v>5850869.9999999953</v>
      </c>
      <c r="G132" s="3" t="s">
        <v>25</v>
      </c>
    </row>
    <row r="133" spans="2:7" x14ac:dyDescent="0.25">
      <c r="B133" s="15">
        <v>2018</v>
      </c>
      <c r="C133" s="29">
        <f t="shared" si="7"/>
        <v>3.8337999999999965</v>
      </c>
      <c r="D133" s="24">
        <f t="shared" si="8"/>
        <v>1874412</v>
      </c>
      <c r="E133" s="31">
        <f t="shared" ref="E133:E144" si="10">+D133*C133</f>
        <v>7186120.725599994</v>
      </c>
      <c r="F133" s="32">
        <v>5850870</v>
      </c>
    </row>
    <row r="134" spans="2:7" x14ac:dyDescent="0.25">
      <c r="B134" s="15">
        <v>2019</v>
      </c>
      <c r="C134" s="29">
        <f t="shared" si="7"/>
        <v>3.9528999999999996</v>
      </c>
      <c r="D134" s="24">
        <f t="shared" si="8"/>
        <v>1727308</v>
      </c>
      <c r="E134" s="31">
        <f t="shared" si="10"/>
        <v>6827875.7931999993</v>
      </c>
      <c r="F134" s="32">
        <v>5850870</v>
      </c>
    </row>
    <row r="135" spans="2:7" x14ac:dyDescent="0.25">
      <c r="B135" s="15">
        <v>2020</v>
      </c>
      <c r="C135" s="29">
        <f t="shared" si="7"/>
        <v>4.0720000000000027</v>
      </c>
      <c r="D135" s="32">
        <f t="shared" si="8"/>
        <v>1580236</v>
      </c>
      <c r="E135" s="31">
        <f t="shared" si="10"/>
        <v>6434720.9920000043</v>
      </c>
      <c r="F135" s="32">
        <v>5850870</v>
      </c>
    </row>
    <row r="136" spans="2:7" x14ac:dyDescent="0.25">
      <c r="B136" s="15">
        <v>2021</v>
      </c>
      <c r="C136" s="29">
        <f t="shared" si="7"/>
        <v>4.1911000000000058</v>
      </c>
      <c r="D136" s="24">
        <f t="shared" si="8"/>
        <v>1437100</v>
      </c>
      <c r="E136" s="31">
        <f t="shared" si="10"/>
        <v>6023029.810000008</v>
      </c>
      <c r="F136" s="32">
        <v>5850870</v>
      </c>
    </row>
    <row r="137" spans="2:7" x14ac:dyDescent="0.25">
      <c r="B137" s="15">
        <v>2022</v>
      </c>
      <c r="C137" s="29">
        <f t="shared" si="7"/>
        <v>4.3102000000000089</v>
      </c>
      <c r="D137" s="24">
        <f t="shared" si="8"/>
        <v>1301420</v>
      </c>
      <c r="E137" s="31">
        <f t="shared" si="10"/>
        <v>5609380.4840000113</v>
      </c>
      <c r="F137" s="32">
        <v>5850870</v>
      </c>
    </row>
    <row r="138" spans="2:7" x14ac:dyDescent="0.25">
      <c r="B138" s="15">
        <v>2023</v>
      </c>
      <c r="C138" s="29">
        <f t="shared" si="7"/>
        <v>4.429300000000012</v>
      </c>
      <c r="D138" s="24">
        <f t="shared" si="8"/>
        <v>1176460</v>
      </c>
      <c r="E138" s="31">
        <f t="shared" si="10"/>
        <v>5210894.2780000139</v>
      </c>
      <c r="F138" s="32">
        <v>5850870</v>
      </c>
    </row>
    <row r="139" spans="2:7" x14ac:dyDescent="0.25">
      <c r="B139" s="15">
        <v>2024</v>
      </c>
      <c r="C139" s="29">
        <f t="shared" si="7"/>
        <v>4.5484000000000151</v>
      </c>
      <c r="D139" s="24">
        <f t="shared" si="8"/>
        <v>1064844</v>
      </c>
      <c r="E139" s="31">
        <f t="shared" si="10"/>
        <v>4843336.4496000158</v>
      </c>
      <c r="F139" s="32">
        <v>5850870</v>
      </c>
    </row>
    <row r="140" spans="2:7" x14ac:dyDescent="0.25">
      <c r="B140" s="15">
        <v>2025</v>
      </c>
      <c r="C140" s="29">
        <f t="shared" si="7"/>
        <v>4.6675000000000182</v>
      </c>
      <c r="D140" s="32">
        <f t="shared" si="8"/>
        <v>968652</v>
      </c>
      <c r="E140" s="31">
        <f t="shared" ref="E140" si="11">+D140*C140</f>
        <v>4521183.2100000177</v>
      </c>
      <c r="F140" s="32">
        <v>5850870</v>
      </c>
    </row>
    <row r="141" spans="2:7" x14ac:dyDescent="0.25">
      <c r="B141" s="15">
        <v>2026</v>
      </c>
      <c r="C141" s="29">
        <f t="shared" si="7"/>
        <v>4.7865999999999929</v>
      </c>
      <c r="D141" s="24">
        <f t="shared" si="8"/>
        <v>889196</v>
      </c>
      <c r="E141" s="31">
        <f t="shared" si="10"/>
        <v>4256225.5735999933</v>
      </c>
      <c r="F141" s="32">
        <v>5850870</v>
      </c>
    </row>
    <row r="142" spans="2:7" x14ac:dyDescent="0.25">
      <c r="B142" s="15">
        <v>2027</v>
      </c>
      <c r="C142" s="29">
        <f t="shared" si="7"/>
        <v>4.905699999999996</v>
      </c>
      <c r="D142" s="24">
        <f t="shared" si="8"/>
        <v>827084</v>
      </c>
      <c r="E142" s="31">
        <f t="shared" si="10"/>
        <v>4057425.9787999964</v>
      </c>
      <c r="F142" s="32">
        <v>5850870</v>
      </c>
    </row>
    <row r="143" spans="2:7" x14ac:dyDescent="0.25">
      <c r="B143" s="15">
        <v>2028</v>
      </c>
      <c r="C143" s="29">
        <f t="shared" si="7"/>
        <v>5.024799999999999</v>
      </c>
      <c r="D143" s="24">
        <f t="shared" si="8"/>
        <v>781612</v>
      </c>
      <c r="E143" s="31">
        <f t="shared" si="10"/>
        <v>3927443.9775999994</v>
      </c>
      <c r="F143" s="32">
        <v>5850870</v>
      </c>
    </row>
    <row r="144" spans="2:7" x14ac:dyDescent="0.25">
      <c r="B144" s="15">
        <v>2029</v>
      </c>
      <c r="C144" s="29">
        <f t="shared" si="7"/>
        <v>5.1439000000000021</v>
      </c>
      <c r="D144" s="24">
        <f t="shared" si="8"/>
        <v>751244</v>
      </c>
      <c r="E144" s="31">
        <f t="shared" si="10"/>
        <v>3864324.0116000017</v>
      </c>
      <c r="F144" s="32">
        <v>5850870</v>
      </c>
    </row>
    <row r="145" spans="2:12" x14ac:dyDescent="0.25">
      <c r="B145" s="15">
        <v>2030</v>
      </c>
      <c r="C145" s="29">
        <f t="shared" si="7"/>
        <v>5.2630000000000052</v>
      </c>
      <c r="D145" s="32">
        <f t="shared" si="8"/>
        <v>732940</v>
      </c>
      <c r="E145" s="31">
        <f t="shared" ref="E145" si="12">+D145*C145</f>
        <v>3857463.2200000039</v>
      </c>
      <c r="F145" s="32">
        <v>5850870</v>
      </c>
    </row>
    <row r="146" spans="2:12" x14ac:dyDescent="0.25">
      <c r="D146" s="22"/>
    </row>
    <row r="147" spans="2:12" x14ac:dyDescent="0.25">
      <c r="B147" s="27"/>
      <c r="C147" s="3" t="s">
        <v>24</v>
      </c>
      <c r="D147" s="22"/>
    </row>
    <row r="148" spans="2:12" x14ac:dyDescent="0.25">
      <c r="B148" s="30"/>
      <c r="C148" s="3" t="s">
        <v>23</v>
      </c>
      <c r="D148" s="22"/>
    </row>
    <row r="149" spans="2:12" x14ac:dyDescent="0.25">
      <c r="G149" s="37"/>
    </row>
    <row r="152" spans="2:12" x14ac:dyDescent="0.25">
      <c r="B152" s="3" t="s">
        <v>11</v>
      </c>
      <c r="C152" s="3" t="s">
        <v>22</v>
      </c>
      <c r="D152" s="3" t="s">
        <v>19</v>
      </c>
      <c r="E152" s="3" t="s">
        <v>20</v>
      </c>
      <c r="F152" s="3" t="s">
        <v>21</v>
      </c>
    </row>
    <row r="153" spans="2:12" x14ac:dyDescent="0.25">
      <c r="B153" s="3">
        <v>1999</v>
      </c>
      <c r="C153" s="34">
        <v>3311000</v>
      </c>
      <c r="D153" s="33">
        <f t="shared" ref="D153:D167" si="13">+F153/E153</f>
        <v>1.6844917712211973</v>
      </c>
      <c r="E153" s="34">
        <v>2191759</v>
      </c>
      <c r="F153" s="27">
        <v>3692000</v>
      </c>
      <c r="G153" s="21">
        <f>-1.07108203368853*B153^5+10808.2938806886*B153^4-43625966.953435*B153^3+88043338833.2083*B153^2-88840593412006.5*B153+35857490107912300</f>
        <v>2301100</v>
      </c>
      <c r="L153" s="22"/>
    </row>
    <row r="154" spans="2:12" x14ac:dyDescent="0.25">
      <c r="B154" s="3">
        <v>2000</v>
      </c>
      <c r="C154" s="34">
        <v>3602000</v>
      </c>
      <c r="D154" s="33">
        <f t="shared" si="13"/>
        <v>1.883065764168691</v>
      </c>
      <c r="E154" s="34">
        <v>2193763</v>
      </c>
      <c r="F154" s="27">
        <v>4131000</v>
      </c>
      <c r="G154" s="21">
        <f t="shared" ref="G154:G170" si="14">-1.07108203368853*B154^5+10808.2938806886*B154^4-43625966.953435*B154^3+88043338833.2083*B154^2-88840593412006.5*B154+35857490107912300</f>
        <v>2237164</v>
      </c>
      <c r="L154" s="22"/>
    </row>
    <row r="155" spans="2:12" x14ac:dyDescent="0.25">
      <c r="B155" s="3">
        <v>2001</v>
      </c>
      <c r="C155" s="34">
        <v>3660000</v>
      </c>
      <c r="D155" s="33">
        <f t="shared" si="13"/>
        <v>1.7541219162545028</v>
      </c>
      <c r="E155" s="34">
        <v>2405192</v>
      </c>
      <c r="F155" s="27">
        <v>4219000</v>
      </c>
      <c r="G155" s="21">
        <f t="shared" si="14"/>
        <v>2228460</v>
      </c>
      <c r="L155" s="22"/>
    </row>
    <row r="156" spans="2:12" x14ac:dyDescent="0.25">
      <c r="B156" s="3">
        <v>2002</v>
      </c>
      <c r="C156" s="34">
        <v>3840000</v>
      </c>
      <c r="D156" s="33">
        <f t="shared" si="13"/>
        <v>1.8191046018508827</v>
      </c>
      <c r="E156" s="34">
        <v>2397883</v>
      </c>
      <c r="F156" s="27">
        <v>4362000</v>
      </c>
      <c r="G156" s="21">
        <f t="shared" si="14"/>
        <v>2258828</v>
      </c>
      <c r="L156" s="22"/>
    </row>
    <row r="157" spans="2:12" x14ac:dyDescent="0.25">
      <c r="B157" s="3">
        <v>2003</v>
      </c>
      <c r="C157" s="34">
        <v>4479000</v>
      </c>
      <c r="D157" s="33">
        <f t="shared" si="13"/>
        <v>2.0420732038225045</v>
      </c>
      <c r="E157" s="34">
        <v>2432332</v>
      </c>
      <c r="F157" s="27">
        <v>4967000</v>
      </c>
      <c r="G157" s="21">
        <f t="shared" si="14"/>
        <v>2314284</v>
      </c>
      <c r="L157" s="22"/>
    </row>
    <row r="158" spans="2:12" x14ac:dyDescent="0.25">
      <c r="B158" s="3">
        <v>2004</v>
      </c>
      <c r="C158" s="34">
        <v>4618000</v>
      </c>
      <c r="D158" s="33">
        <f t="shared" si="13"/>
        <v>2.1037517046838388</v>
      </c>
      <c r="E158" s="34">
        <v>2356742</v>
      </c>
      <c r="F158" s="27">
        <v>4958000</v>
      </c>
      <c r="G158" s="21">
        <f t="shared" si="14"/>
        <v>2382668</v>
      </c>
      <c r="L158" s="22"/>
    </row>
    <row r="159" spans="2:12" x14ac:dyDescent="0.25">
      <c r="B159" s="3">
        <v>2005</v>
      </c>
      <c r="C159" s="34">
        <v>5009000</v>
      </c>
      <c r="D159" s="33">
        <f t="shared" si="13"/>
        <v>2.4179017777947833</v>
      </c>
      <c r="E159" s="34">
        <v>2299928</v>
      </c>
      <c r="F159" s="27">
        <v>5561000</v>
      </c>
      <c r="G159" s="21">
        <f t="shared" si="14"/>
        <v>2454220</v>
      </c>
      <c r="L159" s="22"/>
    </row>
    <row r="160" spans="2:12" x14ac:dyDescent="0.25">
      <c r="B160" s="3">
        <v>2006</v>
      </c>
      <c r="C160" s="34">
        <v>5027000</v>
      </c>
      <c r="D160" s="33">
        <f t="shared" si="13"/>
        <v>2.4833878805910938</v>
      </c>
      <c r="E160" s="34">
        <v>2268675</v>
      </c>
      <c r="F160" s="27">
        <v>5634000</v>
      </c>
      <c r="G160" s="21">
        <f t="shared" si="14"/>
        <v>2520652</v>
      </c>
      <c r="L160" s="22"/>
    </row>
    <row r="161" spans="2:20" x14ac:dyDescent="0.25">
      <c r="B161" s="3">
        <v>2007</v>
      </c>
      <c r="C161" s="34">
        <v>4775000</v>
      </c>
      <c r="D161" s="33">
        <f t="shared" si="13"/>
        <v>2.4759635420497057</v>
      </c>
      <c r="E161" s="34">
        <v>2447532</v>
      </c>
      <c r="F161" s="27">
        <v>6060000</v>
      </c>
      <c r="G161" s="21">
        <f t="shared" si="14"/>
        <v>2575436</v>
      </c>
      <c r="L161" s="22"/>
    </row>
    <row r="162" spans="2:20" x14ac:dyDescent="0.25">
      <c r="B162" s="3">
        <v>2008</v>
      </c>
      <c r="C162" s="34">
        <v>4858000</v>
      </c>
      <c r="D162" s="33">
        <f t="shared" si="13"/>
        <v>2.8222957082982183</v>
      </c>
      <c r="E162" s="34">
        <v>2571311</v>
      </c>
      <c r="F162" s="27">
        <v>7257000</v>
      </c>
      <c r="G162" s="21">
        <f t="shared" si="14"/>
        <v>2613868</v>
      </c>
      <c r="L162" s="22"/>
    </row>
    <row r="163" spans="2:20" x14ac:dyDescent="0.25">
      <c r="B163" s="3">
        <v>2009</v>
      </c>
      <c r="C163" s="34">
        <v>5077000</v>
      </c>
      <c r="D163" s="33">
        <f t="shared" si="13"/>
        <v>2.5107834699468361</v>
      </c>
      <c r="E163" s="34">
        <v>2767662</v>
      </c>
      <c r="F163" s="27">
        <v>6949000</v>
      </c>
      <c r="G163" s="21">
        <f t="shared" si="14"/>
        <v>2632204</v>
      </c>
      <c r="L163" s="22"/>
    </row>
    <row r="164" spans="2:20" x14ac:dyDescent="0.25">
      <c r="B164" s="3">
        <v>2010</v>
      </c>
      <c r="C164" s="34">
        <v>5164000</v>
      </c>
      <c r="D164" s="33">
        <f t="shared" si="13"/>
        <v>2.8712131463906849</v>
      </c>
      <c r="E164" s="34">
        <v>2719408</v>
      </c>
      <c r="F164" s="27">
        <v>7808000</v>
      </c>
      <c r="G164" s="21">
        <f t="shared" si="14"/>
        <v>2628556</v>
      </c>
      <c r="L164" s="22"/>
    </row>
    <row r="165" spans="2:20" x14ac:dyDescent="0.25">
      <c r="B165" s="3">
        <v>2011</v>
      </c>
      <c r="C165" s="34">
        <v>5277000</v>
      </c>
      <c r="D165" s="33">
        <f t="shared" si="13"/>
        <v>3.1718463595350412</v>
      </c>
      <c r="E165" s="34">
        <v>2661226</v>
      </c>
      <c r="F165" s="27">
        <v>8441000</v>
      </c>
      <c r="G165" s="21">
        <f t="shared" si="14"/>
        <v>2601740</v>
      </c>
      <c r="L165" s="22"/>
    </row>
    <row r="166" spans="2:20" x14ac:dyDescent="0.25">
      <c r="B166" s="3">
        <v>2012</v>
      </c>
      <c r="C166" s="34">
        <v>5245000</v>
      </c>
      <c r="D166" s="33">
        <f t="shared" si="13"/>
        <v>3.2007582496364324</v>
      </c>
      <c r="E166" s="34">
        <v>2641874</v>
      </c>
      <c r="F166" s="27">
        <v>8456000</v>
      </c>
      <c r="G166" s="21">
        <f t="shared" si="14"/>
        <v>2551916</v>
      </c>
      <c r="L166" s="22"/>
    </row>
    <row r="167" spans="2:20" x14ac:dyDescent="0.25">
      <c r="B167" s="3">
        <v>2013</v>
      </c>
      <c r="C167" s="34">
        <v>5422000</v>
      </c>
      <c r="D167" s="33">
        <f t="shared" si="13"/>
        <v>3.2913463424435374</v>
      </c>
      <c r="E167" s="34">
        <v>2508396</v>
      </c>
      <c r="F167" s="27">
        <v>8256000</v>
      </c>
      <c r="G167" s="21">
        <f t="shared" si="14"/>
        <v>2480044</v>
      </c>
      <c r="L167" s="22"/>
    </row>
    <row r="168" spans="2:20" x14ac:dyDescent="0.25">
      <c r="B168" s="3">
        <v>2020</v>
      </c>
      <c r="C168" s="36">
        <f>+(B168*143.06-282348)*1000</f>
        <v>6633200.0000000112</v>
      </c>
      <c r="D168" s="35">
        <f>0.1191*B168-236.51</f>
        <v>4.0720000000000027</v>
      </c>
      <c r="E168" s="36">
        <v>1394236.3725000001</v>
      </c>
      <c r="F168" s="36">
        <f t="shared" ref="F168:F169" si="15">+E168*D168</f>
        <v>5677330.5088200038</v>
      </c>
      <c r="G168" s="21">
        <f t="shared" si="14"/>
        <v>1580236</v>
      </c>
    </row>
    <row r="169" spans="2:20" x14ac:dyDescent="0.25">
      <c r="B169" s="3">
        <v>2025</v>
      </c>
      <c r="C169" s="36">
        <f>+(B169*143.06-282348)*1000</f>
        <v>7348500</v>
      </c>
      <c r="D169" s="35">
        <f>0.1191*B169-236.51</f>
        <v>4.6675000000000182</v>
      </c>
      <c r="E169" s="36">
        <v>1077480.7400000002</v>
      </c>
      <c r="F169" s="36">
        <f t="shared" si="15"/>
        <v>5029141.3539500209</v>
      </c>
      <c r="G169" s="21">
        <f t="shared" si="14"/>
        <v>968652</v>
      </c>
    </row>
    <row r="170" spans="2:20" x14ac:dyDescent="0.25">
      <c r="B170" s="3">
        <v>2030</v>
      </c>
      <c r="C170" s="36">
        <f>+(B170*143.06-282348)*1000</f>
        <v>8063799.9999999888</v>
      </c>
      <c r="D170" s="35">
        <f>0.1191*B170-236.51</f>
        <v>5.2630000000000052</v>
      </c>
      <c r="E170" s="36">
        <v>709901.10400000005</v>
      </c>
      <c r="F170" s="36">
        <f t="shared" ref="F170" si="16">+E170*D170</f>
        <v>3736209.5103520039</v>
      </c>
      <c r="G170" s="21">
        <f t="shared" si="14"/>
        <v>732940</v>
      </c>
    </row>
    <row r="174" spans="2:20" x14ac:dyDescent="0.25">
      <c r="B174" s="3" t="s">
        <v>11</v>
      </c>
      <c r="C174" s="3">
        <v>1999</v>
      </c>
      <c r="D174" s="3">
        <v>2000</v>
      </c>
      <c r="E174" s="3">
        <v>2001</v>
      </c>
      <c r="F174" s="3">
        <v>2002</v>
      </c>
      <c r="G174" s="3">
        <v>2003</v>
      </c>
      <c r="H174" s="3">
        <v>2004</v>
      </c>
      <c r="I174" s="3">
        <v>2005</v>
      </c>
      <c r="J174" s="3">
        <v>2006</v>
      </c>
      <c r="K174" s="3">
        <v>2007</v>
      </c>
      <c r="L174" s="3">
        <v>2008</v>
      </c>
      <c r="M174" s="3">
        <v>2009</v>
      </c>
      <c r="N174" s="3">
        <v>2010</v>
      </c>
      <c r="O174" s="3">
        <v>2011</v>
      </c>
      <c r="P174" s="3">
        <v>2012</v>
      </c>
      <c r="Q174" s="3">
        <v>2013</v>
      </c>
      <c r="R174" s="3">
        <v>2020</v>
      </c>
      <c r="S174" s="3">
        <v>2025</v>
      </c>
      <c r="T174" s="3">
        <v>2030</v>
      </c>
    </row>
    <row r="175" spans="2:20" x14ac:dyDescent="0.25">
      <c r="B175" s="3" t="s">
        <v>20</v>
      </c>
      <c r="C175" s="3">
        <v>2191759</v>
      </c>
      <c r="D175" s="3">
        <v>2193763</v>
      </c>
      <c r="E175" s="3">
        <v>2405192</v>
      </c>
      <c r="F175" s="3">
        <v>2397883</v>
      </c>
      <c r="G175" s="3">
        <v>2432332</v>
      </c>
      <c r="H175" s="3">
        <v>2356742</v>
      </c>
      <c r="I175" s="3">
        <v>2299928</v>
      </c>
      <c r="J175" s="3">
        <v>2268675</v>
      </c>
      <c r="K175" s="3">
        <v>2447532</v>
      </c>
      <c r="L175" s="3">
        <v>2571311</v>
      </c>
      <c r="M175" s="3">
        <v>2767662</v>
      </c>
      <c r="N175" s="3">
        <v>2719408</v>
      </c>
      <c r="O175" s="3">
        <v>2661226</v>
      </c>
      <c r="P175" s="3">
        <v>2641874</v>
      </c>
      <c r="Q175" s="3">
        <v>2508396</v>
      </c>
      <c r="R175" s="36">
        <v>1394236.3725000001</v>
      </c>
      <c r="S175" s="36">
        <v>1077480.7400000002</v>
      </c>
      <c r="T175" s="36">
        <v>709901.10400000005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H82"/>
  <sheetViews>
    <sheetView topLeftCell="H13" zoomScale="70" zoomScaleNormal="70" workbookViewId="0">
      <selection activeCell="I53" sqref="I53:M57"/>
    </sheetView>
  </sheetViews>
  <sheetFormatPr baseColWidth="10" defaultRowHeight="15" x14ac:dyDescent="0.25"/>
  <cols>
    <col min="1" max="1" width="11.42578125" style="3"/>
    <col min="2" max="2" width="36.85546875" style="3" bestFit="1" customWidth="1"/>
    <col min="3" max="3" width="14.85546875" style="3" customWidth="1"/>
    <col min="4" max="4" width="15.7109375" style="3" customWidth="1"/>
    <col min="5" max="5" width="16.42578125" style="3" customWidth="1"/>
    <col min="6" max="6" width="20" style="3" bestFit="1" customWidth="1"/>
    <col min="7" max="7" width="15.85546875" style="3" customWidth="1"/>
    <col min="8" max="8" width="17.140625" style="3" customWidth="1"/>
    <col min="9" max="9" width="15.85546875" style="3" customWidth="1"/>
    <col min="10" max="13" width="15.85546875" style="3" bestFit="1" customWidth="1"/>
    <col min="14" max="15" width="15.42578125" style="3" bestFit="1" customWidth="1"/>
    <col min="16" max="18" width="15.85546875" style="3" bestFit="1" customWidth="1"/>
    <col min="19" max="19" width="14.5703125" style="3" bestFit="1" customWidth="1"/>
    <col min="20" max="23" width="11.5703125" style="3" bestFit="1" customWidth="1"/>
    <col min="24" max="24" width="15.42578125" style="3" customWidth="1"/>
    <col min="25" max="28" width="11.5703125" style="3" bestFit="1" customWidth="1"/>
    <col min="29" max="29" width="15" style="3" bestFit="1" customWidth="1"/>
    <col min="30" max="33" width="11.5703125" style="3" bestFit="1" customWidth="1"/>
    <col min="34" max="34" width="13.140625" style="3" bestFit="1" customWidth="1"/>
    <col min="35" max="16384" width="11.42578125" style="3"/>
  </cols>
  <sheetData>
    <row r="1" spans="2:34" x14ac:dyDescent="0.25">
      <c r="B1" s="3" t="s">
        <v>32</v>
      </c>
      <c r="D1" s="100">
        <v>0.1</v>
      </c>
    </row>
    <row r="4" spans="2:34" x14ac:dyDescent="0.25">
      <c r="B4" s="10" t="s">
        <v>0</v>
      </c>
      <c r="C4" s="10">
        <v>1999</v>
      </c>
      <c r="D4" s="10">
        <v>2000</v>
      </c>
      <c r="E4" s="10">
        <v>2001</v>
      </c>
      <c r="F4" s="10">
        <v>2002</v>
      </c>
      <c r="G4" s="10">
        <v>2003</v>
      </c>
      <c r="H4" s="10">
        <v>2004</v>
      </c>
      <c r="I4" s="10">
        <v>2005</v>
      </c>
      <c r="J4" s="10">
        <v>2006</v>
      </c>
      <c r="K4" s="10">
        <v>2007</v>
      </c>
      <c r="L4" s="10">
        <v>2008</v>
      </c>
      <c r="M4" s="10">
        <v>2009</v>
      </c>
      <c r="N4" s="10">
        <v>2010</v>
      </c>
      <c r="O4" s="10">
        <v>2011</v>
      </c>
      <c r="P4" s="10">
        <v>2012</v>
      </c>
      <c r="Q4" s="10">
        <v>2013</v>
      </c>
      <c r="R4" s="10">
        <v>2014</v>
      </c>
      <c r="S4" s="10">
        <v>2015</v>
      </c>
      <c r="T4" s="10">
        <v>2016</v>
      </c>
      <c r="U4" s="10">
        <v>2017</v>
      </c>
      <c r="V4" s="10">
        <v>2018</v>
      </c>
      <c r="W4" s="10">
        <v>2019</v>
      </c>
      <c r="X4" s="10">
        <v>2020</v>
      </c>
      <c r="Y4" s="10">
        <v>2021</v>
      </c>
      <c r="Z4" s="10">
        <v>2022</v>
      </c>
      <c r="AA4" s="10">
        <v>2023</v>
      </c>
      <c r="AB4" s="10">
        <v>2024</v>
      </c>
      <c r="AC4" s="10">
        <v>2025</v>
      </c>
      <c r="AD4" s="10">
        <v>2026</v>
      </c>
      <c r="AE4" s="10">
        <v>2027</v>
      </c>
      <c r="AF4" s="10">
        <v>2028</v>
      </c>
      <c r="AG4" s="10">
        <v>2029</v>
      </c>
      <c r="AH4" s="10">
        <v>2030</v>
      </c>
    </row>
    <row r="5" spans="2:34" x14ac:dyDescent="0.25">
      <c r="B5" s="1" t="s">
        <v>1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>
        <v>0</v>
      </c>
      <c r="AD5" s="1"/>
      <c r="AE5" s="1"/>
      <c r="AF5" s="1"/>
      <c r="AG5" s="1"/>
      <c r="AH5" s="1">
        <v>0</v>
      </c>
    </row>
    <row r="6" spans="2:34" x14ac:dyDescent="0.25">
      <c r="B6" s="1" t="s">
        <v>3</v>
      </c>
      <c r="C6" s="2">
        <v>150866.78554714104</v>
      </c>
      <c r="D6" s="2">
        <v>151004.78522356719</v>
      </c>
      <c r="E6" s="2">
        <v>165571.43304554812</v>
      </c>
      <c r="F6" s="2">
        <v>165067.79967826148</v>
      </c>
      <c r="G6" s="2">
        <v>167441.14608541472</v>
      </c>
      <c r="H6" s="2">
        <v>162233.19124730738</v>
      </c>
      <c r="I6" s="2">
        <v>158318.83697064655</v>
      </c>
      <c r="J6" s="2">
        <v>156165.54596364562</v>
      </c>
      <c r="K6" s="2">
        <v>168488.0972002284</v>
      </c>
      <c r="L6" s="2">
        <v>177015.96736931268</v>
      </c>
      <c r="M6" s="2">
        <v>190543.79386270975</v>
      </c>
      <c r="N6" s="2">
        <v>187219.19357017663</v>
      </c>
      <c r="O6" s="2">
        <v>183210.58889044492</v>
      </c>
      <c r="P6" s="2">
        <v>181877.23505226456</v>
      </c>
      <c r="Q6" s="2">
        <v>172681</v>
      </c>
      <c r="R6" s="2">
        <v>179670</v>
      </c>
      <c r="S6" s="2"/>
      <c r="T6" s="2"/>
      <c r="U6" s="2"/>
      <c r="V6" s="2"/>
      <c r="W6" s="2"/>
      <c r="X6" s="2">
        <v>84467.5</v>
      </c>
      <c r="Y6" s="2"/>
      <c r="Z6" s="2"/>
      <c r="AA6" s="2"/>
      <c r="AB6" s="2"/>
      <c r="AC6" s="2">
        <v>67094</v>
      </c>
      <c r="AD6" s="2"/>
      <c r="AE6" s="2"/>
      <c r="AF6" s="2"/>
      <c r="AG6" s="2"/>
      <c r="AH6" s="2">
        <v>15840</v>
      </c>
    </row>
    <row r="7" spans="2:34" x14ac:dyDescent="0.25">
      <c r="B7" s="1" t="s">
        <v>4</v>
      </c>
      <c r="C7" s="2">
        <v>1799596.7084041026</v>
      </c>
      <c r="D7" s="2">
        <v>1801242.8213146194</v>
      </c>
      <c r="E7" s="2">
        <v>1974999.3667188932</v>
      </c>
      <c r="F7" s="2">
        <v>1968991.8353280404</v>
      </c>
      <c r="G7" s="2">
        <v>1997302.0188235396</v>
      </c>
      <c r="H7" s="2">
        <v>1935179.5420292907</v>
      </c>
      <c r="I7" s="2">
        <v>1888487.6273957333</v>
      </c>
      <c r="J7" s="2">
        <v>1862802.3488608883</v>
      </c>
      <c r="K7" s="2">
        <v>2009790.4520677805</v>
      </c>
      <c r="L7" s="2">
        <v>2111514.1484421971</v>
      </c>
      <c r="M7" s="2">
        <v>2272879.2358011524</v>
      </c>
      <c r="N7" s="2">
        <v>2233222.1322080465</v>
      </c>
      <c r="O7" s="2">
        <v>2185405.9627259681</v>
      </c>
      <c r="P7" s="2">
        <v>2169501.208279022</v>
      </c>
      <c r="Q7" s="2">
        <v>2059805</v>
      </c>
      <c r="R7" s="2">
        <v>1954483.03</v>
      </c>
      <c r="S7" s="2"/>
      <c r="T7" s="2"/>
      <c r="U7" s="2"/>
      <c r="V7" s="2"/>
      <c r="W7" s="2"/>
      <c r="X7" s="2">
        <v>1167933.8149999999</v>
      </c>
      <c r="Y7" s="2"/>
      <c r="Z7" s="2"/>
      <c r="AA7" s="2"/>
      <c r="AB7" s="2"/>
      <c r="AC7" s="2">
        <v>893331.12000000011</v>
      </c>
      <c r="AD7" s="2"/>
      <c r="AE7" s="2"/>
      <c r="AF7" s="2"/>
      <c r="AG7" s="2"/>
      <c r="AH7" s="2">
        <v>593939.10400000005</v>
      </c>
    </row>
    <row r="8" spans="2:34" x14ac:dyDescent="0.25">
      <c r="B8" s="1" t="s">
        <v>5</v>
      </c>
      <c r="C8" s="2">
        <v>167927.00480333614</v>
      </c>
      <c r="D8" s="2">
        <v>168080.60966899313</v>
      </c>
      <c r="E8" s="2">
        <v>184294.47364109955</v>
      </c>
      <c r="F8" s="2">
        <v>183733.88873448313</v>
      </c>
      <c r="G8" s="2">
        <v>186375.61634913739</v>
      </c>
      <c r="H8" s="2">
        <v>180578.73896527386</v>
      </c>
      <c r="I8" s="2">
        <v>176221.74423621609</v>
      </c>
      <c r="J8" s="2">
        <v>173824.95618267439</v>
      </c>
      <c r="K8" s="2">
        <v>187540.95810576438</v>
      </c>
      <c r="L8" s="2">
        <v>197033.17131659447</v>
      </c>
      <c r="M8" s="2">
        <v>212090.74264547759</v>
      </c>
      <c r="N8" s="2">
        <v>208390.19207519363</v>
      </c>
      <c r="O8" s="2">
        <v>203928.28898057481</v>
      </c>
      <c r="P8" s="2">
        <v>202444.1576949732</v>
      </c>
      <c r="Q8" s="2">
        <v>192208</v>
      </c>
      <c r="R8" s="2">
        <v>177813.41</v>
      </c>
      <c r="S8" s="2"/>
      <c r="T8" s="2"/>
      <c r="U8" s="2"/>
      <c r="V8" s="2"/>
      <c r="W8" s="2"/>
      <c r="X8" s="2">
        <v>57085.057500000003</v>
      </c>
      <c r="Y8" s="2"/>
      <c r="Z8" s="2"/>
      <c r="AA8" s="2"/>
      <c r="AB8" s="2"/>
      <c r="AC8" s="2">
        <v>51055.62</v>
      </c>
      <c r="AD8" s="2"/>
      <c r="AE8" s="2"/>
      <c r="AF8" s="2"/>
      <c r="AG8" s="2"/>
      <c r="AH8" s="2">
        <v>44880</v>
      </c>
    </row>
    <row r="9" spans="2:34" x14ac:dyDescent="0.25">
      <c r="B9" s="1" t="s">
        <v>6</v>
      </c>
      <c r="C9" s="2">
        <v>18417.033948921613</v>
      </c>
      <c r="D9" s="2">
        <v>18433.880232989133</v>
      </c>
      <c r="E9" s="2">
        <v>20212.100975788617</v>
      </c>
      <c r="F9" s="2">
        <v>20150.620028942107</v>
      </c>
      <c r="G9" s="2">
        <v>20440.34583700895</v>
      </c>
      <c r="H9" s="2">
        <v>19804.585747669051</v>
      </c>
      <c r="I9" s="2">
        <v>19326.741699093873</v>
      </c>
      <c r="J9" s="2">
        <v>19063.87911185162</v>
      </c>
      <c r="K9" s="2">
        <v>20568.152193818743</v>
      </c>
      <c r="L9" s="2">
        <v>21609.190311297196</v>
      </c>
      <c r="M9" s="2">
        <v>23260.597139383724</v>
      </c>
      <c r="N9" s="2">
        <v>22854.74719546055</v>
      </c>
      <c r="O9" s="2">
        <v>22365.397546983044</v>
      </c>
      <c r="P9" s="2">
        <v>22202.62863257531</v>
      </c>
      <c r="Q9" s="2">
        <v>21080</v>
      </c>
      <c r="R9" s="2">
        <v>4520</v>
      </c>
      <c r="S9" s="2"/>
      <c r="T9" s="2"/>
      <c r="U9" s="2"/>
      <c r="V9" s="2"/>
      <c r="W9" s="2"/>
      <c r="X9" s="2">
        <v>3390</v>
      </c>
      <c r="Y9" s="2"/>
      <c r="Z9" s="2"/>
      <c r="AA9" s="2"/>
      <c r="AB9" s="2"/>
      <c r="AC9" s="2">
        <v>2640</v>
      </c>
      <c r="AD9" s="2"/>
      <c r="AE9" s="2"/>
      <c r="AF9" s="2"/>
      <c r="AG9" s="2"/>
      <c r="AH9" s="2">
        <v>2376</v>
      </c>
    </row>
    <row r="10" spans="2:34" x14ac:dyDescent="0.25">
      <c r="B10" s="1" t="s">
        <v>7</v>
      </c>
      <c r="C10" s="2">
        <v>18831.155110771178</v>
      </c>
      <c r="D10" s="2">
        <v>18848.38019648234</v>
      </c>
      <c r="E10" s="2">
        <v>20666.585599247999</v>
      </c>
      <c r="F10" s="2">
        <v>20603.722206063478</v>
      </c>
      <c r="G10" s="2">
        <v>20899.962721579261</v>
      </c>
      <c r="H10" s="2">
        <v>20249.907078048327</v>
      </c>
      <c r="I10" s="2">
        <v>19761.318338817331</v>
      </c>
      <c r="J10" s="2">
        <v>19492.545084290789</v>
      </c>
      <c r="K10" s="2">
        <v>21030.642902541229</v>
      </c>
      <c r="L10" s="2">
        <v>22095.089562129968</v>
      </c>
      <c r="M10" s="2">
        <v>23783.629541853737</v>
      </c>
      <c r="N10" s="2">
        <v>23368.653750045381</v>
      </c>
      <c r="O10" s="2">
        <v>22868.300698656189</v>
      </c>
      <c r="P10" s="2">
        <v>22701.871800119934</v>
      </c>
      <c r="Q10" s="2">
        <v>21554</v>
      </c>
      <c r="R10" s="2">
        <v>7910</v>
      </c>
      <c r="S10" s="2"/>
      <c r="T10" s="2"/>
      <c r="U10" s="2"/>
      <c r="V10" s="2"/>
      <c r="W10" s="2"/>
      <c r="X10" s="2">
        <v>5932.5</v>
      </c>
      <c r="Y10" s="2"/>
      <c r="Z10" s="2"/>
      <c r="AA10" s="2"/>
      <c r="AB10" s="2"/>
      <c r="AC10" s="2">
        <v>4620</v>
      </c>
      <c r="AD10" s="2"/>
      <c r="AE10" s="2"/>
      <c r="AF10" s="2"/>
      <c r="AG10" s="2"/>
      <c r="AH10" s="2">
        <v>0</v>
      </c>
    </row>
    <row r="11" spans="2:34" x14ac:dyDescent="0.25">
      <c r="B11" s="1" t="s">
        <v>8</v>
      </c>
      <c r="C11" s="2">
        <v>1135.7753384059818</v>
      </c>
      <c r="D11" s="2">
        <v>1136.8142458674513</v>
      </c>
      <c r="E11" s="2">
        <v>1246.4768153949335</v>
      </c>
      <c r="F11" s="2">
        <v>1242.6852959025016</v>
      </c>
      <c r="G11" s="2">
        <v>1260.5526370071932</v>
      </c>
      <c r="H11" s="2">
        <v>1221.3454208714311</v>
      </c>
      <c r="I11" s="2">
        <v>1191.8768600010453</v>
      </c>
      <c r="J11" s="2">
        <v>1175.6661691369595</v>
      </c>
      <c r="K11" s="2">
        <v>1268.4344332051405</v>
      </c>
      <c r="L11" s="2">
        <v>1332.6350761236411</v>
      </c>
      <c r="M11" s="2">
        <v>1434.4770531878009</v>
      </c>
      <c r="N11" s="2">
        <v>1409.4483564562956</v>
      </c>
      <c r="O11" s="2">
        <v>1379.2702472048366</v>
      </c>
      <c r="P11" s="2">
        <v>1369.2323160506594</v>
      </c>
      <c r="Q11" s="2">
        <v>1300</v>
      </c>
      <c r="R11" s="2">
        <v>44070</v>
      </c>
      <c r="S11" s="2"/>
      <c r="T11" s="2"/>
      <c r="U11" s="2"/>
      <c r="V11" s="2"/>
      <c r="W11" s="2"/>
      <c r="X11" s="2">
        <v>33052.5</v>
      </c>
      <c r="Y11" s="2"/>
      <c r="Z11" s="2"/>
      <c r="AA11" s="2"/>
      <c r="AB11" s="2"/>
      <c r="AC11" s="2">
        <v>25740</v>
      </c>
      <c r="AD11" s="2"/>
      <c r="AE11" s="2"/>
      <c r="AF11" s="2"/>
      <c r="AG11" s="2"/>
      <c r="AH11" s="2">
        <v>23166</v>
      </c>
    </row>
    <row r="12" spans="2:34" x14ac:dyDescent="0.25">
      <c r="B12" s="1" t="s">
        <v>9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>
        <v>0</v>
      </c>
      <c r="S12" s="2"/>
      <c r="T12" s="2"/>
      <c r="U12" s="2"/>
      <c r="V12" s="2"/>
      <c r="W12" s="2"/>
      <c r="X12" s="2">
        <v>0</v>
      </c>
      <c r="Y12" s="2"/>
      <c r="Z12" s="2"/>
      <c r="AA12" s="2"/>
      <c r="AB12" s="2"/>
      <c r="AC12" s="2">
        <v>0</v>
      </c>
      <c r="AD12" s="2"/>
      <c r="AE12" s="2"/>
      <c r="AF12" s="2"/>
      <c r="AG12" s="2"/>
      <c r="AH12" s="2">
        <v>0</v>
      </c>
    </row>
    <row r="13" spans="2:34" x14ac:dyDescent="0.25">
      <c r="B13" s="1" t="s">
        <v>18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>
        <v>56500</v>
      </c>
      <c r="S13" s="2"/>
      <c r="T13" s="2"/>
      <c r="U13" s="2"/>
      <c r="V13" s="2"/>
      <c r="W13" s="2"/>
      <c r="X13" s="2">
        <v>42375</v>
      </c>
      <c r="Y13" s="2"/>
      <c r="Z13" s="2"/>
      <c r="AA13" s="2"/>
      <c r="AB13" s="2"/>
      <c r="AC13" s="2">
        <v>33000</v>
      </c>
      <c r="AD13" s="2"/>
      <c r="AE13" s="2"/>
      <c r="AF13" s="2"/>
      <c r="AG13" s="2"/>
      <c r="AH13" s="2">
        <v>29700</v>
      </c>
    </row>
    <row r="14" spans="2:34" x14ac:dyDescent="0.25">
      <c r="B14" s="1" t="s">
        <v>10</v>
      </c>
      <c r="C14" s="4">
        <f t="shared" ref="C14:R14" si="0">+SUM(C6:C12)</f>
        <v>2156774.4631526787</v>
      </c>
      <c r="D14" s="4">
        <f t="shared" si="0"/>
        <v>2158747.290882519</v>
      </c>
      <c r="E14" s="4">
        <f t="shared" si="0"/>
        <v>2366990.4367959723</v>
      </c>
      <c r="F14" s="4">
        <f t="shared" si="0"/>
        <v>2359790.5512716933</v>
      </c>
      <c r="G14" s="4">
        <f t="shared" si="0"/>
        <v>2393719.6424536873</v>
      </c>
      <c r="H14" s="4">
        <f t="shared" si="0"/>
        <v>2319267.3104884606</v>
      </c>
      <c r="I14" s="4">
        <f t="shared" si="0"/>
        <v>2263308.1455005086</v>
      </c>
      <c r="J14" s="4">
        <f t="shared" si="0"/>
        <v>2232524.9413724872</v>
      </c>
      <c r="K14" s="4">
        <f t="shared" si="0"/>
        <v>2408686.7369033387</v>
      </c>
      <c r="L14" s="4">
        <f t="shared" si="0"/>
        <v>2530600.2020776556</v>
      </c>
      <c r="M14" s="4">
        <f t="shared" si="0"/>
        <v>2723992.476043765</v>
      </c>
      <c r="N14" s="4">
        <f t="shared" si="0"/>
        <v>2676464.3671553782</v>
      </c>
      <c r="O14" s="4">
        <f t="shared" si="0"/>
        <v>2619157.8090898315</v>
      </c>
      <c r="P14" s="4">
        <f t="shared" si="0"/>
        <v>2600096.3337750058</v>
      </c>
      <c r="Q14" s="4">
        <f t="shared" si="0"/>
        <v>2468628</v>
      </c>
      <c r="R14" s="4">
        <f t="shared" si="0"/>
        <v>2368466.4400000004</v>
      </c>
      <c r="S14" s="4"/>
      <c r="T14" s="2"/>
      <c r="U14" s="2"/>
      <c r="V14" s="2"/>
      <c r="W14" s="2"/>
      <c r="X14" s="17">
        <f>SUM(X5:X13)</f>
        <v>1394236.3725000001</v>
      </c>
      <c r="Y14" s="2"/>
      <c r="Z14" s="2"/>
      <c r="AA14" s="2"/>
      <c r="AB14" s="2"/>
      <c r="AC14" s="17">
        <f>SUM(AC5:AC13)</f>
        <v>1077480.7400000002</v>
      </c>
      <c r="AD14" s="2"/>
      <c r="AE14" s="2"/>
      <c r="AF14" s="2"/>
      <c r="AG14" s="2"/>
      <c r="AH14" s="17">
        <f>SUM(AH5:AH13)</f>
        <v>709901.10400000005</v>
      </c>
    </row>
    <row r="15" spans="2:34" s="6" customFormat="1" x14ac:dyDescent="0.25">
      <c r="B15" s="5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</row>
    <row r="16" spans="2:34" s="6" customFormat="1" x14ac:dyDescent="0.25">
      <c r="B16" s="8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</row>
    <row r="17" spans="2:34" x14ac:dyDescent="0.25">
      <c r="B17" s="10" t="s">
        <v>15</v>
      </c>
      <c r="C17" s="10">
        <v>1999</v>
      </c>
      <c r="D17" s="10">
        <v>2000</v>
      </c>
      <c r="E17" s="10">
        <v>2001</v>
      </c>
      <c r="F17" s="10">
        <v>2002</v>
      </c>
      <c r="G17" s="10">
        <v>2003</v>
      </c>
      <c r="H17" s="10">
        <v>2004</v>
      </c>
      <c r="I17" s="10">
        <v>2005</v>
      </c>
      <c r="J17" s="10">
        <v>2006</v>
      </c>
      <c r="K17" s="10">
        <v>2007</v>
      </c>
      <c r="L17" s="10">
        <v>2008</v>
      </c>
      <c r="M17" s="10">
        <v>2009</v>
      </c>
      <c r="N17" s="10">
        <v>2010</v>
      </c>
      <c r="O17" s="10">
        <v>2011</v>
      </c>
      <c r="P17" s="10">
        <v>2012</v>
      </c>
      <c r="Q17" s="10">
        <v>2013</v>
      </c>
      <c r="R17" s="10">
        <v>2014</v>
      </c>
      <c r="S17" s="15">
        <v>2015</v>
      </c>
      <c r="T17" s="10">
        <v>2016</v>
      </c>
      <c r="U17" s="10">
        <v>2017</v>
      </c>
      <c r="V17" s="10">
        <v>2018</v>
      </c>
      <c r="W17" s="10">
        <v>2019</v>
      </c>
      <c r="X17" s="15">
        <v>2020</v>
      </c>
      <c r="Y17" s="10">
        <v>2021</v>
      </c>
      <c r="Z17" s="10">
        <v>2022</v>
      </c>
      <c r="AA17" s="10">
        <v>2023</v>
      </c>
      <c r="AB17" s="10">
        <v>2024</v>
      </c>
      <c r="AC17" s="15">
        <v>2025</v>
      </c>
      <c r="AD17" s="10">
        <v>2026</v>
      </c>
      <c r="AE17" s="10">
        <v>2027</v>
      </c>
      <c r="AF17" s="10">
        <v>2028</v>
      </c>
      <c r="AG17" s="10">
        <v>2029</v>
      </c>
      <c r="AH17" s="15">
        <v>2030</v>
      </c>
    </row>
    <row r="18" spans="2:34" x14ac:dyDescent="0.25">
      <c r="B18" s="1" t="s">
        <v>16</v>
      </c>
      <c r="C18" s="2">
        <v>3311</v>
      </c>
      <c r="D18" s="2">
        <v>3602</v>
      </c>
      <c r="E18" s="2">
        <v>3660</v>
      </c>
      <c r="F18" s="2">
        <v>3840</v>
      </c>
      <c r="G18" s="2">
        <v>4479</v>
      </c>
      <c r="H18" s="2">
        <v>4618</v>
      </c>
      <c r="I18" s="2">
        <v>5009</v>
      </c>
      <c r="J18" s="2">
        <v>5027</v>
      </c>
      <c r="K18" s="2">
        <v>4775</v>
      </c>
      <c r="L18" s="2">
        <v>4858</v>
      </c>
      <c r="M18" s="2">
        <v>5077</v>
      </c>
      <c r="N18" s="2">
        <v>5164</v>
      </c>
      <c r="O18" s="2">
        <v>5277</v>
      </c>
      <c r="P18" s="2">
        <v>5245</v>
      </c>
      <c r="Q18" s="2">
        <v>5422</v>
      </c>
      <c r="R18" s="2">
        <v>5741</v>
      </c>
      <c r="S18" s="16"/>
      <c r="T18" s="2"/>
      <c r="U18" s="2"/>
      <c r="V18" s="2"/>
      <c r="W18" s="2"/>
      <c r="X18" s="16"/>
      <c r="Y18" s="2"/>
      <c r="Z18" s="2"/>
      <c r="AA18" s="2"/>
      <c r="AB18" s="2"/>
      <c r="AC18" s="16"/>
      <c r="AD18" s="2"/>
      <c r="AE18" s="2"/>
      <c r="AF18" s="2"/>
      <c r="AG18" s="2"/>
      <c r="AH18" s="16"/>
    </row>
    <row r="19" spans="2:34" x14ac:dyDescent="0.25">
      <c r="B19" s="1" t="s">
        <v>27</v>
      </c>
      <c r="C19" s="2">
        <v>381</v>
      </c>
      <c r="D19" s="2">
        <v>529</v>
      </c>
      <c r="E19" s="2">
        <v>559</v>
      </c>
      <c r="F19" s="2">
        <v>522</v>
      </c>
      <c r="G19" s="2">
        <v>488</v>
      </c>
      <c r="H19" s="2">
        <v>340</v>
      </c>
      <c r="I19" s="2">
        <v>552</v>
      </c>
      <c r="J19" s="2">
        <v>607</v>
      </c>
      <c r="K19" s="2">
        <v>1285</v>
      </c>
      <c r="L19" s="2">
        <v>2399</v>
      </c>
      <c r="M19" s="2">
        <v>1872</v>
      </c>
      <c r="N19" s="2">
        <v>2644</v>
      </c>
      <c r="O19" s="2">
        <v>3164</v>
      </c>
      <c r="P19" s="2">
        <v>3211</v>
      </c>
      <c r="Q19" s="2">
        <v>2834</v>
      </c>
      <c r="R19" s="2">
        <v>2514.645</v>
      </c>
      <c r="S19" s="16"/>
      <c r="T19" s="2"/>
      <c r="U19" s="2"/>
      <c r="V19" s="2"/>
      <c r="W19" s="2"/>
      <c r="X19" s="16"/>
      <c r="Y19" s="2"/>
      <c r="Z19" s="2"/>
      <c r="AA19" s="2"/>
      <c r="AB19" s="2"/>
      <c r="AC19" s="16"/>
      <c r="AD19" s="2"/>
      <c r="AE19" s="2"/>
      <c r="AF19" s="2"/>
      <c r="AG19" s="2"/>
      <c r="AH19" s="16"/>
    </row>
    <row r="20" spans="2:34" x14ac:dyDescent="0.25">
      <c r="B20" s="12" t="s">
        <v>17</v>
      </c>
      <c r="C20" s="4">
        <f t="shared" ref="C20:R20" si="1">SUM(C18:C19)</f>
        <v>3692</v>
      </c>
      <c r="D20" s="4">
        <f t="shared" si="1"/>
        <v>4131</v>
      </c>
      <c r="E20" s="4">
        <f t="shared" si="1"/>
        <v>4219</v>
      </c>
      <c r="F20" s="4">
        <f t="shared" si="1"/>
        <v>4362</v>
      </c>
      <c r="G20" s="4">
        <f t="shared" si="1"/>
        <v>4967</v>
      </c>
      <c r="H20" s="4">
        <f t="shared" si="1"/>
        <v>4958</v>
      </c>
      <c r="I20" s="4">
        <f t="shared" si="1"/>
        <v>5561</v>
      </c>
      <c r="J20" s="4">
        <f t="shared" si="1"/>
        <v>5634</v>
      </c>
      <c r="K20" s="4">
        <f t="shared" si="1"/>
        <v>6060</v>
      </c>
      <c r="L20" s="4">
        <f t="shared" si="1"/>
        <v>7257</v>
      </c>
      <c r="M20" s="4">
        <f t="shared" si="1"/>
        <v>6949</v>
      </c>
      <c r="N20" s="4">
        <f t="shared" si="1"/>
        <v>7808</v>
      </c>
      <c r="O20" s="4">
        <f t="shared" si="1"/>
        <v>8441</v>
      </c>
      <c r="P20" s="4">
        <f t="shared" si="1"/>
        <v>8456</v>
      </c>
      <c r="Q20" s="4">
        <f t="shared" si="1"/>
        <v>8256</v>
      </c>
      <c r="R20" s="4">
        <f t="shared" si="1"/>
        <v>8255.6450000000004</v>
      </c>
      <c r="S20" s="16"/>
      <c r="T20" s="2"/>
      <c r="U20" s="2"/>
      <c r="V20" s="2"/>
      <c r="W20" s="2"/>
      <c r="X20" s="16"/>
      <c r="Y20" s="2"/>
      <c r="Z20" s="2"/>
      <c r="AA20" s="2"/>
      <c r="AB20" s="2"/>
      <c r="AC20" s="16"/>
      <c r="AD20" s="2"/>
      <c r="AE20" s="2"/>
      <c r="AF20" s="2"/>
      <c r="AG20" s="2"/>
      <c r="AH20" s="16"/>
    </row>
    <row r="21" spans="2:34" x14ac:dyDescent="0.25">
      <c r="B21" s="12" t="s">
        <v>28</v>
      </c>
      <c r="C21" s="39">
        <f t="shared" ref="C21:R21" si="2">+C20*1000/C14</f>
        <v>1.7118155203874195</v>
      </c>
      <c r="D21" s="39">
        <f t="shared" si="2"/>
        <v>1.9136098131760495</v>
      </c>
      <c r="E21" s="39">
        <f t="shared" si="2"/>
        <v>1.7824322119826399</v>
      </c>
      <c r="F21" s="39">
        <f t="shared" si="2"/>
        <v>1.8484691353854747</v>
      </c>
      <c r="G21" s="39">
        <f t="shared" si="2"/>
        <v>2.0750132604955218</v>
      </c>
      <c r="H21" s="39">
        <f t="shared" si="2"/>
        <v>2.1377440959816729</v>
      </c>
      <c r="I21" s="39">
        <f t="shared" si="2"/>
        <v>2.4570229250733506</v>
      </c>
      <c r="J21" s="39">
        <f t="shared" si="2"/>
        <v>2.5236000259582281</v>
      </c>
      <c r="K21" s="39">
        <f t="shared" si="2"/>
        <v>2.515893788575791</v>
      </c>
      <c r="L21" s="39">
        <f t="shared" si="2"/>
        <v>2.8676991308393593</v>
      </c>
      <c r="M21" s="39">
        <f t="shared" si="2"/>
        <v>2.5510349463565678</v>
      </c>
      <c r="N21" s="39">
        <f t="shared" si="2"/>
        <v>2.9172815060857928</v>
      </c>
      <c r="O21" s="39">
        <f t="shared" si="2"/>
        <v>3.2227916816258135</v>
      </c>
      <c r="P21" s="39">
        <f t="shared" si="2"/>
        <v>3.2521871940502201</v>
      </c>
      <c r="Q21" s="39">
        <f t="shared" si="2"/>
        <v>3.3443678026822998</v>
      </c>
      <c r="R21" s="39">
        <f t="shared" si="2"/>
        <v>3.4856499803307317</v>
      </c>
      <c r="S21" s="16"/>
      <c r="T21" s="2"/>
      <c r="U21" s="2"/>
      <c r="V21" s="2"/>
      <c r="W21" s="2"/>
      <c r="X21" s="16"/>
      <c r="Y21" s="2"/>
      <c r="Z21" s="2"/>
      <c r="AA21" s="2"/>
      <c r="AB21" s="2"/>
      <c r="AC21" s="16"/>
      <c r="AD21" s="2"/>
      <c r="AE21" s="2"/>
      <c r="AF21" s="2"/>
      <c r="AG21" s="2"/>
      <c r="AH21" s="16"/>
    </row>
    <row r="22" spans="2:34" x14ac:dyDescent="0.25"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</row>
    <row r="44" spans="3:13" ht="15.75" thickBot="1" x14ac:dyDescent="0.3"/>
    <row r="45" spans="3:13" ht="30.75" thickBot="1" x14ac:dyDescent="0.3">
      <c r="C45" s="66" t="s">
        <v>11</v>
      </c>
      <c r="D45" s="67" t="s">
        <v>19</v>
      </c>
      <c r="E45" s="67" t="s">
        <v>20</v>
      </c>
      <c r="F45" s="67" t="s">
        <v>21</v>
      </c>
      <c r="G45" s="68" t="s">
        <v>26</v>
      </c>
      <c r="I45" s="168" t="s">
        <v>11</v>
      </c>
      <c r="J45" s="169" t="s">
        <v>19</v>
      </c>
      <c r="K45" s="170" t="s">
        <v>29</v>
      </c>
      <c r="L45" s="170" t="s">
        <v>30</v>
      </c>
      <c r="M45" s="171" t="s">
        <v>31</v>
      </c>
    </row>
    <row r="46" spans="3:13" ht="15.75" thickBot="1" x14ac:dyDescent="0.3">
      <c r="C46" s="47">
        <v>1999</v>
      </c>
      <c r="D46" s="48">
        <v>1.7118155203874195</v>
      </c>
      <c r="E46" s="49">
        <v>2191759</v>
      </c>
      <c r="F46" s="49">
        <f>+E46*D46</f>
        <v>3751887.0731488103</v>
      </c>
      <c r="G46" s="50">
        <v>3311000</v>
      </c>
      <c r="I46" s="74">
        <v>2014</v>
      </c>
      <c r="J46" s="76">
        <v>3.4044368053192517</v>
      </c>
      <c r="K46" s="128">
        <v>2368466.4400000004</v>
      </c>
      <c r="L46" s="77">
        <v>8063294.320499463</v>
      </c>
      <c r="M46" s="124">
        <v>5741000</v>
      </c>
    </row>
    <row r="47" spans="3:13" x14ac:dyDescent="0.25">
      <c r="C47" s="51">
        <v>2000</v>
      </c>
      <c r="D47" s="52">
        <v>1.9136098131760495</v>
      </c>
      <c r="E47" s="53">
        <v>2193763</v>
      </c>
      <c r="F47" s="53">
        <f t="shared" ref="F47:F77" si="3">+E47*D47</f>
        <v>4198006.4045825303</v>
      </c>
      <c r="G47" s="54">
        <v>3602000</v>
      </c>
      <c r="I47" s="59">
        <v>2020</v>
      </c>
      <c r="J47" s="72">
        <f t="shared" ref="J47:J49" si="4">0.1191*I47-236.51</f>
        <v>4.0720000000000027</v>
      </c>
      <c r="K47" s="137">
        <v>1394236.3725000001</v>
      </c>
      <c r="L47" s="60">
        <f t="shared" ref="L47:L49" si="5">+K47*J47</f>
        <v>5677330.5088200038</v>
      </c>
      <c r="M47" s="125">
        <v>5850870</v>
      </c>
    </row>
    <row r="48" spans="3:13" x14ac:dyDescent="0.25">
      <c r="C48" s="51">
        <v>2001</v>
      </c>
      <c r="D48" s="52">
        <v>1.7824322119826399</v>
      </c>
      <c r="E48" s="53">
        <v>2405192</v>
      </c>
      <c r="F48" s="53">
        <f t="shared" si="3"/>
        <v>4287091.6968029495</v>
      </c>
      <c r="G48" s="54">
        <v>3660000</v>
      </c>
      <c r="I48" s="41">
        <v>2025</v>
      </c>
      <c r="J48" s="45">
        <f t="shared" si="4"/>
        <v>4.6675000000000182</v>
      </c>
      <c r="K48" s="140">
        <v>1077480.7400000002</v>
      </c>
      <c r="L48" s="42">
        <f t="shared" si="5"/>
        <v>5029141.3539500209</v>
      </c>
      <c r="M48" s="126">
        <v>5850870</v>
      </c>
    </row>
    <row r="49" spans="3:13" ht="15.75" thickBot="1" x14ac:dyDescent="0.3">
      <c r="C49" s="51">
        <v>2002</v>
      </c>
      <c r="D49" s="52">
        <v>1.8484691353854747</v>
      </c>
      <c r="E49" s="53">
        <v>2397883</v>
      </c>
      <c r="F49" s="53">
        <f t="shared" si="3"/>
        <v>4432412.7157655284</v>
      </c>
      <c r="G49" s="54">
        <v>3840000</v>
      </c>
      <c r="I49" s="43">
        <v>2030</v>
      </c>
      <c r="J49" s="70">
        <f t="shared" si="4"/>
        <v>5.2630000000000052</v>
      </c>
      <c r="K49" s="143">
        <v>709901.10400000005</v>
      </c>
      <c r="L49" s="44">
        <f t="shared" si="5"/>
        <v>3736209.5103520039</v>
      </c>
      <c r="M49" s="127">
        <v>5850870</v>
      </c>
    </row>
    <row r="50" spans="3:13" x14ac:dyDescent="0.25">
      <c r="C50" s="51">
        <v>2003</v>
      </c>
      <c r="D50" s="52">
        <v>2.0750132604955218</v>
      </c>
      <c r="E50" s="53">
        <v>2432332</v>
      </c>
      <c r="F50" s="53">
        <f t="shared" si="3"/>
        <v>5047121.1539275935</v>
      </c>
      <c r="G50" s="54">
        <v>4479000</v>
      </c>
    </row>
    <row r="51" spans="3:13" x14ac:dyDescent="0.25">
      <c r="C51" s="51">
        <v>2004</v>
      </c>
      <c r="D51" s="52">
        <v>2.1377440959816729</v>
      </c>
      <c r="E51" s="53">
        <v>2356742</v>
      </c>
      <c r="F51" s="53">
        <f t="shared" si="3"/>
        <v>5038111.2962520402</v>
      </c>
      <c r="G51" s="54">
        <v>4618000</v>
      </c>
    </row>
    <row r="52" spans="3:13" ht="15.75" thickBot="1" x14ac:dyDescent="0.3">
      <c r="C52" s="51">
        <v>2005</v>
      </c>
      <c r="D52" s="52">
        <v>2.4570229250733506</v>
      </c>
      <c r="E52" s="53">
        <v>2299928</v>
      </c>
      <c r="F52" s="53">
        <f t="shared" si="3"/>
        <v>5650975.8220181009</v>
      </c>
      <c r="G52" s="54">
        <v>5009000</v>
      </c>
    </row>
    <row r="53" spans="3:13" ht="30.75" thickBot="1" x14ac:dyDescent="0.3">
      <c r="C53" s="51">
        <v>2006</v>
      </c>
      <c r="D53" s="52">
        <v>2.5236000259582281</v>
      </c>
      <c r="E53" s="53">
        <v>2268675</v>
      </c>
      <c r="F53" s="53">
        <f t="shared" si="3"/>
        <v>5725228.2888907827</v>
      </c>
      <c r="G53" s="54">
        <v>5027000</v>
      </c>
      <c r="I53" s="168" t="s">
        <v>11</v>
      </c>
      <c r="J53" s="169" t="s">
        <v>19</v>
      </c>
      <c r="K53" s="170" t="s">
        <v>29</v>
      </c>
      <c r="L53" s="170" t="s">
        <v>30</v>
      </c>
      <c r="M53" s="159" t="s">
        <v>31</v>
      </c>
    </row>
    <row r="54" spans="3:13" ht="15.75" thickBot="1" x14ac:dyDescent="0.3">
      <c r="C54" s="51">
        <v>2007</v>
      </c>
      <c r="D54" s="52">
        <v>2.515893788575791</v>
      </c>
      <c r="E54" s="53">
        <v>2447532</v>
      </c>
      <c r="F54" s="53">
        <f t="shared" si="3"/>
        <v>6157730.5561404834</v>
      </c>
      <c r="G54" s="54">
        <v>4775000</v>
      </c>
      <c r="I54" s="74">
        <v>2014</v>
      </c>
      <c r="J54" s="76">
        <v>3.4044368053192517</v>
      </c>
      <c r="K54" s="128">
        <v>2368466.4400000004</v>
      </c>
      <c r="L54" s="77">
        <v>8063294.320499463</v>
      </c>
      <c r="M54" s="164">
        <v>5741000</v>
      </c>
    </row>
    <row r="55" spans="3:13" x14ac:dyDescent="0.25">
      <c r="C55" s="51">
        <v>2008</v>
      </c>
      <c r="D55" s="52">
        <v>2.8676991308393593</v>
      </c>
      <c r="E55" s="53">
        <v>2571311</v>
      </c>
      <c r="F55" s="53">
        <f t="shared" si="3"/>
        <v>7373746.3198176837</v>
      </c>
      <c r="G55" s="54">
        <v>4858000</v>
      </c>
      <c r="I55" s="59">
        <v>2020</v>
      </c>
      <c r="J55" s="72">
        <f>D67</f>
        <v>4.2700000000000102</v>
      </c>
      <c r="K55" s="137">
        <f>E67</f>
        <v>1574160</v>
      </c>
      <c r="L55" s="60">
        <f>F67</f>
        <v>6721663.200000016</v>
      </c>
      <c r="M55" s="165">
        <f>G67</f>
        <v>6456692.0000000019</v>
      </c>
    </row>
    <row r="56" spans="3:13" x14ac:dyDescent="0.25">
      <c r="C56" s="51">
        <v>2009</v>
      </c>
      <c r="D56" s="52">
        <v>2.5510349463565678</v>
      </c>
      <c r="E56" s="53">
        <v>2767662</v>
      </c>
      <c r="F56" s="53">
        <f t="shared" si="3"/>
        <v>7060402.481703111</v>
      </c>
      <c r="G56" s="54">
        <v>5077000</v>
      </c>
      <c r="I56" s="41">
        <v>2025</v>
      </c>
      <c r="J56" s="45">
        <f>D72</f>
        <v>4.8799999999999955</v>
      </c>
      <c r="K56" s="140">
        <f>E72</f>
        <v>969584</v>
      </c>
      <c r="L56" s="42">
        <f>F72</f>
        <v>4731569.9199999953</v>
      </c>
      <c r="M56" s="166">
        <f>G72</f>
        <v>6456692.0000000019</v>
      </c>
    </row>
    <row r="57" spans="3:13" ht="15.75" thickBot="1" x14ac:dyDescent="0.3">
      <c r="C57" s="51">
        <v>2010</v>
      </c>
      <c r="D57" s="52">
        <v>2.9172815060857928</v>
      </c>
      <c r="E57" s="53">
        <v>2719408</v>
      </c>
      <c r="F57" s="53">
        <f t="shared" si="3"/>
        <v>7933278.6659017541</v>
      </c>
      <c r="G57" s="54">
        <v>5164000</v>
      </c>
      <c r="I57" s="43">
        <v>2030</v>
      </c>
      <c r="J57" s="70">
        <f>D77</f>
        <v>5.4900000000000091</v>
      </c>
      <c r="K57" s="143">
        <f>E77</f>
        <v>731504</v>
      </c>
      <c r="L57" s="44">
        <f>F77</f>
        <v>4015956.9600000065</v>
      </c>
      <c r="M57" s="167">
        <f>G77</f>
        <v>6456692.0000000019</v>
      </c>
    </row>
    <row r="58" spans="3:13" x14ac:dyDescent="0.25">
      <c r="C58" s="51">
        <v>2011</v>
      </c>
      <c r="D58" s="52">
        <v>3.2227916816258135</v>
      </c>
      <c r="E58" s="53">
        <v>2661226</v>
      </c>
      <c r="F58" s="53">
        <f t="shared" si="3"/>
        <v>8576577.0157263372</v>
      </c>
      <c r="G58" s="54">
        <v>5277000</v>
      </c>
    </row>
    <row r="59" spans="3:13" x14ac:dyDescent="0.25">
      <c r="C59" s="51">
        <v>2012</v>
      </c>
      <c r="D59" s="52">
        <v>3.2521871940502201</v>
      </c>
      <c r="E59" s="53">
        <v>2641874</v>
      </c>
      <c r="F59" s="53">
        <f t="shared" si="3"/>
        <v>8591868.7910942305</v>
      </c>
      <c r="G59" s="54">
        <v>5245000</v>
      </c>
      <c r="H59"/>
    </row>
    <row r="60" spans="3:13" x14ac:dyDescent="0.25">
      <c r="C60" s="51">
        <v>2013</v>
      </c>
      <c r="D60" s="52">
        <v>3.3443678026822998</v>
      </c>
      <c r="E60" s="53">
        <v>2508396</v>
      </c>
      <c r="F60" s="53">
        <f t="shared" si="3"/>
        <v>8388998.8187770694</v>
      </c>
      <c r="G60" s="54">
        <v>5422000</v>
      </c>
    </row>
    <row r="61" spans="3:13" ht="15.75" thickBot="1" x14ac:dyDescent="0.3">
      <c r="C61" s="55">
        <v>2014</v>
      </c>
      <c r="D61" s="56">
        <v>3.4044368053192517</v>
      </c>
      <c r="E61" s="57">
        <v>2368466.4400000004</v>
      </c>
      <c r="F61" s="79">
        <f t="shared" si="3"/>
        <v>8063294.320499463</v>
      </c>
      <c r="G61" s="58">
        <v>5741000</v>
      </c>
    </row>
    <row r="62" spans="3:13" x14ac:dyDescent="0.25">
      <c r="C62" s="81">
        <v>2015</v>
      </c>
      <c r="D62" s="80">
        <f t="shared" ref="D62:D77" si="6">0.122*C62 - 242.17</f>
        <v>3.6599999999999966</v>
      </c>
      <c r="E62" s="64">
        <f t="shared" ref="E62:E77" si="7">-1.10182183892221*C62^5+11117.6221884797*C62^4-44871038.4173958*C62^3+90549072863.1658*C62^2-91361993395092.5*C62+36872346508759500</f>
        <v>2271440</v>
      </c>
      <c r="F62" s="64">
        <f>+E62*D62</f>
        <v>8313470.399999992</v>
      </c>
      <c r="G62" s="83">
        <f t="shared" ref="G62:G63" si="8" xml:space="preserve"> (121.42*C62 - 238913)*1000</f>
        <v>5748300.0000000177</v>
      </c>
    </row>
    <row r="63" spans="3:13" x14ac:dyDescent="0.25">
      <c r="C63" s="82">
        <v>2016</v>
      </c>
      <c r="D63" s="80">
        <f t="shared" si="6"/>
        <v>3.7820000000000107</v>
      </c>
      <c r="E63" s="65">
        <f t="shared" si="7"/>
        <v>2146384</v>
      </c>
      <c r="F63" s="65">
        <f t="shared" si="3"/>
        <v>8117624.288000023</v>
      </c>
      <c r="G63" s="84">
        <f t="shared" si="8"/>
        <v>5869720.0000000009</v>
      </c>
    </row>
    <row r="64" spans="3:13" x14ac:dyDescent="0.25">
      <c r="C64" s="82">
        <v>2017</v>
      </c>
      <c r="D64" s="80">
        <f t="shared" si="6"/>
        <v>3.9039999999999964</v>
      </c>
      <c r="E64" s="65">
        <f t="shared" si="7"/>
        <v>2010448</v>
      </c>
      <c r="F64" s="65">
        <f t="shared" si="3"/>
        <v>7848788.9919999931</v>
      </c>
      <c r="G64" s="62">
        <f>+G63*(1+$D$1)</f>
        <v>6456692.0000000019</v>
      </c>
      <c r="H64" s="3" t="s">
        <v>25</v>
      </c>
    </row>
    <row r="65" spans="3:7" x14ac:dyDescent="0.25">
      <c r="C65" s="82">
        <v>2018</v>
      </c>
      <c r="D65" s="80">
        <f t="shared" si="6"/>
        <v>4.0260000000000105</v>
      </c>
      <c r="E65" s="65">
        <f t="shared" si="7"/>
        <v>1867120</v>
      </c>
      <c r="F65" s="65">
        <f t="shared" si="3"/>
        <v>7517025.1200000197</v>
      </c>
      <c r="G65" s="62">
        <f t="shared" ref="G65:G77" si="9">+G64</f>
        <v>6456692.0000000019</v>
      </c>
    </row>
    <row r="66" spans="3:7" x14ac:dyDescent="0.25">
      <c r="C66" s="82">
        <v>2019</v>
      </c>
      <c r="D66" s="80">
        <f t="shared" si="6"/>
        <v>4.1479999999999961</v>
      </c>
      <c r="E66" s="65">
        <f t="shared" si="7"/>
        <v>1720368</v>
      </c>
      <c r="F66" s="65">
        <f t="shared" si="3"/>
        <v>7136086.4639999932</v>
      </c>
      <c r="G66" s="62">
        <f t="shared" si="9"/>
        <v>6456692.0000000019</v>
      </c>
    </row>
    <row r="67" spans="3:7" x14ac:dyDescent="0.25">
      <c r="C67" s="96">
        <v>2020</v>
      </c>
      <c r="D67" s="97">
        <f t="shared" si="6"/>
        <v>4.2700000000000102</v>
      </c>
      <c r="E67" s="93">
        <f t="shared" si="7"/>
        <v>1574160</v>
      </c>
      <c r="F67" s="93">
        <f t="shared" si="3"/>
        <v>6721663.200000016</v>
      </c>
      <c r="G67" s="94">
        <f t="shared" si="9"/>
        <v>6456692.0000000019</v>
      </c>
    </row>
    <row r="68" spans="3:7" x14ac:dyDescent="0.25">
      <c r="C68" s="98">
        <v>2021</v>
      </c>
      <c r="D68" s="99">
        <f t="shared" si="6"/>
        <v>4.3919999999999959</v>
      </c>
      <c r="E68" s="95">
        <f t="shared" si="7"/>
        <v>1432048</v>
      </c>
      <c r="F68" s="95">
        <f t="shared" si="3"/>
        <v>6289554.8159999941</v>
      </c>
      <c r="G68" s="94">
        <f t="shared" si="9"/>
        <v>6456692.0000000019</v>
      </c>
    </row>
    <row r="69" spans="3:7" x14ac:dyDescent="0.25">
      <c r="C69" s="82">
        <v>2022</v>
      </c>
      <c r="D69" s="80">
        <f t="shared" si="6"/>
        <v>4.51400000000001</v>
      </c>
      <c r="E69" s="65">
        <f t="shared" si="7"/>
        <v>1297744</v>
      </c>
      <c r="F69" s="65">
        <f t="shared" si="3"/>
        <v>5858016.4160000132</v>
      </c>
      <c r="G69" s="62">
        <f t="shared" si="9"/>
        <v>6456692.0000000019</v>
      </c>
    </row>
    <row r="70" spans="3:7" x14ac:dyDescent="0.25">
      <c r="C70" s="82">
        <v>2023</v>
      </c>
      <c r="D70" s="80">
        <f t="shared" si="6"/>
        <v>4.6359999999999957</v>
      </c>
      <c r="E70" s="65">
        <f t="shared" si="7"/>
        <v>1174288</v>
      </c>
      <c r="F70" s="65">
        <f t="shared" si="3"/>
        <v>5443999.1679999949</v>
      </c>
      <c r="G70" s="62">
        <f t="shared" si="9"/>
        <v>6456692.0000000019</v>
      </c>
    </row>
    <row r="71" spans="3:7" x14ac:dyDescent="0.25">
      <c r="C71" s="82">
        <v>2024</v>
      </c>
      <c r="D71" s="80">
        <f t="shared" si="6"/>
        <v>4.7580000000000098</v>
      </c>
      <c r="E71" s="65">
        <f t="shared" si="7"/>
        <v>1064240</v>
      </c>
      <c r="F71" s="65">
        <f t="shared" si="3"/>
        <v>5063653.9200000102</v>
      </c>
      <c r="G71" s="62">
        <f t="shared" si="9"/>
        <v>6456692.0000000019</v>
      </c>
    </row>
    <row r="72" spans="3:7" x14ac:dyDescent="0.25">
      <c r="C72" s="85">
        <v>2025</v>
      </c>
      <c r="D72" s="86">
        <f t="shared" si="6"/>
        <v>4.8799999999999955</v>
      </c>
      <c r="E72" s="87">
        <f t="shared" si="7"/>
        <v>969584</v>
      </c>
      <c r="F72" s="87">
        <f t="shared" si="3"/>
        <v>4731569.9199999953</v>
      </c>
      <c r="G72" s="62">
        <f t="shared" si="9"/>
        <v>6456692.0000000019</v>
      </c>
    </row>
    <row r="73" spans="3:7" x14ac:dyDescent="0.25">
      <c r="C73" s="82">
        <v>2026</v>
      </c>
      <c r="D73" s="80">
        <f t="shared" si="6"/>
        <v>5.0020000000000095</v>
      </c>
      <c r="E73" s="65">
        <f t="shared" si="7"/>
        <v>891376</v>
      </c>
      <c r="F73" s="65">
        <f t="shared" si="3"/>
        <v>4458662.7520000087</v>
      </c>
      <c r="G73" s="62">
        <f t="shared" si="9"/>
        <v>6456692.0000000019</v>
      </c>
    </row>
    <row r="74" spans="3:7" x14ac:dyDescent="0.25">
      <c r="C74" s="82">
        <v>2027</v>
      </c>
      <c r="D74" s="80">
        <f t="shared" si="6"/>
        <v>5.1239999999999952</v>
      </c>
      <c r="E74" s="65">
        <f t="shared" si="7"/>
        <v>829936</v>
      </c>
      <c r="F74" s="65">
        <f t="shared" si="3"/>
        <v>4252592.0639999956</v>
      </c>
      <c r="G74" s="62">
        <f t="shared" si="9"/>
        <v>6456692.0000000019</v>
      </c>
    </row>
    <row r="75" spans="3:7" x14ac:dyDescent="0.25">
      <c r="C75" s="82">
        <v>2028</v>
      </c>
      <c r="D75" s="80">
        <f t="shared" si="6"/>
        <v>5.2460000000000093</v>
      </c>
      <c r="E75" s="65">
        <f t="shared" si="7"/>
        <v>784368</v>
      </c>
      <c r="F75" s="65">
        <f t="shared" si="3"/>
        <v>4114794.5280000074</v>
      </c>
      <c r="G75" s="62">
        <f t="shared" si="9"/>
        <v>6456692.0000000019</v>
      </c>
    </row>
    <row r="76" spans="3:7" x14ac:dyDescent="0.25">
      <c r="C76" s="82">
        <v>2029</v>
      </c>
      <c r="D76" s="80">
        <f t="shared" si="6"/>
        <v>5.367999999999995</v>
      </c>
      <c r="E76" s="65">
        <f t="shared" si="7"/>
        <v>752624</v>
      </c>
      <c r="F76" s="65">
        <f t="shared" si="3"/>
        <v>4040085.631999996</v>
      </c>
      <c r="G76" s="62">
        <f t="shared" si="9"/>
        <v>6456692.0000000019</v>
      </c>
    </row>
    <row r="77" spans="3:7" ht="15.75" thickBot="1" x14ac:dyDescent="0.3">
      <c r="C77" s="88">
        <v>2030</v>
      </c>
      <c r="D77" s="89">
        <f t="shared" si="6"/>
        <v>5.4900000000000091</v>
      </c>
      <c r="E77" s="90">
        <f t="shared" si="7"/>
        <v>731504</v>
      </c>
      <c r="F77" s="90">
        <f t="shared" si="3"/>
        <v>4015956.9600000065</v>
      </c>
      <c r="G77" s="63">
        <f t="shared" si="9"/>
        <v>6456692.0000000019</v>
      </c>
    </row>
    <row r="78" spans="3:7" x14ac:dyDescent="0.25">
      <c r="E78" s="22"/>
    </row>
    <row r="81" spans="3:22" x14ac:dyDescent="0.25">
      <c r="C81" s="1" t="s">
        <v>11</v>
      </c>
      <c r="D81" s="1">
        <v>1999</v>
      </c>
      <c r="E81" s="1">
        <v>2000</v>
      </c>
      <c r="F81" s="1">
        <v>2001</v>
      </c>
      <c r="G81" s="1">
        <v>2002</v>
      </c>
      <c r="H81" s="1">
        <v>2003</v>
      </c>
      <c r="I81" s="1">
        <v>2004</v>
      </c>
      <c r="J81" s="1">
        <v>2005</v>
      </c>
      <c r="K81" s="1">
        <v>2006</v>
      </c>
      <c r="L81" s="1">
        <v>2007</v>
      </c>
      <c r="M81" s="1">
        <v>2008</v>
      </c>
      <c r="N81" s="1">
        <v>2009</v>
      </c>
      <c r="O81" s="1">
        <v>2010</v>
      </c>
      <c r="P81" s="1">
        <v>2011</v>
      </c>
      <c r="Q81" s="1">
        <v>2012</v>
      </c>
      <c r="R81" s="1">
        <v>2013</v>
      </c>
      <c r="S81" s="1">
        <v>2014</v>
      </c>
      <c r="T81" s="1">
        <v>2020</v>
      </c>
      <c r="U81" s="1">
        <v>2025</v>
      </c>
      <c r="V81" s="1">
        <v>2030</v>
      </c>
    </row>
    <row r="82" spans="3:22" x14ac:dyDescent="0.25">
      <c r="C82" s="1" t="s">
        <v>20</v>
      </c>
      <c r="D82" s="40">
        <v>2191759</v>
      </c>
      <c r="E82" s="40">
        <v>2193763</v>
      </c>
      <c r="F82" s="40">
        <v>2405192</v>
      </c>
      <c r="G82" s="40">
        <v>2397883</v>
      </c>
      <c r="H82" s="40">
        <v>2432332</v>
      </c>
      <c r="I82" s="40">
        <v>2356742</v>
      </c>
      <c r="J82" s="40">
        <v>2299928</v>
      </c>
      <c r="K82" s="40">
        <v>2268675</v>
      </c>
      <c r="L82" s="40">
        <v>2447532</v>
      </c>
      <c r="M82" s="40">
        <v>2571311</v>
      </c>
      <c r="N82" s="40">
        <v>2767662</v>
      </c>
      <c r="O82" s="40">
        <v>2719408</v>
      </c>
      <c r="P82" s="40">
        <v>2661226</v>
      </c>
      <c r="Q82" s="40">
        <v>2641874</v>
      </c>
      <c r="R82" s="40">
        <v>2508396</v>
      </c>
      <c r="S82" s="40">
        <v>2368466.4400000004</v>
      </c>
      <c r="T82" s="24">
        <v>1394236.3725000001</v>
      </c>
      <c r="U82" s="24">
        <v>1077480.7400000002</v>
      </c>
      <c r="V82" s="24">
        <v>709901.10400000005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H81"/>
  <sheetViews>
    <sheetView topLeftCell="H19" zoomScale="70" zoomScaleNormal="70" workbookViewId="0">
      <selection activeCell="Q65" sqref="Q65"/>
    </sheetView>
  </sheetViews>
  <sheetFormatPr baseColWidth="10" defaultRowHeight="15" x14ac:dyDescent="0.25"/>
  <cols>
    <col min="1" max="1" width="11.42578125" style="3"/>
    <col min="2" max="2" width="36.85546875" style="3" bestFit="1" customWidth="1"/>
    <col min="3" max="3" width="14.85546875" style="3" customWidth="1"/>
    <col min="4" max="4" width="15.7109375" style="3" customWidth="1"/>
    <col min="5" max="5" width="16.42578125" style="3" customWidth="1"/>
    <col min="6" max="6" width="20" style="3" bestFit="1" customWidth="1"/>
    <col min="7" max="7" width="15.85546875" style="3" customWidth="1"/>
    <col min="8" max="8" width="17.140625" style="3" customWidth="1"/>
    <col min="9" max="9" width="15.85546875" style="3" customWidth="1"/>
    <col min="10" max="13" width="15.85546875" style="3" bestFit="1" customWidth="1"/>
    <col min="14" max="15" width="15.42578125" style="3" bestFit="1" customWidth="1"/>
    <col min="16" max="18" width="15.85546875" style="3" bestFit="1" customWidth="1"/>
    <col min="19" max="19" width="14.5703125" style="3" bestFit="1" customWidth="1"/>
    <col min="20" max="23" width="11.5703125" style="3" bestFit="1" customWidth="1"/>
    <col min="24" max="24" width="15.42578125" style="3" customWidth="1"/>
    <col min="25" max="28" width="11.5703125" style="3" bestFit="1" customWidth="1"/>
    <col min="29" max="29" width="15" style="3" bestFit="1" customWidth="1"/>
    <col min="30" max="33" width="11.5703125" style="3" bestFit="1" customWidth="1"/>
    <col min="34" max="34" width="13.140625" style="3" bestFit="1" customWidth="1"/>
    <col min="35" max="16384" width="11.42578125" style="3"/>
  </cols>
  <sheetData>
    <row r="1" spans="2:34" x14ac:dyDescent="0.25">
      <c r="B1" s="3" t="s">
        <v>33</v>
      </c>
      <c r="D1" s="100">
        <v>0.1</v>
      </c>
    </row>
    <row r="3" spans="2:34" x14ac:dyDescent="0.25">
      <c r="B3" s="10" t="s">
        <v>0</v>
      </c>
      <c r="C3" s="10">
        <v>1999</v>
      </c>
      <c r="D3" s="10">
        <v>2000</v>
      </c>
      <c r="E3" s="10">
        <v>2001</v>
      </c>
      <c r="F3" s="10">
        <v>2002</v>
      </c>
      <c r="G3" s="10">
        <v>2003</v>
      </c>
      <c r="H3" s="10">
        <v>2004</v>
      </c>
      <c r="I3" s="10">
        <v>2005</v>
      </c>
      <c r="J3" s="10">
        <v>2006</v>
      </c>
      <c r="K3" s="10">
        <v>2007</v>
      </c>
      <c r="L3" s="10">
        <v>2008</v>
      </c>
      <c r="M3" s="10">
        <v>2009</v>
      </c>
      <c r="N3" s="10">
        <v>2010</v>
      </c>
      <c r="O3" s="10">
        <v>2011</v>
      </c>
      <c r="P3" s="10">
        <v>2012</v>
      </c>
      <c r="Q3" s="10">
        <v>2013</v>
      </c>
      <c r="R3" s="10">
        <v>2014</v>
      </c>
      <c r="S3" s="10">
        <v>2015</v>
      </c>
      <c r="T3" s="10">
        <v>2016</v>
      </c>
      <c r="U3" s="10">
        <v>2017</v>
      </c>
      <c r="V3" s="10">
        <v>2018</v>
      </c>
      <c r="W3" s="10">
        <v>2019</v>
      </c>
      <c r="X3" s="10">
        <v>2020</v>
      </c>
      <c r="Y3" s="10">
        <v>2021</v>
      </c>
      <c r="Z3" s="10">
        <v>2022</v>
      </c>
      <c r="AA3" s="10">
        <v>2023</v>
      </c>
      <c r="AB3" s="10">
        <v>2024</v>
      </c>
      <c r="AC3" s="10">
        <v>2025</v>
      </c>
      <c r="AD3" s="10">
        <v>2026</v>
      </c>
      <c r="AE3" s="10">
        <v>2027</v>
      </c>
      <c r="AF3" s="10">
        <v>2028</v>
      </c>
      <c r="AG3" s="10">
        <v>2029</v>
      </c>
      <c r="AH3" s="10">
        <v>2030</v>
      </c>
    </row>
    <row r="4" spans="2:34" x14ac:dyDescent="0.25">
      <c r="B4" s="1" t="s">
        <v>1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>
        <v>0</v>
      </c>
      <c r="AD4" s="1"/>
      <c r="AE4" s="1"/>
      <c r="AF4" s="1"/>
      <c r="AG4" s="1"/>
      <c r="AH4" s="1">
        <v>0</v>
      </c>
    </row>
    <row r="5" spans="2:34" x14ac:dyDescent="0.25">
      <c r="B5" s="1" t="s">
        <v>3</v>
      </c>
      <c r="C5" s="2">
        <v>150866.78554714104</v>
      </c>
      <c r="D5" s="2">
        <v>151004.78522356719</v>
      </c>
      <c r="E5" s="2">
        <v>165571.43304554812</v>
      </c>
      <c r="F5" s="2">
        <v>165067.79967826148</v>
      </c>
      <c r="G5" s="2">
        <v>167441.14608541472</v>
      </c>
      <c r="H5" s="2">
        <v>162233.19124730738</v>
      </c>
      <c r="I5" s="2">
        <v>158318.83697064655</v>
      </c>
      <c r="J5" s="2">
        <v>156165.54596364562</v>
      </c>
      <c r="K5" s="2">
        <v>168488.0972002284</v>
      </c>
      <c r="L5" s="2">
        <v>177015.96736931268</v>
      </c>
      <c r="M5" s="2">
        <v>190543.79386270975</v>
      </c>
      <c r="N5" s="2">
        <v>187219.19357017663</v>
      </c>
      <c r="O5" s="2">
        <v>183210.58889044492</v>
      </c>
      <c r="P5" s="2">
        <v>181877.23505226456</v>
      </c>
      <c r="Q5" s="2">
        <v>172681</v>
      </c>
      <c r="R5" s="2">
        <v>179670</v>
      </c>
      <c r="S5" s="2"/>
      <c r="T5" s="2"/>
      <c r="U5" s="2"/>
      <c r="V5" s="2"/>
      <c r="W5" s="2"/>
      <c r="X5" s="2">
        <v>84467.5</v>
      </c>
      <c r="Y5" s="2"/>
      <c r="Z5" s="2"/>
      <c r="AA5" s="2"/>
      <c r="AB5" s="2"/>
      <c r="AC5" s="2">
        <v>67094</v>
      </c>
      <c r="AD5" s="2"/>
      <c r="AE5" s="2"/>
      <c r="AF5" s="2"/>
      <c r="AG5" s="2"/>
      <c r="AH5" s="2">
        <v>15840</v>
      </c>
    </row>
    <row r="6" spans="2:34" x14ac:dyDescent="0.25">
      <c r="B6" s="1" t="s">
        <v>4</v>
      </c>
      <c r="C6" s="2">
        <v>1799596.7084041026</v>
      </c>
      <c r="D6" s="2">
        <v>1801242.8213146194</v>
      </c>
      <c r="E6" s="2">
        <v>1974999.3667188932</v>
      </c>
      <c r="F6" s="2">
        <v>1968991.8353280404</v>
      </c>
      <c r="G6" s="2">
        <v>1997302.0188235396</v>
      </c>
      <c r="H6" s="2">
        <v>1935179.5420292907</v>
      </c>
      <c r="I6" s="2">
        <v>1888487.6273957333</v>
      </c>
      <c r="J6" s="2">
        <v>1862802.3488608883</v>
      </c>
      <c r="K6" s="2">
        <v>2009790.4520677805</v>
      </c>
      <c r="L6" s="2">
        <v>2111514.1484421971</v>
      </c>
      <c r="M6" s="2">
        <v>2272879.2358011524</v>
      </c>
      <c r="N6" s="2">
        <v>2233222.1322080465</v>
      </c>
      <c r="O6" s="2">
        <v>2185405.9627259681</v>
      </c>
      <c r="P6" s="2">
        <v>2169501.208279022</v>
      </c>
      <c r="Q6" s="2">
        <v>2059805</v>
      </c>
      <c r="R6" s="2">
        <v>1954483.03</v>
      </c>
      <c r="S6" s="2"/>
      <c r="T6" s="2"/>
      <c r="U6" s="2"/>
      <c r="V6" s="2"/>
      <c r="W6" s="2"/>
      <c r="X6" s="2">
        <v>1167933.8149999999</v>
      </c>
      <c r="Y6" s="2"/>
      <c r="Z6" s="2"/>
      <c r="AA6" s="2"/>
      <c r="AB6" s="2"/>
      <c r="AC6" s="2">
        <v>893331.12000000011</v>
      </c>
      <c r="AD6" s="2"/>
      <c r="AE6" s="2"/>
      <c r="AF6" s="2"/>
      <c r="AG6" s="2"/>
      <c r="AH6" s="2">
        <v>593939.10400000005</v>
      </c>
    </row>
    <row r="7" spans="2:34" x14ac:dyDescent="0.25">
      <c r="B7" s="1" t="s">
        <v>5</v>
      </c>
      <c r="C7" s="2">
        <v>167927.00480333614</v>
      </c>
      <c r="D7" s="2">
        <v>168080.60966899313</v>
      </c>
      <c r="E7" s="2">
        <v>184294.47364109955</v>
      </c>
      <c r="F7" s="2">
        <v>183733.88873448313</v>
      </c>
      <c r="G7" s="2">
        <v>186375.61634913739</v>
      </c>
      <c r="H7" s="2">
        <v>180578.73896527386</v>
      </c>
      <c r="I7" s="2">
        <v>176221.74423621609</v>
      </c>
      <c r="J7" s="2">
        <v>173824.95618267439</v>
      </c>
      <c r="K7" s="2">
        <v>187540.95810576438</v>
      </c>
      <c r="L7" s="2">
        <v>197033.17131659447</v>
      </c>
      <c r="M7" s="2">
        <v>212090.74264547759</v>
      </c>
      <c r="N7" s="2">
        <v>208390.19207519363</v>
      </c>
      <c r="O7" s="2">
        <v>203928.28898057481</v>
      </c>
      <c r="P7" s="2">
        <v>202444.1576949732</v>
      </c>
      <c r="Q7" s="2">
        <v>192208</v>
      </c>
      <c r="R7" s="2">
        <v>177813.41</v>
      </c>
      <c r="S7" s="2"/>
      <c r="T7" s="2"/>
      <c r="U7" s="2"/>
      <c r="V7" s="2"/>
      <c r="W7" s="2"/>
      <c r="X7" s="2">
        <v>57085.057500000003</v>
      </c>
      <c r="Y7" s="2"/>
      <c r="Z7" s="2"/>
      <c r="AA7" s="2"/>
      <c r="AB7" s="2"/>
      <c r="AC7" s="2">
        <v>51055.62</v>
      </c>
      <c r="AD7" s="2"/>
      <c r="AE7" s="2"/>
      <c r="AF7" s="2"/>
      <c r="AG7" s="2"/>
      <c r="AH7" s="2">
        <v>44880</v>
      </c>
    </row>
    <row r="8" spans="2:34" x14ac:dyDescent="0.25">
      <c r="B8" s="1" t="s">
        <v>6</v>
      </c>
      <c r="C8" s="2">
        <v>18417.033948921613</v>
      </c>
      <c r="D8" s="2">
        <v>18433.880232989133</v>
      </c>
      <c r="E8" s="2">
        <v>20212.100975788617</v>
      </c>
      <c r="F8" s="2">
        <v>20150.620028942107</v>
      </c>
      <c r="G8" s="2">
        <v>20440.34583700895</v>
      </c>
      <c r="H8" s="2">
        <v>19804.585747669051</v>
      </c>
      <c r="I8" s="2">
        <v>19326.741699093873</v>
      </c>
      <c r="J8" s="2">
        <v>19063.87911185162</v>
      </c>
      <c r="K8" s="2">
        <v>20568.152193818743</v>
      </c>
      <c r="L8" s="2">
        <v>21609.190311297196</v>
      </c>
      <c r="M8" s="2">
        <v>23260.597139383724</v>
      </c>
      <c r="N8" s="2">
        <v>22854.74719546055</v>
      </c>
      <c r="O8" s="2">
        <v>22365.397546983044</v>
      </c>
      <c r="P8" s="2">
        <v>22202.62863257531</v>
      </c>
      <c r="Q8" s="2">
        <v>21080</v>
      </c>
      <c r="R8" s="2">
        <v>4520</v>
      </c>
      <c r="S8" s="2"/>
      <c r="T8" s="2"/>
      <c r="U8" s="2"/>
      <c r="V8" s="2"/>
      <c r="W8" s="2"/>
      <c r="X8" s="2">
        <v>3390</v>
      </c>
      <c r="Y8" s="2"/>
      <c r="Z8" s="2"/>
      <c r="AA8" s="2"/>
      <c r="AB8" s="2"/>
      <c r="AC8" s="2">
        <v>2640</v>
      </c>
      <c r="AD8" s="2"/>
      <c r="AE8" s="2"/>
      <c r="AF8" s="2"/>
      <c r="AG8" s="2"/>
      <c r="AH8" s="2">
        <v>2376</v>
      </c>
    </row>
    <row r="9" spans="2:34" x14ac:dyDescent="0.25">
      <c r="B9" s="1" t="s">
        <v>7</v>
      </c>
      <c r="C9" s="2">
        <v>18831.155110771178</v>
      </c>
      <c r="D9" s="2">
        <v>18848.38019648234</v>
      </c>
      <c r="E9" s="2">
        <v>20666.585599247999</v>
      </c>
      <c r="F9" s="2">
        <v>20603.722206063478</v>
      </c>
      <c r="G9" s="2">
        <v>20899.962721579261</v>
      </c>
      <c r="H9" s="2">
        <v>20249.907078048327</v>
      </c>
      <c r="I9" s="2">
        <v>19761.318338817331</v>
      </c>
      <c r="J9" s="2">
        <v>19492.545084290789</v>
      </c>
      <c r="K9" s="2">
        <v>21030.642902541229</v>
      </c>
      <c r="L9" s="2">
        <v>22095.089562129968</v>
      </c>
      <c r="M9" s="2">
        <v>23783.629541853737</v>
      </c>
      <c r="N9" s="2">
        <v>23368.653750045381</v>
      </c>
      <c r="O9" s="2">
        <v>22868.300698656189</v>
      </c>
      <c r="P9" s="2">
        <v>22701.871800119934</v>
      </c>
      <c r="Q9" s="2">
        <v>21554</v>
      </c>
      <c r="R9" s="2">
        <v>7910</v>
      </c>
      <c r="S9" s="2"/>
      <c r="T9" s="2"/>
      <c r="U9" s="2"/>
      <c r="V9" s="2"/>
      <c r="W9" s="2"/>
      <c r="X9" s="2">
        <v>5932.5</v>
      </c>
      <c r="Y9" s="2"/>
      <c r="Z9" s="2"/>
      <c r="AA9" s="2"/>
      <c r="AB9" s="2"/>
      <c r="AC9" s="2">
        <v>4620</v>
      </c>
      <c r="AD9" s="2"/>
      <c r="AE9" s="2"/>
      <c r="AF9" s="2"/>
      <c r="AG9" s="2"/>
      <c r="AH9" s="2">
        <v>0</v>
      </c>
    </row>
    <row r="10" spans="2:34" x14ac:dyDescent="0.25">
      <c r="B10" s="1" t="s">
        <v>8</v>
      </c>
      <c r="C10" s="2">
        <v>1135.7753384059818</v>
      </c>
      <c r="D10" s="2">
        <v>1136.8142458674513</v>
      </c>
      <c r="E10" s="2">
        <v>1246.4768153949335</v>
      </c>
      <c r="F10" s="2">
        <v>1242.6852959025016</v>
      </c>
      <c r="G10" s="2">
        <v>1260.5526370071932</v>
      </c>
      <c r="H10" s="2">
        <v>1221.3454208714311</v>
      </c>
      <c r="I10" s="2">
        <v>1191.8768600010453</v>
      </c>
      <c r="J10" s="2">
        <v>1175.6661691369595</v>
      </c>
      <c r="K10" s="2">
        <v>1268.4344332051405</v>
      </c>
      <c r="L10" s="2">
        <v>1332.6350761236411</v>
      </c>
      <c r="M10" s="2">
        <v>1434.4770531878009</v>
      </c>
      <c r="N10" s="2">
        <v>1409.4483564562956</v>
      </c>
      <c r="O10" s="2">
        <v>1379.2702472048366</v>
      </c>
      <c r="P10" s="2">
        <v>1369.2323160506594</v>
      </c>
      <c r="Q10" s="2">
        <v>1300</v>
      </c>
      <c r="R10" s="2">
        <v>44070</v>
      </c>
      <c r="S10" s="2"/>
      <c r="T10" s="2"/>
      <c r="U10" s="2"/>
      <c r="V10" s="2"/>
      <c r="W10" s="2"/>
      <c r="X10" s="2">
        <v>33052.5</v>
      </c>
      <c r="Y10" s="2"/>
      <c r="Z10" s="2"/>
      <c r="AA10" s="2"/>
      <c r="AB10" s="2"/>
      <c r="AC10" s="2">
        <v>25740</v>
      </c>
      <c r="AD10" s="2"/>
      <c r="AE10" s="2"/>
      <c r="AF10" s="2"/>
      <c r="AG10" s="2"/>
      <c r="AH10" s="2">
        <v>23166</v>
      </c>
    </row>
    <row r="11" spans="2:34" x14ac:dyDescent="0.25">
      <c r="B11" s="1" t="s">
        <v>9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>
        <v>0</v>
      </c>
      <c r="S11" s="2"/>
      <c r="T11" s="2"/>
      <c r="U11" s="2"/>
      <c r="V11" s="2"/>
      <c r="W11" s="2"/>
      <c r="X11" s="2">
        <v>0</v>
      </c>
      <c r="Y11" s="2"/>
      <c r="Z11" s="2"/>
      <c r="AA11" s="2"/>
      <c r="AB11" s="2"/>
      <c r="AC11" s="2">
        <v>0</v>
      </c>
      <c r="AD11" s="2"/>
      <c r="AE11" s="2"/>
      <c r="AF11" s="2"/>
      <c r="AG11" s="2"/>
      <c r="AH11" s="2">
        <v>0</v>
      </c>
    </row>
    <row r="12" spans="2:34" x14ac:dyDescent="0.25">
      <c r="B12" s="1" t="s">
        <v>18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>
        <v>56500</v>
      </c>
      <c r="S12" s="2"/>
      <c r="T12" s="2"/>
      <c r="U12" s="2"/>
      <c r="V12" s="2"/>
      <c r="W12" s="2"/>
      <c r="X12" s="2">
        <v>42375</v>
      </c>
      <c r="Y12" s="2"/>
      <c r="Z12" s="2"/>
      <c r="AA12" s="2"/>
      <c r="AB12" s="2"/>
      <c r="AC12" s="2">
        <v>33000</v>
      </c>
      <c r="AD12" s="2"/>
      <c r="AE12" s="2"/>
      <c r="AF12" s="2"/>
      <c r="AG12" s="2"/>
      <c r="AH12" s="2">
        <v>29700</v>
      </c>
    </row>
    <row r="13" spans="2:34" x14ac:dyDescent="0.25">
      <c r="B13" s="1" t="s">
        <v>10</v>
      </c>
      <c r="C13" s="4">
        <f t="shared" ref="C13:R13" si="0">+SUM(C5:C11)</f>
        <v>2156774.4631526787</v>
      </c>
      <c r="D13" s="4">
        <f t="shared" si="0"/>
        <v>2158747.290882519</v>
      </c>
      <c r="E13" s="4">
        <f t="shared" si="0"/>
        <v>2366990.4367959723</v>
      </c>
      <c r="F13" s="4">
        <f t="shared" si="0"/>
        <v>2359790.5512716933</v>
      </c>
      <c r="G13" s="4">
        <f t="shared" si="0"/>
        <v>2393719.6424536873</v>
      </c>
      <c r="H13" s="4">
        <f t="shared" si="0"/>
        <v>2319267.3104884606</v>
      </c>
      <c r="I13" s="4">
        <f t="shared" si="0"/>
        <v>2263308.1455005086</v>
      </c>
      <c r="J13" s="4">
        <f t="shared" si="0"/>
        <v>2232524.9413724872</v>
      </c>
      <c r="K13" s="4">
        <f t="shared" si="0"/>
        <v>2408686.7369033387</v>
      </c>
      <c r="L13" s="4">
        <f t="shared" si="0"/>
        <v>2530600.2020776556</v>
      </c>
      <c r="M13" s="4">
        <f t="shared" si="0"/>
        <v>2723992.476043765</v>
      </c>
      <c r="N13" s="4">
        <f t="shared" si="0"/>
        <v>2676464.3671553782</v>
      </c>
      <c r="O13" s="4">
        <f t="shared" si="0"/>
        <v>2619157.8090898315</v>
      </c>
      <c r="P13" s="4">
        <f t="shared" si="0"/>
        <v>2600096.3337750058</v>
      </c>
      <c r="Q13" s="4">
        <f t="shared" si="0"/>
        <v>2468628</v>
      </c>
      <c r="R13" s="4">
        <f t="shared" si="0"/>
        <v>2368466.4400000004</v>
      </c>
      <c r="S13" s="4"/>
      <c r="T13" s="2"/>
      <c r="U13" s="2"/>
      <c r="V13" s="2"/>
      <c r="W13" s="2"/>
      <c r="X13" s="17">
        <f>SUM(X4:X12)</f>
        <v>1394236.3725000001</v>
      </c>
      <c r="Y13" s="2"/>
      <c r="Z13" s="2"/>
      <c r="AA13" s="2"/>
      <c r="AB13" s="2"/>
      <c r="AC13" s="17">
        <f>SUM(AC4:AC12)</f>
        <v>1077480.7400000002</v>
      </c>
      <c r="AD13" s="2"/>
      <c r="AE13" s="2"/>
      <c r="AF13" s="2"/>
      <c r="AG13" s="2"/>
      <c r="AH13" s="17">
        <f>SUM(AH4:AH12)</f>
        <v>709901.10400000005</v>
      </c>
    </row>
    <row r="14" spans="2:34" s="6" customFormat="1" x14ac:dyDescent="0.25">
      <c r="B14" s="5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</row>
    <row r="15" spans="2:34" s="6" customFormat="1" x14ac:dyDescent="0.25">
      <c r="B15" s="8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</row>
    <row r="16" spans="2:34" x14ac:dyDescent="0.25">
      <c r="B16" s="10" t="s">
        <v>15</v>
      </c>
      <c r="C16" s="10">
        <v>1999</v>
      </c>
      <c r="D16" s="10">
        <v>2000</v>
      </c>
      <c r="E16" s="10">
        <v>2001</v>
      </c>
      <c r="F16" s="10">
        <v>2002</v>
      </c>
      <c r="G16" s="10">
        <v>2003</v>
      </c>
      <c r="H16" s="10">
        <v>2004</v>
      </c>
      <c r="I16" s="10">
        <v>2005</v>
      </c>
      <c r="J16" s="10">
        <v>2006</v>
      </c>
      <c r="K16" s="10">
        <v>2007</v>
      </c>
      <c r="L16" s="10">
        <v>2008</v>
      </c>
      <c r="M16" s="10">
        <v>2009</v>
      </c>
      <c r="N16" s="10">
        <v>2010</v>
      </c>
      <c r="O16" s="10">
        <v>2011</v>
      </c>
      <c r="P16" s="10">
        <v>2012</v>
      </c>
      <c r="Q16" s="10">
        <v>2013</v>
      </c>
      <c r="R16" s="10">
        <v>2014</v>
      </c>
      <c r="S16" s="15">
        <v>2015</v>
      </c>
      <c r="T16" s="10">
        <v>2016</v>
      </c>
      <c r="U16" s="10">
        <v>2017</v>
      </c>
      <c r="V16" s="10">
        <v>2018</v>
      </c>
      <c r="W16" s="10">
        <v>2019</v>
      </c>
      <c r="X16" s="15">
        <v>2020</v>
      </c>
      <c r="Y16" s="10">
        <v>2021</v>
      </c>
      <c r="Z16" s="10">
        <v>2022</v>
      </c>
      <c r="AA16" s="10">
        <v>2023</v>
      </c>
      <c r="AB16" s="10">
        <v>2024</v>
      </c>
      <c r="AC16" s="15">
        <v>2025</v>
      </c>
      <c r="AD16" s="10">
        <v>2026</v>
      </c>
      <c r="AE16" s="10">
        <v>2027</v>
      </c>
      <c r="AF16" s="10">
        <v>2028</v>
      </c>
      <c r="AG16" s="10">
        <v>2029</v>
      </c>
      <c r="AH16" s="15">
        <v>2030</v>
      </c>
    </row>
    <row r="17" spans="2:34" x14ac:dyDescent="0.25">
      <c r="B17" s="1" t="s">
        <v>16</v>
      </c>
      <c r="C17" s="2">
        <v>3311</v>
      </c>
      <c r="D17" s="2">
        <v>3602</v>
      </c>
      <c r="E17" s="2">
        <v>3660</v>
      </c>
      <c r="F17" s="2">
        <v>3840</v>
      </c>
      <c r="G17" s="2">
        <v>4479</v>
      </c>
      <c r="H17" s="2">
        <v>4618</v>
      </c>
      <c r="I17" s="2">
        <v>5009</v>
      </c>
      <c r="J17" s="2">
        <v>5027</v>
      </c>
      <c r="K17" s="2">
        <v>4775</v>
      </c>
      <c r="L17" s="2">
        <v>4858</v>
      </c>
      <c r="M17" s="2">
        <v>5077</v>
      </c>
      <c r="N17" s="2">
        <v>5164</v>
      </c>
      <c r="O17" s="2">
        <v>5277</v>
      </c>
      <c r="P17" s="2">
        <v>5245</v>
      </c>
      <c r="Q17" s="2">
        <v>5422</v>
      </c>
      <c r="R17" s="2">
        <v>5741</v>
      </c>
      <c r="S17" s="16"/>
      <c r="T17" s="2"/>
      <c r="U17" s="2"/>
      <c r="V17" s="2"/>
      <c r="W17" s="2"/>
      <c r="X17" s="16"/>
      <c r="Y17" s="2"/>
      <c r="Z17" s="2"/>
      <c r="AA17" s="2"/>
      <c r="AB17" s="2"/>
      <c r="AC17" s="16"/>
      <c r="AD17" s="2"/>
      <c r="AE17" s="2"/>
      <c r="AF17" s="2"/>
      <c r="AG17" s="2"/>
      <c r="AH17" s="16"/>
    </row>
    <row r="18" spans="2:34" x14ac:dyDescent="0.25">
      <c r="B18" s="1" t="s">
        <v>27</v>
      </c>
      <c r="C18" s="2">
        <v>381</v>
      </c>
      <c r="D18" s="2">
        <v>529</v>
      </c>
      <c r="E18" s="2">
        <v>559</v>
      </c>
      <c r="F18" s="2">
        <v>522</v>
      </c>
      <c r="G18" s="2">
        <v>488</v>
      </c>
      <c r="H18" s="2">
        <v>340</v>
      </c>
      <c r="I18" s="2">
        <v>552</v>
      </c>
      <c r="J18" s="2">
        <v>607</v>
      </c>
      <c r="K18" s="2">
        <v>1285</v>
      </c>
      <c r="L18" s="2">
        <v>2399</v>
      </c>
      <c r="M18" s="2">
        <v>1872</v>
      </c>
      <c r="N18" s="2">
        <v>2644</v>
      </c>
      <c r="O18" s="2">
        <v>3164</v>
      </c>
      <c r="P18" s="2">
        <v>3211</v>
      </c>
      <c r="Q18" s="2">
        <v>2834</v>
      </c>
      <c r="R18" s="2">
        <v>2514.645</v>
      </c>
      <c r="S18" s="16"/>
      <c r="T18" s="2"/>
      <c r="U18" s="2"/>
      <c r="V18" s="2"/>
      <c r="W18" s="2"/>
      <c r="X18" s="16"/>
      <c r="Y18" s="2"/>
      <c r="Z18" s="2"/>
      <c r="AA18" s="2"/>
      <c r="AB18" s="2"/>
      <c r="AC18" s="16"/>
      <c r="AD18" s="2"/>
      <c r="AE18" s="2"/>
      <c r="AF18" s="2"/>
      <c r="AG18" s="2"/>
      <c r="AH18" s="16"/>
    </row>
    <row r="19" spans="2:34" x14ac:dyDescent="0.25">
      <c r="B19" s="12" t="s">
        <v>17</v>
      </c>
      <c r="C19" s="4">
        <f t="shared" ref="C19:R19" si="1">SUM(C17:C18)</f>
        <v>3692</v>
      </c>
      <c r="D19" s="4">
        <f t="shared" si="1"/>
        <v>4131</v>
      </c>
      <c r="E19" s="4">
        <f t="shared" si="1"/>
        <v>4219</v>
      </c>
      <c r="F19" s="4">
        <f t="shared" si="1"/>
        <v>4362</v>
      </c>
      <c r="G19" s="4">
        <f t="shared" si="1"/>
        <v>4967</v>
      </c>
      <c r="H19" s="4">
        <f t="shared" si="1"/>
        <v>4958</v>
      </c>
      <c r="I19" s="4">
        <f t="shared" si="1"/>
        <v>5561</v>
      </c>
      <c r="J19" s="4">
        <f t="shared" si="1"/>
        <v>5634</v>
      </c>
      <c r="K19" s="4">
        <f t="shared" si="1"/>
        <v>6060</v>
      </c>
      <c r="L19" s="4">
        <f t="shared" si="1"/>
        <v>7257</v>
      </c>
      <c r="M19" s="4">
        <f t="shared" si="1"/>
        <v>6949</v>
      </c>
      <c r="N19" s="4">
        <f t="shared" si="1"/>
        <v>7808</v>
      </c>
      <c r="O19" s="4">
        <f t="shared" si="1"/>
        <v>8441</v>
      </c>
      <c r="P19" s="4">
        <f t="shared" si="1"/>
        <v>8456</v>
      </c>
      <c r="Q19" s="4">
        <f t="shared" si="1"/>
        <v>8256</v>
      </c>
      <c r="R19" s="4">
        <f t="shared" si="1"/>
        <v>8255.6450000000004</v>
      </c>
      <c r="S19" s="16"/>
      <c r="T19" s="2"/>
      <c r="U19" s="2"/>
      <c r="V19" s="2"/>
      <c r="W19" s="2"/>
      <c r="X19" s="16"/>
      <c r="Y19" s="2"/>
      <c r="Z19" s="2"/>
      <c r="AA19" s="2"/>
      <c r="AB19" s="2"/>
      <c r="AC19" s="16"/>
      <c r="AD19" s="2"/>
      <c r="AE19" s="2"/>
      <c r="AF19" s="2"/>
      <c r="AG19" s="2"/>
      <c r="AH19" s="16"/>
    </row>
    <row r="20" spans="2:34" x14ac:dyDescent="0.25">
      <c r="B20" s="12" t="s">
        <v>28</v>
      </c>
      <c r="C20" s="39">
        <f t="shared" ref="C20:R20" si="2">+C19*1000/C13</f>
        <v>1.7118155203874195</v>
      </c>
      <c r="D20" s="39">
        <f t="shared" si="2"/>
        <v>1.9136098131760495</v>
      </c>
      <c r="E20" s="39">
        <f t="shared" si="2"/>
        <v>1.7824322119826399</v>
      </c>
      <c r="F20" s="39">
        <f t="shared" si="2"/>
        <v>1.8484691353854747</v>
      </c>
      <c r="G20" s="39">
        <f t="shared" si="2"/>
        <v>2.0750132604955218</v>
      </c>
      <c r="H20" s="39">
        <f t="shared" si="2"/>
        <v>2.1377440959816729</v>
      </c>
      <c r="I20" s="39">
        <f t="shared" si="2"/>
        <v>2.4570229250733506</v>
      </c>
      <c r="J20" s="39">
        <f t="shared" si="2"/>
        <v>2.5236000259582281</v>
      </c>
      <c r="K20" s="39">
        <f t="shared" si="2"/>
        <v>2.515893788575791</v>
      </c>
      <c r="L20" s="39">
        <f t="shared" si="2"/>
        <v>2.8676991308393593</v>
      </c>
      <c r="M20" s="39">
        <f t="shared" si="2"/>
        <v>2.5510349463565678</v>
      </c>
      <c r="N20" s="39">
        <f t="shared" si="2"/>
        <v>2.9172815060857928</v>
      </c>
      <c r="O20" s="39">
        <f t="shared" si="2"/>
        <v>3.2227916816258135</v>
      </c>
      <c r="P20" s="39">
        <f t="shared" si="2"/>
        <v>3.2521871940502201</v>
      </c>
      <c r="Q20" s="39">
        <f t="shared" si="2"/>
        <v>3.3443678026822998</v>
      </c>
      <c r="R20" s="39">
        <f t="shared" si="2"/>
        <v>3.4856499803307317</v>
      </c>
      <c r="S20" s="16"/>
      <c r="T20" s="2"/>
      <c r="U20" s="2"/>
      <c r="V20" s="2"/>
      <c r="W20" s="2"/>
      <c r="X20" s="16"/>
      <c r="Y20" s="2"/>
      <c r="Z20" s="2"/>
      <c r="AA20" s="2"/>
      <c r="AB20" s="2"/>
      <c r="AC20" s="16"/>
      <c r="AD20" s="2"/>
      <c r="AE20" s="2"/>
      <c r="AF20" s="2"/>
      <c r="AG20" s="2"/>
      <c r="AH20" s="16"/>
    </row>
    <row r="21" spans="2:34" x14ac:dyDescent="0.25"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</row>
    <row r="43" spans="3:13" ht="15.75" thickBot="1" x14ac:dyDescent="0.3"/>
    <row r="44" spans="3:13" ht="30.75" thickBot="1" x14ac:dyDescent="0.3">
      <c r="C44" s="66" t="s">
        <v>11</v>
      </c>
      <c r="D44" s="67" t="s">
        <v>19</v>
      </c>
      <c r="E44" s="67" t="s">
        <v>20</v>
      </c>
      <c r="F44" s="67" t="s">
        <v>21</v>
      </c>
      <c r="G44" s="68" t="s">
        <v>26</v>
      </c>
      <c r="I44" s="168" t="s">
        <v>11</v>
      </c>
      <c r="J44" s="169" t="s">
        <v>19</v>
      </c>
      <c r="K44" s="170" t="s">
        <v>29</v>
      </c>
      <c r="L44" s="170" t="s">
        <v>30</v>
      </c>
      <c r="M44" s="171" t="s">
        <v>31</v>
      </c>
    </row>
    <row r="45" spans="3:13" ht="15.75" thickBot="1" x14ac:dyDescent="0.3">
      <c r="C45" s="47">
        <v>1999</v>
      </c>
      <c r="D45" s="48">
        <v>1.7118155203874195</v>
      </c>
      <c r="E45" s="49">
        <v>2191759</v>
      </c>
      <c r="F45" s="49">
        <f>+E45*D45</f>
        <v>3751887.0731488103</v>
      </c>
      <c r="G45" s="50">
        <v>3311000</v>
      </c>
      <c r="I45" s="74">
        <v>2014</v>
      </c>
      <c r="J45" s="76">
        <v>3.4044368053192517</v>
      </c>
      <c r="K45" s="132">
        <v>2368466.4400000004</v>
      </c>
      <c r="L45" s="77">
        <v>8063294.320499463</v>
      </c>
      <c r="M45" s="124">
        <v>5741000</v>
      </c>
    </row>
    <row r="46" spans="3:13" x14ac:dyDescent="0.25">
      <c r="C46" s="51">
        <v>2000</v>
      </c>
      <c r="D46" s="52">
        <v>1.9136098131760495</v>
      </c>
      <c r="E46" s="53">
        <v>2193763</v>
      </c>
      <c r="F46" s="53">
        <f t="shared" ref="F46:F76" si="3">+E46*D46</f>
        <v>4198006.4045825303</v>
      </c>
      <c r="G46" s="54">
        <v>3602000</v>
      </c>
      <c r="I46" s="59">
        <v>2020</v>
      </c>
      <c r="J46" s="72">
        <f t="shared" ref="J46:J48" si="4">0.1191*I46-236.51</f>
        <v>4.0720000000000027</v>
      </c>
      <c r="K46" s="129">
        <v>1394236.3725000001</v>
      </c>
      <c r="L46" s="60">
        <f t="shared" ref="L46:L48" si="5">+K46*J46</f>
        <v>5677330.5088200038</v>
      </c>
      <c r="M46" s="125">
        <v>5850870</v>
      </c>
    </row>
    <row r="47" spans="3:13" x14ac:dyDescent="0.25">
      <c r="C47" s="51">
        <v>2001</v>
      </c>
      <c r="D47" s="52">
        <v>1.7824322119826399</v>
      </c>
      <c r="E47" s="53">
        <v>2405192</v>
      </c>
      <c r="F47" s="53">
        <f t="shared" si="3"/>
        <v>4287091.6968029495</v>
      </c>
      <c r="G47" s="54">
        <v>3660000</v>
      </c>
      <c r="I47" s="41">
        <v>2025</v>
      </c>
      <c r="J47" s="45">
        <f t="shared" si="4"/>
        <v>4.6675000000000182</v>
      </c>
      <c r="K47" s="130">
        <v>1077480.7400000002</v>
      </c>
      <c r="L47" s="42">
        <f t="shared" si="5"/>
        <v>5029141.3539500209</v>
      </c>
      <c r="M47" s="126">
        <v>5850870</v>
      </c>
    </row>
    <row r="48" spans="3:13" ht="15.75" thickBot="1" x14ac:dyDescent="0.3">
      <c r="C48" s="51">
        <v>2002</v>
      </c>
      <c r="D48" s="52">
        <v>1.8484691353854747</v>
      </c>
      <c r="E48" s="53">
        <v>2397883</v>
      </c>
      <c r="F48" s="53">
        <f t="shared" si="3"/>
        <v>4432412.7157655284</v>
      </c>
      <c r="G48" s="54">
        <v>3840000</v>
      </c>
      <c r="I48" s="43">
        <v>2030</v>
      </c>
      <c r="J48" s="70">
        <f t="shared" si="4"/>
        <v>5.2630000000000052</v>
      </c>
      <c r="K48" s="131">
        <v>709901.10400000005</v>
      </c>
      <c r="L48" s="44">
        <f t="shared" si="5"/>
        <v>3736209.5103520039</v>
      </c>
      <c r="M48" s="127">
        <v>5850870</v>
      </c>
    </row>
    <row r="49" spans="3:13" x14ac:dyDescent="0.25">
      <c r="C49" s="51">
        <v>2003</v>
      </c>
      <c r="D49" s="52">
        <v>2.0750132604955218</v>
      </c>
      <c r="E49" s="53">
        <v>2432332</v>
      </c>
      <c r="F49" s="53">
        <f t="shared" si="3"/>
        <v>5047121.1539275935</v>
      </c>
      <c r="G49" s="54">
        <v>4479000</v>
      </c>
    </row>
    <row r="50" spans="3:13" ht="15.75" thickBot="1" x14ac:dyDescent="0.3">
      <c r="C50" s="51">
        <v>2004</v>
      </c>
      <c r="D50" s="52">
        <v>2.1377440959816729</v>
      </c>
      <c r="E50" s="53">
        <v>2356742</v>
      </c>
      <c r="F50" s="53">
        <f t="shared" si="3"/>
        <v>5038111.2962520402</v>
      </c>
      <c r="G50" s="54">
        <v>4618000</v>
      </c>
    </row>
    <row r="51" spans="3:13" ht="30.75" thickBot="1" x14ac:dyDescent="0.3">
      <c r="C51" s="51">
        <v>2005</v>
      </c>
      <c r="D51" s="52">
        <v>2.4570229250733506</v>
      </c>
      <c r="E51" s="53">
        <v>2299928</v>
      </c>
      <c r="F51" s="53">
        <f t="shared" si="3"/>
        <v>5650975.8220181009</v>
      </c>
      <c r="G51" s="54">
        <v>5009000</v>
      </c>
      <c r="I51" s="156" t="s">
        <v>11</v>
      </c>
      <c r="J51" s="157" t="s">
        <v>19</v>
      </c>
      <c r="K51" s="158" t="s">
        <v>29</v>
      </c>
      <c r="L51" s="158" t="s">
        <v>30</v>
      </c>
      <c r="M51" s="159" t="s">
        <v>31</v>
      </c>
    </row>
    <row r="52" spans="3:13" ht="15.75" thickBot="1" x14ac:dyDescent="0.3">
      <c r="C52" s="51">
        <v>2006</v>
      </c>
      <c r="D52" s="52">
        <v>2.5236000259582281</v>
      </c>
      <c r="E52" s="53">
        <v>2268675</v>
      </c>
      <c r="F52" s="53">
        <f t="shared" si="3"/>
        <v>5725228.2888907827</v>
      </c>
      <c r="G52" s="54">
        <v>5027000</v>
      </c>
      <c r="I52" s="74">
        <v>2014</v>
      </c>
      <c r="J52" s="76">
        <v>3.4044368053192517</v>
      </c>
      <c r="K52" s="160">
        <v>2368466.4400000004</v>
      </c>
      <c r="L52" s="77">
        <v>8063294.320499463</v>
      </c>
      <c r="M52" s="124">
        <v>5741000</v>
      </c>
    </row>
    <row r="53" spans="3:13" x14ac:dyDescent="0.25">
      <c r="C53" s="51">
        <v>2007</v>
      </c>
      <c r="D53" s="52">
        <v>2.515893788575791</v>
      </c>
      <c r="E53" s="53">
        <v>2447532</v>
      </c>
      <c r="F53" s="53">
        <f t="shared" si="3"/>
        <v>6157730.5561404834</v>
      </c>
      <c r="G53" s="54">
        <v>4775000</v>
      </c>
      <c r="I53" s="59">
        <v>2020</v>
      </c>
      <c r="J53" s="72">
        <f>D66</f>
        <v>4.2700000000000102</v>
      </c>
      <c r="K53" s="161">
        <f>E66</f>
        <v>1731576.0000000002</v>
      </c>
      <c r="L53" s="60">
        <f>F66</f>
        <v>7393829.5200000191</v>
      </c>
      <c r="M53" s="125">
        <f>G66</f>
        <v>5869720</v>
      </c>
    </row>
    <row r="54" spans="3:13" x14ac:dyDescent="0.25">
      <c r="C54" s="51">
        <v>2008</v>
      </c>
      <c r="D54" s="52">
        <v>2.8676991308393593</v>
      </c>
      <c r="E54" s="53">
        <v>2571311</v>
      </c>
      <c r="F54" s="53">
        <f t="shared" si="3"/>
        <v>7373746.3198176837</v>
      </c>
      <c r="G54" s="54">
        <v>4858000</v>
      </c>
      <c r="I54" s="41">
        <v>2025</v>
      </c>
      <c r="J54" s="45">
        <f>D71</f>
        <v>4.8799999999999955</v>
      </c>
      <c r="K54" s="162">
        <f>E71</f>
        <v>1066542.4000000001</v>
      </c>
      <c r="L54" s="42">
        <f>F71</f>
        <v>5204726.9119999958</v>
      </c>
      <c r="M54" s="126">
        <f>G71</f>
        <v>5869720</v>
      </c>
    </row>
    <row r="55" spans="3:13" ht="15.75" thickBot="1" x14ac:dyDescent="0.3">
      <c r="C55" s="51">
        <v>2009</v>
      </c>
      <c r="D55" s="52">
        <v>2.5510349463565678</v>
      </c>
      <c r="E55" s="53">
        <v>2767662</v>
      </c>
      <c r="F55" s="53">
        <f t="shared" si="3"/>
        <v>7060402.481703111</v>
      </c>
      <c r="G55" s="54">
        <v>5077000</v>
      </c>
      <c r="I55" s="43">
        <v>2030</v>
      </c>
      <c r="J55" s="70">
        <f>D76</f>
        <v>5.4900000000000091</v>
      </c>
      <c r="K55" s="163">
        <f>E76</f>
        <v>804654.4</v>
      </c>
      <c r="L55" s="44">
        <f>F76</f>
        <v>4417552.6560000079</v>
      </c>
      <c r="M55" s="127">
        <f>G76</f>
        <v>5869720</v>
      </c>
    </row>
    <row r="56" spans="3:13" x14ac:dyDescent="0.25">
      <c r="C56" s="51">
        <v>2010</v>
      </c>
      <c r="D56" s="52">
        <v>2.9172815060857928</v>
      </c>
      <c r="E56" s="53">
        <v>2719408</v>
      </c>
      <c r="F56" s="53">
        <f t="shared" si="3"/>
        <v>7933278.6659017541</v>
      </c>
      <c r="G56" s="54">
        <v>5164000</v>
      </c>
    </row>
    <row r="57" spans="3:13" x14ac:dyDescent="0.25">
      <c r="C57" s="51">
        <v>2011</v>
      </c>
      <c r="D57" s="52">
        <v>3.2227916816258135</v>
      </c>
      <c r="E57" s="53">
        <v>2661226</v>
      </c>
      <c r="F57" s="53">
        <f t="shared" si="3"/>
        <v>8576577.0157263372</v>
      </c>
      <c r="G57" s="54">
        <v>5277000</v>
      </c>
    </row>
    <row r="58" spans="3:13" x14ac:dyDescent="0.25">
      <c r="C58" s="51">
        <v>2012</v>
      </c>
      <c r="D58" s="52">
        <v>3.2521871940502201</v>
      </c>
      <c r="E58" s="53">
        <v>2641874</v>
      </c>
      <c r="F58" s="53">
        <f t="shared" si="3"/>
        <v>8591868.7910942305</v>
      </c>
      <c r="G58" s="54">
        <v>5245000</v>
      </c>
      <c r="H58"/>
    </row>
    <row r="59" spans="3:13" x14ac:dyDescent="0.25">
      <c r="C59" s="51">
        <v>2013</v>
      </c>
      <c r="D59" s="52">
        <v>3.3443678026822998</v>
      </c>
      <c r="E59" s="53">
        <v>2508396</v>
      </c>
      <c r="F59" s="53">
        <f t="shared" si="3"/>
        <v>8388998.8187770694</v>
      </c>
      <c r="G59" s="54">
        <v>5422000</v>
      </c>
    </row>
    <row r="60" spans="3:13" ht="15.75" thickBot="1" x14ac:dyDescent="0.3">
      <c r="C60" s="55">
        <v>2014</v>
      </c>
      <c r="D60" s="56">
        <v>3.4044368053192517</v>
      </c>
      <c r="E60" s="57">
        <v>2368466.4400000004</v>
      </c>
      <c r="F60" s="79">
        <f t="shared" si="3"/>
        <v>8063294.320499463</v>
      </c>
      <c r="G60" s="58">
        <v>5741000</v>
      </c>
    </row>
    <row r="61" spans="3:13" x14ac:dyDescent="0.25">
      <c r="C61" s="81">
        <v>2015</v>
      </c>
      <c r="D61" s="80">
        <f t="shared" ref="D61:D76" si="6">0.122*C61 - 242.17</f>
        <v>3.6599999999999966</v>
      </c>
      <c r="E61" s="64">
        <f t="shared" ref="E61:E76" si="7">(-1.10182183892221*C61^5+11117.6221884797*C61^4-44871038.4173958*C61^3+90549072863.1658*C61^2-91361993395092.5*C61+36872346508759500)*(1+$D$1)</f>
        <v>2498584</v>
      </c>
      <c r="F61" s="64">
        <f t="shared" si="3"/>
        <v>9144817.439999992</v>
      </c>
      <c r="G61" s="83">
        <f t="shared" ref="G61:G62" si="8" xml:space="preserve"> (121.42*C61 - 238913)*1000</f>
        <v>5748300.0000000177</v>
      </c>
    </row>
    <row r="62" spans="3:13" x14ac:dyDescent="0.25">
      <c r="C62" s="82">
        <v>2016</v>
      </c>
      <c r="D62" s="80">
        <f t="shared" si="6"/>
        <v>3.7820000000000107</v>
      </c>
      <c r="E62" s="65">
        <f t="shared" si="7"/>
        <v>2361022.4000000004</v>
      </c>
      <c r="F62" s="65">
        <f t="shared" si="3"/>
        <v>8929386.7168000266</v>
      </c>
      <c r="G62" s="84">
        <f t="shared" si="8"/>
        <v>5869720.0000000009</v>
      </c>
    </row>
    <row r="63" spans="3:13" x14ac:dyDescent="0.25">
      <c r="C63" s="82">
        <v>2017</v>
      </c>
      <c r="D63" s="80">
        <f t="shared" si="6"/>
        <v>3.9039999999999964</v>
      </c>
      <c r="E63" s="65">
        <f t="shared" si="7"/>
        <v>2211492.8000000003</v>
      </c>
      <c r="F63" s="65">
        <f t="shared" si="3"/>
        <v>8633667.891199993</v>
      </c>
      <c r="G63" s="62">
        <v>5869720</v>
      </c>
      <c r="H63" s="3" t="s">
        <v>25</v>
      </c>
    </row>
    <row r="64" spans="3:13" x14ac:dyDescent="0.25">
      <c r="C64" s="82">
        <v>2018</v>
      </c>
      <c r="D64" s="80">
        <f t="shared" si="6"/>
        <v>4.0260000000000105</v>
      </c>
      <c r="E64" s="65">
        <f t="shared" si="7"/>
        <v>2053832.0000000002</v>
      </c>
      <c r="F64" s="65">
        <f t="shared" si="3"/>
        <v>8268727.6320000226</v>
      </c>
      <c r="G64" s="62">
        <v>5869720</v>
      </c>
    </row>
    <row r="65" spans="3:22" x14ac:dyDescent="0.25">
      <c r="C65" s="82">
        <v>2019</v>
      </c>
      <c r="D65" s="80">
        <f t="shared" si="6"/>
        <v>4.1479999999999961</v>
      </c>
      <c r="E65" s="65">
        <f t="shared" si="7"/>
        <v>1892404.8</v>
      </c>
      <c r="F65" s="65">
        <f t="shared" si="3"/>
        <v>7849695.1103999931</v>
      </c>
      <c r="G65" s="62">
        <v>5869720</v>
      </c>
    </row>
    <row r="66" spans="3:22" x14ac:dyDescent="0.25">
      <c r="C66" s="85">
        <v>2020</v>
      </c>
      <c r="D66" s="86">
        <f t="shared" si="6"/>
        <v>4.2700000000000102</v>
      </c>
      <c r="E66" s="87">
        <f t="shared" si="7"/>
        <v>1731576.0000000002</v>
      </c>
      <c r="F66" s="87">
        <f t="shared" si="3"/>
        <v>7393829.5200000191</v>
      </c>
      <c r="G66" s="62">
        <v>5869720</v>
      </c>
    </row>
    <row r="67" spans="3:22" x14ac:dyDescent="0.25">
      <c r="C67" s="82">
        <v>2021</v>
      </c>
      <c r="D67" s="80">
        <f t="shared" si="6"/>
        <v>4.3919999999999959</v>
      </c>
      <c r="E67" s="65">
        <f t="shared" si="7"/>
        <v>1575252.8</v>
      </c>
      <c r="F67" s="65">
        <f t="shared" si="3"/>
        <v>6918510.2975999936</v>
      </c>
      <c r="G67" s="62">
        <v>5869720</v>
      </c>
    </row>
    <row r="68" spans="3:22" x14ac:dyDescent="0.25">
      <c r="C68" s="101">
        <v>2022</v>
      </c>
      <c r="D68" s="102">
        <f t="shared" si="6"/>
        <v>4.51400000000001</v>
      </c>
      <c r="E68" s="92">
        <f t="shared" si="7"/>
        <v>1427518.4000000001</v>
      </c>
      <c r="F68" s="92">
        <f t="shared" si="3"/>
        <v>6443818.0576000148</v>
      </c>
      <c r="G68" s="91">
        <v>5869720</v>
      </c>
    </row>
    <row r="69" spans="3:22" x14ac:dyDescent="0.25">
      <c r="C69" s="98">
        <v>2023</v>
      </c>
      <c r="D69" s="99">
        <f t="shared" si="6"/>
        <v>4.6359999999999957</v>
      </c>
      <c r="E69" s="95">
        <f t="shared" si="7"/>
        <v>1291716.8</v>
      </c>
      <c r="F69" s="95">
        <f t="shared" si="3"/>
        <v>5988399.0847999947</v>
      </c>
      <c r="G69" s="94">
        <v>5869720</v>
      </c>
    </row>
    <row r="70" spans="3:22" x14ac:dyDescent="0.25">
      <c r="C70" s="98">
        <v>2024</v>
      </c>
      <c r="D70" s="99">
        <f t="shared" si="6"/>
        <v>4.7580000000000098</v>
      </c>
      <c r="E70" s="95">
        <f t="shared" si="7"/>
        <v>1170664</v>
      </c>
      <c r="F70" s="95">
        <f t="shared" si="3"/>
        <v>5570019.3120000111</v>
      </c>
      <c r="G70" s="94">
        <v>5869720</v>
      </c>
    </row>
    <row r="71" spans="3:22" x14ac:dyDescent="0.25">
      <c r="C71" s="85">
        <v>2025</v>
      </c>
      <c r="D71" s="86">
        <f t="shared" si="6"/>
        <v>4.8799999999999955</v>
      </c>
      <c r="E71" s="87">
        <f t="shared" si="7"/>
        <v>1066542.4000000001</v>
      </c>
      <c r="F71" s="87">
        <f t="shared" si="3"/>
        <v>5204726.9119999958</v>
      </c>
      <c r="G71" s="62">
        <v>5869720</v>
      </c>
    </row>
    <row r="72" spans="3:22" x14ac:dyDescent="0.25">
      <c r="C72" s="82">
        <v>2026</v>
      </c>
      <c r="D72" s="80">
        <f t="shared" si="6"/>
        <v>5.0020000000000095</v>
      </c>
      <c r="E72" s="65">
        <f t="shared" si="7"/>
        <v>980513.60000000009</v>
      </c>
      <c r="F72" s="65">
        <f t="shared" si="3"/>
        <v>4904529.0272000097</v>
      </c>
      <c r="G72" s="62">
        <v>5869720</v>
      </c>
    </row>
    <row r="73" spans="3:22" x14ac:dyDescent="0.25">
      <c r="C73" s="82">
        <v>2027</v>
      </c>
      <c r="D73" s="80">
        <f t="shared" si="6"/>
        <v>5.1239999999999952</v>
      </c>
      <c r="E73" s="65">
        <f t="shared" si="7"/>
        <v>912929.60000000009</v>
      </c>
      <c r="F73" s="65">
        <f t="shared" si="3"/>
        <v>4677851.2703999961</v>
      </c>
      <c r="G73" s="62">
        <v>5869720</v>
      </c>
    </row>
    <row r="74" spans="3:22" x14ac:dyDescent="0.25">
      <c r="C74" s="82">
        <v>2028</v>
      </c>
      <c r="D74" s="80">
        <f t="shared" si="6"/>
        <v>5.2460000000000093</v>
      </c>
      <c r="E74" s="65">
        <f t="shared" si="7"/>
        <v>862804.8</v>
      </c>
      <c r="F74" s="65">
        <f t="shared" si="3"/>
        <v>4526273.9808000084</v>
      </c>
      <c r="G74" s="62">
        <v>5869720</v>
      </c>
    </row>
    <row r="75" spans="3:22" x14ac:dyDescent="0.25">
      <c r="C75" s="82">
        <v>2029</v>
      </c>
      <c r="D75" s="80">
        <f t="shared" si="6"/>
        <v>5.367999999999995</v>
      </c>
      <c r="E75" s="65">
        <f t="shared" si="7"/>
        <v>827886.4</v>
      </c>
      <c r="F75" s="65">
        <f t="shared" si="3"/>
        <v>4444094.1951999962</v>
      </c>
      <c r="G75" s="62">
        <v>5869720</v>
      </c>
    </row>
    <row r="76" spans="3:22" ht="15.75" thickBot="1" x14ac:dyDescent="0.3">
      <c r="C76" s="88">
        <v>2030</v>
      </c>
      <c r="D76" s="89">
        <f t="shared" si="6"/>
        <v>5.4900000000000091</v>
      </c>
      <c r="E76" s="90">
        <f t="shared" si="7"/>
        <v>804654.4</v>
      </c>
      <c r="F76" s="90">
        <f t="shared" si="3"/>
        <v>4417552.6560000079</v>
      </c>
      <c r="G76" s="63">
        <v>5869720</v>
      </c>
    </row>
    <row r="77" spans="3:22" x14ac:dyDescent="0.25">
      <c r="E77" s="22"/>
    </row>
    <row r="80" spans="3:22" x14ac:dyDescent="0.25">
      <c r="C80" s="1" t="s">
        <v>11</v>
      </c>
      <c r="D80" s="1">
        <v>1999</v>
      </c>
      <c r="E80" s="1">
        <v>2000</v>
      </c>
      <c r="F80" s="1">
        <v>2001</v>
      </c>
      <c r="G80" s="1">
        <v>2002</v>
      </c>
      <c r="H80" s="1">
        <v>2003</v>
      </c>
      <c r="I80" s="1">
        <v>2004</v>
      </c>
      <c r="J80" s="1">
        <v>2005</v>
      </c>
      <c r="K80" s="1">
        <v>2006</v>
      </c>
      <c r="L80" s="1">
        <v>2007</v>
      </c>
      <c r="M80" s="1">
        <v>2008</v>
      </c>
      <c r="N80" s="1">
        <v>2009</v>
      </c>
      <c r="O80" s="1">
        <v>2010</v>
      </c>
      <c r="P80" s="1">
        <v>2011</v>
      </c>
      <c r="Q80" s="1">
        <v>2012</v>
      </c>
      <c r="R80" s="1">
        <v>2013</v>
      </c>
      <c r="S80" s="1">
        <v>2014</v>
      </c>
      <c r="T80" s="1">
        <v>2020</v>
      </c>
      <c r="U80" s="1">
        <v>2025</v>
      </c>
      <c r="V80" s="1">
        <v>2030</v>
      </c>
    </row>
    <row r="81" spans="3:22" x14ac:dyDescent="0.25">
      <c r="C81" s="1" t="s">
        <v>20</v>
      </c>
      <c r="D81" s="40">
        <v>2191759</v>
      </c>
      <c r="E81" s="40">
        <v>2193763</v>
      </c>
      <c r="F81" s="40">
        <v>2405192</v>
      </c>
      <c r="G81" s="40">
        <v>2397883</v>
      </c>
      <c r="H81" s="40">
        <v>2432332</v>
      </c>
      <c r="I81" s="40">
        <v>2356742</v>
      </c>
      <c r="J81" s="40">
        <v>2299928</v>
      </c>
      <c r="K81" s="40">
        <v>2268675</v>
      </c>
      <c r="L81" s="40">
        <v>2447532</v>
      </c>
      <c r="M81" s="40">
        <v>2571311</v>
      </c>
      <c r="N81" s="40">
        <v>2767662</v>
      </c>
      <c r="O81" s="40">
        <v>2719408</v>
      </c>
      <c r="P81" s="40">
        <v>2661226</v>
      </c>
      <c r="Q81" s="40">
        <v>2641874</v>
      </c>
      <c r="R81" s="40">
        <v>2508396</v>
      </c>
      <c r="S81" s="40">
        <v>2368466.4400000004</v>
      </c>
      <c r="T81" s="24">
        <v>1394236.3725000001</v>
      </c>
      <c r="U81" s="24">
        <v>1077480.7400000002</v>
      </c>
      <c r="V81" s="24">
        <v>709901.10400000005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H81"/>
  <sheetViews>
    <sheetView topLeftCell="H19" zoomScale="70" zoomScaleNormal="70" workbookViewId="0">
      <selection activeCell="I51" sqref="I51:M55"/>
    </sheetView>
  </sheetViews>
  <sheetFormatPr baseColWidth="10" defaultRowHeight="15" x14ac:dyDescent="0.25"/>
  <cols>
    <col min="1" max="1" width="11.42578125" style="3"/>
    <col min="2" max="2" width="36.85546875" style="3" bestFit="1" customWidth="1"/>
    <col min="3" max="3" width="14.85546875" style="3" customWidth="1"/>
    <col min="4" max="4" width="15.7109375" style="3" customWidth="1"/>
    <col min="5" max="5" width="16.42578125" style="3" customWidth="1"/>
    <col min="6" max="6" width="20" style="3" bestFit="1" customWidth="1"/>
    <col min="7" max="7" width="15.85546875" style="3" customWidth="1"/>
    <col min="8" max="8" width="17.140625" style="3" customWidth="1"/>
    <col min="9" max="9" width="15.85546875" style="3" customWidth="1"/>
    <col min="10" max="13" width="15.85546875" style="3" bestFit="1" customWidth="1"/>
    <col min="14" max="15" width="15.42578125" style="3" bestFit="1" customWidth="1"/>
    <col min="16" max="18" width="15.85546875" style="3" bestFit="1" customWidth="1"/>
    <col min="19" max="19" width="14.5703125" style="3" bestFit="1" customWidth="1"/>
    <col min="20" max="23" width="11.5703125" style="3" bestFit="1" customWidth="1"/>
    <col min="24" max="24" width="15.42578125" style="3" customWidth="1"/>
    <col min="25" max="28" width="11.5703125" style="3" bestFit="1" customWidth="1"/>
    <col min="29" max="29" width="15" style="3" bestFit="1" customWidth="1"/>
    <col min="30" max="33" width="11.5703125" style="3" bestFit="1" customWidth="1"/>
    <col min="34" max="34" width="13.140625" style="3" bestFit="1" customWidth="1"/>
    <col min="35" max="16384" width="11.42578125" style="3"/>
  </cols>
  <sheetData>
    <row r="1" spans="2:34" x14ac:dyDescent="0.25">
      <c r="B1" s="3" t="s">
        <v>34</v>
      </c>
      <c r="D1" s="100">
        <v>0.2</v>
      </c>
    </row>
    <row r="3" spans="2:34" x14ac:dyDescent="0.25">
      <c r="B3" s="10" t="s">
        <v>0</v>
      </c>
      <c r="C3" s="10">
        <v>1999</v>
      </c>
      <c r="D3" s="10">
        <v>2000</v>
      </c>
      <c r="E3" s="10">
        <v>2001</v>
      </c>
      <c r="F3" s="10">
        <v>2002</v>
      </c>
      <c r="G3" s="10">
        <v>2003</v>
      </c>
      <c r="H3" s="10">
        <v>2004</v>
      </c>
      <c r="I3" s="10">
        <v>2005</v>
      </c>
      <c r="J3" s="10">
        <v>2006</v>
      </c>
      <c r="K3" s="10">
        <v>2007</v>
      </c>
      <c r="L3" s="10">
        <v>2008</v>
      </c>
      <c r="M3" s="10">
        <v>2009</v>
      </c>
      <c r="N3" s="10">
        <v>2010</v>
      </c>
      <c r="O3" s="10">
        <v>2011</v>
      </c>
      <c r="P3" s="10">
        <v>2012</v>
      </c>
      <c r="Q3" s="10">
        <v>2013</v>
      </c>
      <c r="R3" s="10">
        <v>2014</v>
      </c>
      <c r="S3" s="10">
        <v>2015</v>
      </c>
      <c r="T3" s="10">
        <v>2016</v>
      </c>
      <c r="U3" s="10">
        <v>2017</v>
      </c>
      <c r="V3" s="10">
        <v>2018</v>
      </c>
      <c r="W3" s="10">
        <v>2019</v>
      </c>
      <c r="X3" s="10">
        <v>2020</v>
      </c>
      <c r="Y3" s="10">
        <v>2021</v>
      </c>
      <c r="Z3" s="10">
        <v>2022</v>
      </c>
      <c r="AA3" s="10">
        <v>2023</v>
      </c>
      <c r="AB3" s="10">
        <v>2024</v>
      </c>
      <c r="AC3" s="10">
        <v>2025</v>
      </c>
      <c r="AD3" s="10">
        <v>2026</v>
      </c>
      <c r="AE3" s="10">
        <v>2027</v>
      </c>
      <c r="AF3" s="10">
        <v>2028</v>
      </c>
      <c r="AG3" s="10">
        <v>2029</v>
      </c>
      <c r="AH3" s="10">
        <v>2030</v>
      </c>
    </row>
    <row r="4" spans="2:34" x14ac:dyDescent="0.25">
      <c r="B4" s="1" t="s">
        <v>1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>
        <v>0</v>
      </c>
      <c r="AD4" s="1"/>
      <c r="AE4" s="1"/>
      <c r="AF4" s="1"/>
      <c r="AG4" s="1"/>
      <c r="AH4" s="1">
        <v>0</v>
      </c>
    </row>
    <row r="5" spans="2:34" x14ac:dyDescent="0.25">
      <c r="B5" s="1" t="s">
        <v>3</v>
      </c>
      <c r="C5" s="2">
        <v>150866.78554714104</v>
      </c>
      <c r="D5" s="2">
        <v>151004.78522356719</v>
      </c>
      <c r="E5" s="2">
        <v>165571.43304554812</v>
      </c>
      <c r="F5" s="2">
        <v>165067.79967826148</v>
      </c>
      <c r="G5" s="2">
        <v>167441.14608541472</v>
      </c>
      <c r="H5" s="2">
        <v>162233.19124730738</v>
      </c>
      <c r="I5" s="2">
        <v>158318.83697064655</v>
      </c>
      <c r="J5" s="2">
        <v>156165.54596364562</v>
      </c>
      <c r="K5" s="2">
        <v>168488.0972002284</v>
      </c>
      <c r="L5" s="2">
        <v>177015.96736931268</v>
      </c>
      <c r="M5" s="2">
        <v>190543.79386270975</v>
      </c>
      <c r="N5" s="2">
        <v>187219.19357017663</v>
      </c>
      <c r="O5" s="2">
        <v>183210.58889044492</v>
      </c>
      <c r="P5" s="2">
        <v>181877.23505226456</v>
      </c>
      <c r="Q5" s="2">
        <v>172681</v>
      </c>
      <c r="R5" s="2">
        <v>179670</v>
      </c>
      <c r="S5" s="2"/>
      <c r="T5" s="2"/>
      <c r="U5" s="2"/>
      <c r="V5" s="2"/>
      <c r="W5" s="2"/>
      <c r="X5" s="2">
        <v>84467.5</v>
      </c>
      <c r="Y5" s="2"/>
      <c r="Z5" s="2"/>
      <c r="AA5" s="2"/>
      <c r="AB5" s="2"/>
      <c r="AC5" s="2">
        <v>67094</v>
      </c>
      <c r="AD5" s="2"/>
      <c r="AE5" s="2"/>
      <c r="AF5" s="2"/>
      <c r="AG5" s="2"/>
      <c r="AH5" s="2">
        <v>15840</v>
      </c>
    </row>
    <row r="6" spans="2:34" x14ac:dyDescent="0.25">
      <c r="B6" s="1" t="s">
        <v>4</v>
      </c>
      <c r="C6" s="2">
        <v>1799596.7084041026</v>
      </c>
      <c r="D6" s="2">
        <v>1801242.8213146194</v>
      </c>
      <c r="E6" s="2">
        <v>1974999.3667188932</v>
      </c>
      <c r="F6" s="2">
        <v>1968991.8353280404</v>
      </c>
      <c r="G6" s="2">
        <v>1997302.0188235396</v>
      </c>
      <c r="H6" s="2">
        <v>1935179.5420292907</v>
      </c>
      <c r="I6" s="2">
        <v>1888487.6273957333</v>
      </c>
      <c r="J6" s="2">
        <v>1862802.3488608883</v>
      </c>
      <c r="K6" s="2">
        <v>2009790.4520677805</v>
      </c>
      <c r="L6" s="2">
        <v>2111514.1484421971</v>
      </c>
      <c r="M6" s="2">
        <v>2272879.2358011524</v>
      </c>
      <c r="N6" s="2">
        <v>2233222.1322080465</v>
      </c>
      <c r="O6" s="2">
        <v>2185405.9627259681</v>
      </c>
      <c r="P6" s="2">
        <v>2169501.208279022</v>
      </c>
      <c r="Q6" s="2">
        <v>2059805</v>
      </c>
      <c r="R6" s="2">
        <v>1954483.03</v>
      </c>
      <c r="S6" s="2"/>
      <c r="T6" s="2"/>
      <c r="U6" s="2"/>
      <c r="V6" s="2"/>
      <c r="W6" s="2"/>
      <c r="X6" s="2">
        <v>1167933.8149999999</v>
      </c>
      <c r="Y6" s="2"/>
      <c r="Z6" s="2"/>
      <c r="AA6" s="2"/>
      <c r="AB6" s="2"/>
      <c r="AC6" s="2">
        <v>893331.12000000011</v>
      </c>
      <c r="AD6" s="2"/>
      <c r="AE6" s="2"/>
      <c r="AF6" s="2"/>
      <c r="AG6" s="2"/>
      <c r="AH6" s="2">
        <v>593939.10400000005</v>
      </c>
    </row>
    <row r="7" spans="2:34" x14ac:dyDescent="0.25">
      <c r="B7" s="1" t="s">
        <v>5</v>
      </c>
      <c r="C7" s="2">
        <v>167927.00480333614</v>
      </c>
      <c r="D7" s="2">
        <v>168080.60966899313</v>
      </c>
      <c r="E7" s="2">
        <v>184294.47364109955</v>
      </c>
      <c r="F7" s="2">
        <v>183733.88873448313</v>
      </c>
      <c r="G7" s="2">
        <v>186375.61634913739</v>
      </c>
      <c r="H7" s="2">
        <v>180578.73896527386</v>
      </c>
      <c r="I7" s="2">
        <v>176221.74423621609</v>
      </c>
      <c r="J7" s="2">
        <v>173824.95618267439</v>
      </c>
      <c r="K7" s="2">
        <v>187540.95810576438</v>
      </c>
      <c r="L7" s="2">
        <v>197033.17131659447</v>
      </c>
      <c r="M7" s="2">
        <v>212090.74264547759</v>
      </c>
      <c r="N7" s="2">
        <v>208390.19207519363</v>
      </c>
      <c r="O7" s="2">
        <v>203928.28898057481</v>
      </c>
      <c r="P7" s="2">
        <v>202444.1576949732</v>
      </c>
      <c r="Q7" s="2">
        <v>192208</v>
      </c>
      <c r="R7" s="2">
        <v>177813.41</v>
      </c>
      <c r="S7" s="2"/>
      <c r="T7" s="2"/>
      <c r="U7" s="2"/>
      <c r="V7" s="2"/>
      <c r="W7" s="2"/>
      <c r="X7" s="2">
        <v>57085.057500000003</v>
      </c>
      <c r="Y7" s="2"/>
      <c r="Z7" s="2"/>
      <c r="AA7" s="2"/>
      <c r="AB7" s="2"/>
      <c r="AC7" s="2">
        <v>51055.62</v>
      </c>
      <c r="AD7" s="2"/>
      <c r="AE7" s="2"/>
      <c r="AF7" s="2"/>
      <c r="AG7" s="2"/>
      <c r="AH7" s="2">
        <v>44880</v>
      </c>
    </row>
    <row r="8" spans="2:34" x14ac:dyDescent="0.25">
      <c r="B8" s="1" t="s">
        <v>6</v>
      </c>
      <c r="C8" s="2">
        <v>18417.033948921613</v>
      </c>
      <c r="D8" s="2">
        <v>18433.880232989133</v>
      </c>
      <c r="E8" s="2">
        <v>20212.100975788617</v>
      </c>
      <c r="F8" s="2">
        <v>20150.620028942107</v>
      </c>
      <c r="G8" s="2">
        <v>20440.34583700895</v>
      </c>
      <c r="H8" s="2">
        <v>19804.585747669051</v>
      </c>
      <c r="I8" s="2">
        <v>19326.741699093873</v>
      </c>
      <c r="J8" s="2">
        <v>19063.87911185162</v>
      </c>
      <c r="K8" s="2">
        <v>20568.152193818743</v>
      </c>
      <c r="L8" s="2">
        <v>21609.190311297196</v>
      </c>
      <c r="M8" s="2">
        <v>23260.597139383724</v>
      </c>
      <c r="N8" s="2">
        <v>22854.74719546055</v>
      </c>
      <c r="O8" s="2">
        <v>22365.397546983044</v>
      </c>
      <c r="P8" s="2">
        <v>22202.62863257531</v>
      </c>
      <c r="Q8" s="2">
        <v>21080</v>
      </c>
      <c r="R8" s="2">
        <v>4520</v>
      </c>
      <c r="S8" s="2"/>
      <c r="T8" s="2"/>
      <c r="U8" s="2"/>
      <c r="V8" s="2"/>
      <c r="W8" s="2"/>
      <c r="X8" s="2">
        <v>3390</v>
      </c>
      <c r="Y8" s="2"/>
      <c r="Z8" s="2"/>
      <c r="AA8" s="2"/>
      <c r="AB8" s="2"/>
      <c r="AC8" s="2">
        <v>2640</v>
      </c>
      <c r="AD8" s="2"/>
      <c r="AE8" s="2"/>
      <c r="AF8" s="2"/>
      <c r="AG8" s="2"/>
      <c r="AH8" s="2">
        <v>2376</v>
      </c>
    </row>
    <row r="9" spans="2:34" x14ac:dyDescent="0.25">
      <c r="B9" s="1" t="s">
        <v>7</v>
      </c>
      <c r="C9" s="2">
        <v>18831.155110771178</v>
      </c>
      <c r="D9" s="2">
        <v>18848.38019648234</v>
      </c>
      <c r="E9" s="2">
        <v>20666.585599247999</v>
      </c>
      <c r="F9" s="2">
        <v>20603.722206063478</v>
      </c>
      <c r="G9" s="2">
        <v>20899.962721579261</v>
      </c>
      <c r="H9" s="2">
        <v>20249.907078048327</v>
      </c>
      <c r="I9" s="2">
        <v>19761.318338817331</v>
      </c>
      <c r="J9" s="2">
        <v>19492.545084290789</v>
      </c>
      <c r="K9" s="2">
        <v>21030.642902541229</v>
      </c>
      <c r="L9" s="2">
        <v>22095.089562129968</v>
      </c>
      <c r="M9" s="2">
        <v>23783.629541853737</v>
      </c>
      <c r="N9" s="2">
        <v>23368.653750045381</v>
      </c>
      <c r="O9" s="2">
        <v>22868.300698656189</v>
      </c>
      <c r="P9" s="2">
        <v>22701.871800119934</v>
      </c>
      <c r="Q9" s="2">
        <v>21554</v>
      </c>
      <c r="R9" s="2">
        <v>7910</v>
      </c>
      <c r="S9" s="2"/>
      <c r="T9" s="2"/>
      <c r="U9" s="2"/>
      <c r="V9" s="2"/>
      <c r="W9" s="2"/>
      <c r="X9" s="2">
        <v>5932.5</v>
      </c>
      <c r="Y9" s="2"/>
      <c r="Z9" s="2"/>
      <c r="AA9" s="2"/>
      <c r="AB9" s="2"/>
      <c r="AC9" s="2">
        <v>4620</v>
      </c>
      <c r="AD9" s="2"/>
      <c r="AE9" s="2"/>
      <c r="AF9" s="2"/>
      <c r="AG9" s="2"/>
      <c r="AH9" s="2">
        <v>0</v>
      </c>
    </row>
    <row r="10" spans="2:34" x14ac:dyDescent="0.25">
      <c r="B10" s="1" t="s">
        <v>8</v>
      </c>
      <c r="C10" s="2">
        <v>1135.7753384059818</v>
      </c>
      <c r="D10" s="2">
        <v>1136.8142458674513</v>
      </c>
      <c r="E10" s="2">
        <v>1246.4768153949335</v>
      </c>
      <c r="F10" s="2">
        <v>1242.6852959025016</v>
      </c>
      <c r="G10" s="2">
        <v>1260.5526370071932</v>
      </c>
      <c r="H10" s="2">
        <v>1221.3454208714311</v>
      </c>
      <c r="I10" s="2">
        <v>1191.8768600010453</v>
      </c>
      <c r="J10" s="2">
        <v>1175.6661691369595</v>
      </c>
      <c r="K10" s="2">
        <v>1268.4344332051405</v>
      </c>
      <c r="L10" s="2">
        <v>1332.6350761236411</v>
      </c>
      <c r="M10" s="2">
        <v>1434.4770531878009</v>
      </c>
      <c r="N10" s="2">
        <v>1409.4483564562956</v>
      </c>
      <c r="O10" s="2">
        <v>1379.2702472048366</v>
      </c>
      <c r="P10" s="2">
        <v>1369.2323160506594</v>
      </c>
      <c r="Q10" s="2">
        <v>1300</v>
      </c>
      <c r="R10" s="2">
        <v>44070</v>
      </c>
      <c r="S10" s="2"/>
      <c r="T10" s="2"/>
      <c r="U10" s="2"/>
      <c r="V10" s="2"/>
      <c r="W10" s="2"/>
      <c r="X10" s="2">
        <v>33052.5</v>
      </c>
      <c r="Y10" s="2"/>
      <c r="Z10" s="2"/>
      <c r="AA10" s="2"/>
      <c r="AB10" s="2"/>
      <c r="AC10" s="2">
        <v>25740</v>
      </c>
      <c r="AD10" s="2"/>
      <c r="AE10" s="2"/>
      <c r="AF10" s="2"/>
      <c r="AG10" s="2"/>
      <c r="AH10" s="2">
        <v>23166</v>
      </c>
    </row>
    <row r="11" spans="2:34" x14ac:dyDescent="0.25">
      <c r="B11" s="1" t="s">
        <v>9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>
        <v>0</v>
      </c>
      <c r="S11" s="2"/>
      <c r="T11" s="2"/>
      <c r="U11" s="2"/>
      <c r="V11" s="2"/>
      <c r="W11" s="2"/>
      <c r="X11" s="2">
        <v>0</v>
      </c>
      <c r="Y11" s="2"/>
      <c r="Z11" s="2"/>
      <c r="AA11" s="2"/>
      <c r="AB11" s="2"/>
      <c r="AC11" s="2">
        <v>0</v>
      </c>
      <c r="AD11" s="2"/>
      <c r="AE11" s="2"/>
      <c r="AF11" s="2"/>
      <c r="AG11" s="2"/>
      <c r="AH11" s="2">
        <v>0</v>
      </c>
    </row>
    <row r="12" spans="2:34" x14ac:dyDescent="0.25">
      <c r="B12" s="1" t="s">
        <v>18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>
        <v>56500</v>
      </c>
      <c r="S12" s="2"/>
      <c r="T12" s="2"/>
      <c r="U12" s="2"/>
      <c r="V12" s="2"/>
      <c r="W12" s="2"/>
      <c r="X12" s="2">
        <v>42375</v>
      </c>
      <c r="Y12" s="2"/>
      <c r="Z12" s="2"/>
      <c r="AA12" s="2"/>
      <c r="AB12" s="2"/>
      <c r="AC12" s="2">
        <v>33000</v>
      </c>
      <c r="AD12" s="2"/>
      <c r="AE12" s="2"/>
      <c r="AF12" s="2"/>
      <c r="AG12" s="2"/>
      <c r="AH12" s="2">
        <v>29700</v>
      </c>
    </row>
    <row r="13" spans="2:34" x14ac:dyDescent="0.25">
      <c r="B13" s="1" t="s">
        <v>10</v>
      </c>
      <c r="C13" s="4">
        <f t="shared" ref="C13:R13" si="0">+SUM(C5:C11)</f>
        <v>2156774.4631526787</v>
      </c>
      <c r="D13" s="4">
        <f t="shared" si="0"/>
        <v>2158747.290882519</v>
      </c>
      <c r="E13" s="4">
        <f t="shared" si="0"/>
        <v>2366990.4367959723</v>
      </c>
      <c r="F13" s="4">
        <f t="shared" si="0"/>
        <v>2359790.5512716933</v>
      </c>
      <c r="G13" s="4">
        <f t="shared" si="0"/>
        <v>2393719.6424536873</v>
      </c>
      <c r="H13" s="4">
        <f t="shared" si="0"/>
        <v>2319267.3104884606</v>
      </c>
      <c r="I13" s="4">
        <f t="shared" si="0"/>
        <v>2263308.1455005086</v>
      </c>
      <c r="J13" s="4">
        <f t="shared" si="0"/>
        <v>2232524.9413724872</v>
      </c>
      <c r="K13" s="4">
        <f t="shared" si="0"/>
        <v>2408686.7369033387</v>
      </c>
      <c r="L13" s="4">
        <f t="shared" si="0"/>
        <v>2530600.2020776556</v>
      </c>
      <c r="M13" s="4">
        <f t="shared" si="0"/>
        <v>2723992.476043765</v>
      </c>
      <c r="N13" s="4">
        <f t="shared" si="0"/>
        <v>2676464.3671553782</v>
      </c>
      <c r="O13" s="4">
        <f t="shared" si="0"/>
        <v>2619157.8090898315</v>
      </c>
      <c r="P13" s="4">
        <f t="shared" si="0"/>
        <v>2600096.3337750058</v>
      </c>
      <c r="Q13" s="4">
        <f t="shared" si="0"/>
        <v>2468628</v>
      </c>
      <c r="R13" s="4">
        <f t="shared" si="0"/>
        <v>2368466.4400000004</v>
      </c>
      <c r="S13" s="4"/>
      <c r="T13" s="2"/>
      <c r="U13" s="2"/>
      <c r="V13" s="2"/>
      <c r="W13" s="2"/>
      <c r="X13" s="17">
        <f>SUM(X4:X12)</f>
        <v>1394236.3725000001</v>
      </c>
      <c r="Y13" s="2"/>
      <c r="Z13" s="2"/>
      <c r="AA13" s="2"/>
      <c r="AB13" s="2"/>
      <c r="AC13" s="17">
        <f>SUM(AC4:AC12)</f>
        <v>1077480.7400000002</v>
      </c>
      <c r="AD13" s="2"/>
      <c r="AE13" s="2"/>
      <c r="AF13" s="2"/>
      <c r="AG13" s="2"/>
      <c r="AH13" s="17">
        <f>SUM(AH4:AH12)</f>
        <v>709901.10400000005</v>
      </c>
    </row>
    <row r="14" spans="2:34" s="6" customFormat="1" x14ac:dyDescent="0.25">
      <c r="B14" s="5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</row>
    <row r="15" spans="2:34" s="6" customFormat="1" x14ac:dyDescent="0.25">
      <c r="B15" s="8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</row>
    <row r="16" spans="2:34" x14ac:dyDescent="0.25">
      <c r="B16" s="10" t="s">
        <v>15</v>
      </c>
      <c r="C16" s="10">
        <v>1999</v>
      </c>
      <c r="D16" s="10">
        <v>2000</v>
      </c>
      <c r="E16" s="10">
        <v>2001</v>
      </c>
      <c r="F16" s="10">
        <v>2002</v>
      </c>
      <c r="G16" s="10">
        <v>2003</v>
      </c>
      <c r="H16" s="10">
        <v>2004</v>
      </c>
      <c r="I16" s="10">
        <v>2005</v>
      </c>
      <c r="J16" s="10">
        <v>2006</v>
      </c>
      <c r="K16" s="10">
        <v>2007</v>
      </c>
      <c r="L16" s="10">
        <v>2008</v>
      </c>
      <c r="M16" s="10">
        <v>2009</v>
      </c>
      <c r="N16" s="10">
        <v>2010</v>
      </c>
      <c r="O16" s="10">
        <v>2011</v>
      </c>
      <c r="P16" s="10">
        <v>2012</v>
      </c>
      <c r="Q16" s="10">
        <v>2013</v>
      </c>
      <c r="R16" s="10">
        <v>2014</v>
      </c>
      <c r="S16" s="15">
        <v>2015</v>
      </c>
      <c r="T16" s="10">
        <v>2016</v>
      </c>
      <c r="U16" s="10">
        <v>2017</v>
      </c>
      <c r="V16" s="10">
        <v>2018</v>
      </c>
      <c r="W16" s="10">
        <v>2019</v>
      </c>
      <c r="X16" s="15">
        <v>2020</v>
      </c>
      <c r="Y16" s="10">
        <v>2021</v>
      </c>
      <c r="Z16" s="10">
        <v>2022</v>
      </c>
      <c r="AA16" s="10">
        <v>2023</v>
      </c>
      <c r="AB16" s="10">
        <v>2024</v>
      </c>
      <c r="AC16" s="15">
        <v>2025</v>
      </c>
      <c r="AD16" s="10">
        <v>2026</v>
      </c>
      <c r="AE16" s="10">
        <v>2027</v>
      </c>
      <c r="AF16" s="10">
        <v>2028</v>
      </c>
      <c r="AG16" s="10">
        <v>2029</v>
      </c>
      <c r="AH16" s="15">
        <v>2030</v>
      </c>
    </row>
    <row r="17" spans="2:34" x14ac:dyDescent="0.25">
      <c r="B17" s="1" t="s">
        <v>16</v>
      </c>
      <c r="C17" s="2">
        <v>3311</v>
      </c>
      <c r="D17" s="2">
        <v>3602</v>
      </c>
      <c r="E17" s="2">
        <v>3660</v>
      </c>
      <c r="F17" s="2">
        <v>3840</v>
      </c>
      <c r="G17" s="2">
        <v>4479</v>
      </c>
      <c r="H17" s="2">
        <v>4618</v>
      </c>
      <c r="I17" s="2">
        <v>5009</v>
      </c>
      <c r="J17" s="2">
        <v>5027</v>
      </c>
      <c r="K17" s="2">
        <v>4775</v>
      </c>
      <c r="L17" s="2">
        <v>4858</v>
      </c>
      <c r="M17" s="2">
        <v>5077</v>
      </c>
      <c r="N17" s="2">
        <v>5164</v>
      </c>
      <c r="O17" s="2">
        <v>5277</v>
      </c>
      <c r="P17" s="2">
        <v>5245</v>
      </c>
      <c r="Q17" s="2">
        <v>5422</v>
      </c>
      <c r="R17" s="2">
        <v>5741</v>
      </c>
      <c r="S17" s="16"/>
      <c r="T17" s="2"/>
      <c r="U17" s="2"/>
      <c r="V17" s="2"/>
      <c r="W17" s="2"/>
      <c r="X17" s="16"/>
      <c r="Y17" s="2"/>
      <c r="Z17" s="2"/>
      <c r="AA17" s="2"/>
      <c r="AB17" s="2"/>
      <c r="AC17" s="16"/>
      <c r="AD17" s="2"/>
      <c r="AE17" s="2"/>
      <c r="AF17" s="2"/>
      <c r="AG17" s="2"/>
      <c r="AH17" s="16"/>
    </row>
    <row r="18" spans="2:34" x14ac:dyDescent="0.25">
      <c r="B18" s="1" t="s">
        <v>27</v>
      </c>
      <c r="C18" s="2">
        <v>381</v>
      </c>
      <c r="D18" s="2">
        <v>529</v>
      </c>
      <c r="E18" s="2">
        <v>559</v>
      </c>
      <c r="F18" s="2">
        <v>522</v>
      </c>
      <c r="G18" s="2">
        <v>488</v>
      </c>
      <c r="H18" s="2">
        <v>340</v>
      </c>
      <c r="I18" s="2">
        <v>552</v>
      </c>
      <c r="J18" s="2">
        <v>607</v>
      </c>
      <c r="K18" s="2">
        <v>1285</v>
      </c>
      <c r="L18" s="2">
        <v>2399</v>
      </c>
      <c r="M18" s="2">
        <v>1872</v>
      </c>
      <c r="N18" s="2">
        <v>2644</v>
      </c>
      <c r="O18" s="2">
        <v>3164</v>
      </c>
      <c r="P18" s="2">
        <v>3211</v>
      </c>
      <c r="Q18" s="2">
        <v>2834</v>
      </c>
      <c r="R18" s="2">
        <v>2514.645</v>
      </c>
      <c r="S18" s="16"/>
      <c r="T18" s="2"/>
      <c r="U18" s="2"/>
      <c r="V18" s="2"/>
      <c r="W18" s="2"/>
      <c r="X18" s="16"/>
      <c r="Y18" s="2"/>
      <c r="Z18" s="2"/>
      <c r="AA18" s="2"/>
      <c r="AB18" s="2"/>
      <c r="AC18" s="16"/>
      <c r="AD18" s="2"/>
      <c r="AE18" s="2"/>
      <c r="AF18" s="2"/>
      <c r="AG18" s="2"/>
      <c r="AH18" s="16"/>
    </row>
    <row r="19" spans="2:34" x14ac:dyDescent="0.25">
      <c r="B19" s="12" t="s">
        <v>17</v>
      </c>
      <c r="C19" s="4">
        <f t="shared" ref="C19:R19" si="1">SUM(C17:C18)</f>
        <v>3692</v>
      </c>
      <c r="D19" s="4">
        <f t="shared" si="1"/>
        <v>4131</v>
      </c>
      <c r="E19" s="4">
        <f t="shared" si="1"/>
        <v>4219</v>
      </c>
      <c r="F19" s="4">
        <f t="shared" si="1"/>
        <v>4362</v>
      </c>
      <c r="G19" s="4">
        <f t="shared" si="1"/>
        <v>4967</v>
      </c>
      <c r="H19" s="4">
        <f t="shared" si="1"/>
        <v>4958</v>
      </c>
      <c r="I19" s="4">
        <f t="shared" si="1"/>
        <v>5561</v>
      </c>
      <c r="J19" s="4">
        <f t="shared" si="1"/>
        <v>5634</v>
      </c>
      <c r="K19" s="4">
        <f t="shared" si="1"/>
        <v>6060</v>
      </c>
      <c r="L19" s="4">
        <f t="shared" si="1"/>
        <v>7257</v>
      </c>
      <c r="M19" s="4">
        <f t="shared" si="1"/>
        <v>6949</v>
      </c>
      <c r="N19" s="4">
        <f t="shared" si="1"/>
        <v>7808</v>
      </c>
      <c r="O19" s="4">
        <f t="shared" si="1"/>
        <v>8441</v>
      </c>
      <c r="P19" s="4">
        <f t="shared" si="1"/>
        <v>8456</v>
      </c>
      <c r="Q19" s="4">
        <f t="shared" si="1"/>
        <v>8256</v>
      </c>
      <c r="R19" s="4">
        <f t="shared" si="1"/>
        <v>8255.6450000000004</v>
      </c>
      <c r="S19" s="16"/>
      <c r="T19" s="2"/>
      <c r="U19" s="2"/>
      <c r="V19" s="2"/>
      <c r="W19" s="2"/>
      <c r="X19" s="16"/>
      <c r="Y19" s="2"/>
      <c r="Z19" s="2"/>
      <c r="AA19" s="2"/>
      <c r="AB19" s="2"/>
      <c r="AC19" s="16"/>
      <c r="AD19" s="2"/>
      <c r="AE19" s="2"/>
      <c r="AF19" s="2"/>
      <c r="AG19" s="2"/>
      <c r="AH19" s="16"/>
    </row>
    <row r="20" spans="2:34" x14ac:dyDescent="0.25">
      <c r="B20" s="12" t="s">
        <v>28</v>
      </c>
      <c r="C20" s="39">
        <f t="shared" ref="C20:R20" si="2">+C19*1000/C13</f>
        <v>1.7118155203874195</v>
      </c>
      <c r="D20" s="39">
        <f t="shared" si="2"/>
        <v>1.9136098131760495</v>
      </c>
      <c r="E20" s="39">
        <f t="shared" si="2"/>
        <v>1.7824322119826399</v>
      </c>
      <c r="F20" s="39">
        <f t="shared" si="2"/>
        <v>1.8484691353854747</v>
      </c>
      <c r="G20" s="39">
        <f t="shared" si="2"/>
        <v>2.0750132604955218</v>
      </c>
      <c r="H20" s="39">
        <f t="shared" si="2"/>
        <v>2.1377440959816729</v>
      </c>
      <c r="I20" s="39">
        <f t="shared" si="2"/>
        <v>2.4570229250733506</v>
      </c>
      <c r="J20" s="39">
        <f t="shared" si="2"/>
        <v>2.5236000259582281</v>
      </c>
      <c r="K20" s="39">
        <f t="shared" si="2"/>
        <v>2.515893788575791</v>
      </c>
      <c r="L20" s="39">
        <f t="shared" si="2"/>
        <v>2.8676991308393593</v>
      </c>
      <c r="M20" s="39">
        <f t="shared" si="2"/>
        <v>2.5510349463565678</v>
      </c>
      <c r="N20" s="39">
        <f t="shared" si="2"/>
        <v>2.9172815060857928</v>
      </c>
      <c r="O20" s="39">
        <f t="shared" si="2"/>
        <v>3.2227916816258135</v>
      </c>
      <c r="P20" s="39">
        <f t="shared" si="2"/>
        <v>3.2521871940502201</v>
      </c>
      <c r="Q20" s="39">
        <f t="shared" si="2"/>
        <v>3.3443678026822998</v>
      </c>
      <c r="R20" s="39">
        <f t="shared" si="2"/>
        <v>3.4856499803307317</v>
      </c>
      <c r="S20" s="16"/>
      <c r="T20" s="2"/>
      <c r="U20" s="2"/>
      <c r="V20" s="2"/>
      <c r="W20" s="2"/>
      <c r="X20" s="16"/>
      <c r="Y20" s="2"/>
      <c r="Z20" s="2"/>
      <c r="AA20" s="2"/>
      <c r="AB20" s="2"/>
      <c r="AC20" s="16"/>
      <c r="AD20" s="2"/>
      <c r="AE20" s="2"/>
      <c r="AF20" s="2"/>
      <c r="AG20" s="2"/>
      <c r="AH20" s="16"/>
    </row>
    <row r="21" spans="2:34" x14ac:dyDescent="0.25"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</row>
    <row r="43" spans="3:13" ht="15.75" thickBot="1" x14ac:dyDescent="0.3"/>
    <row r="44" spans="3:13" ht="30.75" thickBot="1" x14ac:dyDescent="0.3">
      <c r="C44" s="66" t="s">
        <v>11</v>
      </c>
      <c r="D44" s="67" t="s">
        <v>19</v>
      </c>
      <c r="E44" s="67" t="s">
        <v>20</v>
      </c>
      <c r="F44" s="67" t="s">
        <v>21</v>
      </c>
      <c r="G44" s="68" t="s">
        <v>26</v>
      </c>
      <c r="I44" s="168" t="s">
        <v>11</v>
      </c>
      <c r="J44" s="169" t="s">
        <v>19</v>
      </c>
      <c r="K44" s="170" t="s">
        <v>29</v>
      </c>
      <c r="L44" s="170" t="s">
        <v>30</v>
      </c>
      <c r="M44" s="171" t="s">
        <v>31</v>
      </c>
    </row>
    <row r="45" spans="3:13" ht="15.75" thickBot="1" x14ac:dyDescent="0.3">
      <c r="C45" s="47">
        <v>1999</v>
      </c>
      <c r="D45" s="48">
        <v>1.7118155203874195</v>
      </c>
      <c r="E45" s="49">
        <v>2191759</v>
      </c>
      <c r="F45" s="49">
        <f>+E45*D45</f>
        <v>3751887.0731488103</v>
      </c>
      <c r="G45" s="50">
        <v>3311000</v>
      </c>
      <c r="I45" s="74">
        <v>2014</v>
      </c>
      <c r="J45" s="76">
        <v>3.4044368053192517</v>
      </c>
      <c r="K45" s="77">
        <v>2368466.4400000004</v>
      </c>
      <c r="L45" s="77">
        <v>8063294.320499463</v>
      </c>
      <c r="M45" s="124">
        <v>5741000</v>
      </c>
    </row>
    <row r="46" spans="3:13" x14ac:dyDescent="0.25">
      <c r="C46" s="51">
        <v>2000</v>
      </c>
      <c r="D46" s="52">
        <v>1.9136098131760495</v>
      </c>
      <c r="E46" s="53">
        <v>2193763</v>
      </c>
      <c r="F46" s="53">
        <f t="shared" ref="F46:F76" si="3">+E46*D46</f>
        <v>4198006.4045825303</v>
      </c>
      <c r="G46" s="54">
        <v>3602000</v>
      </c>
      <c r="I46" s="59">
        <v>2020</v>
      </c>
      <c r="J46" s="72">
        <f t="shared" ref="J46:J48" si="4">0.1191*I46-236.51</f>
        <v>4.0720000000000027</v>
      </c>
      <c r="K46" s="75">
        <v>1394236.3725000001</v>
      </c>
      <c r="L46" s="60">
        <f t="shared" ref="L46:L48" si="5">+K46*J46</f>
        <v>5677330.5088200038</v>
      </c>
      <c r="M46" s="125">
        <v>5850870</v>
      </c>
    </row>
    <row r="47" spans="3:13" x14ac:dyDescent="0.25">
      <c r="C47" s="51">
        <v>2001</v>
      </c>
      <c r="D47" s="52">
        <v>1.7824322119826399</v>
      </c>
      <c r="E47" s="53">
        <v>2405192</v>
      </c>
      <c r="F47" s="53">
        <f t="shared" si="3"/>
        <v>4287091.6968029495</v>
      </c>
      <c r="G47" s="54">
        <v>3660000</v>
      </c>
      <c r="I47" s="41">
        <v>2025</v>
      </c>
      <c r="J47" s="45">
        <f t="shared" si="4"/>
        <v>4.6675000000000182</v>
      </c>
      <c r="K47" s="46">
        <v>1077480.7400000002</v>
      </c>
      <c r="L47" s="42">
        <f t="shared" si="5"/>
        <v>5029141.3539500209</v>
      </c>
      <c r="M47" s="126">
        <v>5850870</v>
      </c>
    </row>
    <row r="48" spans="3:13" ht="15.75" thickBot="1" x14ac:dyDescent="0.3">
      <c r="C48" s="51">
        <v>2002</v>
      </c>
      <c r="D48" s="52">
        <v>1.8484691353854747</v>
      </c>
      <c r="E48" s="53">
        <v>2397883</v>
      </c>
      <c r="F48" s="53">
        <f t="shared" si="3"/>
        <v>4432412.7157655284</v>
      </c>
      <c r="G48" s="54">
        <v>3840000</v>
      </c>
      <c r="I48" s="43">
        <v>2030</v>
      </c>
      <c r="J48" s="70">
        <f t="shared" si="4"/>
        <v>5.2630000000000052</v>
      </c>
      <c r="K48" s="61">
        <v>709901.10400000005</v>
      </c>
      <c r="L48" s="44">
        <f t="shared" si="5"/>
        <v>3736209.5103520039</v>
      </c>
      <c r="M48" s="127">
        <v>5850870</v>
      </c>
    </row>
    <row r="49" spans="3:14" x14ac:dyDescent="0.25">
      <c r="C49" s="51">
        <v>2003</v>
      </c>
      <c r="D49" s="52">
        <v>2.0750132604955218</v>
      </c>
      <c r="E49" s="53">
        <v>2432332</v>
      </c>
      <c r="F49" s="53">
        <f t="shared" si="3"/>
        <v>5047121.1539275935</v>
      </c>
      <c r="G49" s="54">
        <v>4479000</v>
      </c>
    </row>
    <row r="50" spans="3:14" ht="15.75" thickBot="1" x14ac:dyDescent="0.3">
      <c r="C50" s="51">
        <v>2004</v>
      </c>
      <c r="D50" s="52">
        <v>2.1377440959816729</v>
      </c>
      <c r="E50" s="53">
        <v>2356742</v>
      </c>
      <c r="F50" s="53">
        <f t="shared" si="3"/>
        <v>5038111.2962520402</v>
      </c>
      <c r="G50" s="54">
        <v>4618000</v>
      </c>
    </row>
    <row r="51" spans="3:14" ht="30.75" thickBot="1" x14ac:dyDescent="0.3">
      <c r="C51" s="51">
        <v>2005</v>
      </c>
      <c r="D51" s="52">
        <v>2.4570229250733506</v>
      </c>
      <c r="E51" s="53">
        <v>2299928</v>
      </c>
      <c r="F51" s="53">
        <f t="shared" si="3"/>
        <v>5650975.8220181009</v>
      </c>
      <c r="G51" s="54">
        <v>5009000</v>
      </c>
      <c r="I51" s="152" t="s">
        <v>11</v>
      </c>
      <c r="J51" s="153" t="s">
        <v>19</v>
      </c>
      <c r="K51" s="154" t="s">
        <v>29</v>
      </c>
      <c r="L51" s="154" t="s">
        <v>30</v>
      </c>
      <c r="M51" s="155" t="s">
        <v>31</v>
      </c>
      <c r="N51" s="188"/>
    </row>
    <row r="52" spans="3:14" ht="15.75" thickBot="1" x14ac:dyDescent="0.3">
      <c r="C52" s="51">
        <v>2006</v>
      </c>
      <c r="D52" s="52">
        <v>2.5236000259582281</v>
      </c>
      <c r="E52" s="53">
        <v>2268675</v>
      </c>
      <c r="F52" s="53">
        <f t="shared" si="3"/>
        <v>5725228.2888907827</v>
      </c>
      <c r="G52" s="54">
        <v>5027000</v>
      </c>
      <c r="I52" s="133">
        <v>2014</v>
      </c>
      <c r="J52" s="196">
        <v>3.4044368053192517</v>
      </c>
      <c r="K52" s="128">
        <v>2368466.4400000004</v>
      </c>
      <c r="L52" s="128">
        <v>8063294.320499463</v>
      </c>
      <c r="M52" s="144">
        <v>5741000</v>
      </c>
      <c r="N52" s="188"/>
    </row>
    <row r="53" spans="3:14" x14ac:dyDescent="0.25">
      <c r="C53" s="51">
        <v>2007</v>
      </c>
      <c r="D53" s="52">
        <v>2.515893788575791</v>
      </c>
      <c r="E53" s="53">
        <v>2447532</v>
      </c>
      <c r="F53" s="53">
        <f t="shared" si="3"/>
        <v>6157730.5561404834</v>
      </c>
      <c r="G53" s="54">
        <v>4775000</v>
      </c>
      <c r="I53" s="135">
        <v>2020</v>
      </c>
      <c r="J53" s="197">
        <f>D66</f>
        <v>5.1240000000000121</v>
      </c>
      <c r="K53" s="137">
        <f>E66</f>
        <v>1574160</v>
      </c>
      <c r="L53" s="137">
        <f>F66</f>
        <v>8065995.8400000194</v>
      </c>
      <c r="M53" s="145">
        <v>5850870</v>
      </c>
      <c r="N53" s="188"/>
    </row>
    <row r="54" spans="3:14" x14ac:dyDescent="0.25">
      <c r="C54" s="51">
        <v>2008</v>
      </c>
      <c r="D54" s="52">
        <v>2.8676991308393593</v>
      </c>
      <c r="E54" s="53">
        <v>2571311</v>
      </c>
      <c r="F54" s="53">
        <f t="shared" si="3"/>
        <v>7373746.3198176837</v>
      </c>
      <c r="G54" s="54">
        <v>4858000</v>
      </c>
      <c r="I54" s="138">
        <v>2025</v>
      </c>
      <c r="J54" s="198">
        <f>D71</f>
        <v>5.8559999999999945</v>
      </c>
      <c r="K54" s="140">
        <f>E71</f>
        <v>969584</v>
      </c>
      <c r="L54" s="140">
        <f t="shared" ref="L54:L55" si="6">+K54*J54</f>
        <v>5677883.9039999945</v>
      </c>
      <c r="M54" s="146">
        <v>5850870</v>
      </c>
      <c r="N54" s="188"/>
    </row>
    <row r="55" spans="3:14" ht="15.75" thickBot="1" x14ac:dyDescent="0.3">
      <c r="C55" s="51">
        <v>2009</v>
      </c>
      <c r="D55" s="52">
        <v>2.5510349463565678</v>
      </c>
      <c r="E55" s="53">
        <v>2767662</v>
      </c>
      <c r="F55" s="53">
        <f t="shared" si="3"/>
        <v>7060402.481703111</v>
      </c>
      <c r="G55" s="54">
        <v>5077000</v>
      </c>
      <c r="I55" s="141">
        <v>2030</v>
      </c>
      <c r="J55" s="199">
        <f>D76</f>
        <v>6.5880000000000107</v>
      </c>
      <c r="K55" s="143">
        <f>E76</f>
        <v>731504</v>
      </c>
      <c r="L55" s="143">
        <f t="shared" si="6"/>
        <v>4819148.3520000074</v>
      </c>
      <c r="M55" s="147">
        <v>5850870</v>
      </c>
      <c r="N55" s="188"/>
    </row>
    <row r="56" spans="3:14" x14ac:dyDescent="0.25">
      <c r="C56" s="51">
        <v>2010</v>
      </c>
      <c r="D56" s="52">
        <v>2.9172815060857928</v>
      </c>
      <c r="E56" s="53">
        <v>2719408</v>
      </c>
      <c r="F56" s="53">
        <f t="shared" si="3"/>
        <v>7933278.6659017541</v>
      </c>
      <c r="G56" s="54">
        <v>5164000</v>
      </c>
    </row>
    <row r="57" spans="3:14" x14ac:dyDescent="0.25">
      <c r="C57" s="51">
        <v>2011</v>
      </c>
      <c r="D57" s="52">
        <v>3.2227916816258135</v>
      </c>
      <c r="E57" s="53">
        <v>2661226</v>
      </c>
      <c r="F57" s="53">
        <f t="shared" si="3"/>
        <v>8576577.0157263372</v>
      </c>
      <c r="G57" s="54">
        <v>5277000</v>
      </c>
    </row>
    <row r="58" spans="3:14" x14ac:dyDescent="0.25">
      <c r="C58" s="51">
        <v>2012</v>
      </c>
      <c r="D58" s="52">
        <v>3.2521871940502201</v>
      </c>
      <c r="E58" s="53">
        <v>2641874</v>
      </c>
      <c r="F58" s="53">
        <f t="shared" si="3"/>
        <v>8591868.7910942305</v>
      </c>
      <c r="G58" s="54">
        <v>5245000</v>
      </c>
      <c r="H58"/>
    </row>
    <row r="59" spans="3:14" x14ac:dyDescent="0.25">
      <c r="C59" s="51">
        <v>2013</v>
      </c>
      <c r="D59" s="52">
        <v>3.3443678026822998</v>
      </c>
      <c r="E59" s="53">
        <v>2508396</v>
      </c>
      <c r="F59" s="53">
        <f t="shared" si="3"/>
        <v>8388998.8187770694</v>
      </c>
      <c r="G59" s="54">
        <v>5422000</v>
      </c>
    </row>
    <row r="60" spans="3:14" ht="15.75" thickBot="1" x14ac:dyDescent="0.3">
      <c r="C60" s="55">
        <v>2014</v>
      </c>
      <c r="D60" s="56">
        <v>3.4044368053192517</v>
      </c>
      <c r="E60" s="57">
        <v>2368466.4400000004</v>
      </c>
      <c r="F60" s="79">
        <f t="shared" si="3"/>
        <v>8063294.320499463</v>
      </c>
      <c r="G60" s="58">
        <v>5741000</v>
      </c>
    </row>
    <row r="61" spans="3:14" x14ac:dyDescent="0.25">
      <c r="C61" s="81">
        <v>2015</v>
      </c>
      <c r="D61" s="80">
        <f t="shared" ref="D61:D76" si="7">(0.122*C61-242.17)*(1+$D$1)</f>
        <v>4.3919999999999959</v>
      </c>
      <c r="E61" s="64">
        <f t="shared" ref="E61:E76" si="8">-1.10182183892221*C61^5+11117.6221884797*C61^4-44871038.4173958*C61^3+90549072863.1658*C61^2-91361993395092.5*C61+36872346508759500</f>
        <v>2271440</v>
      </c>
      <c r="F61" s="64">
        <f t="shared" si="3"/>
        <v>9976164.4799999911</v>
      </c>
      <c r="G61" s="83">
        <f t="shared" ref="G61:G62" si="9" xml:space="preserve"> (121.42*C61 - 238913)*1000</f>
        <v>5748300.0000000177</v>
      </c>
    </row>
    <row r="62" spans="3:14" x14ac:dyDescent="0.25">
      <c r="C62" s="82">
        <v>2016</v>
      </c>
      <c r="D62" s="80">
        <f t="shared" si="7"/>
        <v>4.5384000000000126</v>
      </c>
      <c r="E62" s="65">
        <f t="shared" si="8"/>
        <v>2146384</v>
      </c>
      <c r="F62" s="65">
        <f t="shared" si="3"/>
        <v>9741149.1456000265</v>
      </c>
      <c r="G62" s="84">
        <f t="shared" si="9"/>
        <v>5869720.0000000009</v>
      </c>
    </row>
    <row r="63" spans="3:14" x14ac:dyDescent="0.25">
      <c r="C63" s="82">
        <v>2017</v>
      </c>
      <c r="D63" s="80">
        <f t="shared" si="7"/>
        <v>4.6847999999999956</v>
      </c>
      <c r="E63" s="65">
        <f t="shared" si="8"/>
        <v>2010448</v>
      </c>
      <c r="F63" s="65">
        <f t="shared" si="3"/>
        <v>9418546.790399991</v>
      </c>
      <c r="G63" s="62">
        <v>5869720</v>
      </c>
      <c r="H63" s="3" t="s">
        <v>25</v>
      </c>
    </row>
    <row r="64" spans="3:14" x14ac:dyDescent="0.25">
      <c r="C64" s="82">
        <v>2018</v>
      </c>
      <c r="D64" s="80">
        <f t="shared" si="7"/>
        <v>4.8312000000000124</v>
      </c>
      <c r="E64" s="65">
        <f t="shared" si="8"/>
        <v>1867120</v>
      </c>
      <c r="F64" s="65">
        <f t="shared" si="3"/>
        <v>9020430.1440000236</v>
      </c>
      <c r="G64" s="62">
        <v>5869720</v>
      </c>
    </row>
    <row r="65" spans="3:22" x14ac:dyDescent="0.25">
      <c r="C65" s="82">
        <v>2019</v>
      </c>
      <c r="D65" s="80">
        <f t="shared" si="7"/>
        <v>4.9775999999999954</v>
      </c>
      <c r="E65" s="65">
        <f t="shared" si="8"/>
        <v>1720368</v>
      </c>
      <c r="F65" s="65">
        <f t="shared" si="3"/>
        <v>8563303.7567999922</v>
      </c>
      <c r="G65" s="62">
        <v>5869720</v>
      </c>
    </row>
    <row r="66" spans="3:22" x14ac:dyDescent="0.25">
      <c r="C66" s="85">
        <v>2020</v>
      </c>
      <c r="D66" s="86">
        <f t="shared" si="7"/>
        <v>5.1240000000000121</v>
      </c>
      <c r="E66" s="87">
        <f t="shared" si="8"/>
        <v>1574160</v>
      </c>
      <c r="F66" s="87">
        <f t="shared" si="3"/>
        <v>8065995.8400000194</v>
      </c>
      <c r="G66" s="62">
        <v>5869720</v>
      </c>
    </row>
    <row r="67" spans="3:22" x14ac:dyDescent="0.25">
      <c r="C67" s="82">
        <v>2021</v>
      </c>
      <c r="D67" s="80">
        <f t="shared" si="7"/>
        <v>5.2703999999999951</v>
      </c>
      <c r="E67" s="65">
        <f t="shared" si="8"/>
        <v>1432048</v>
      </c>
      <c r="F67" s="65">
        <f t="shared" si="3"/>
        <v>7547465.7791999932</v>
      </c>
      <c r="G67" s="62">
        <v>5869720</v>
      </c>
    </row>
    <row r="68" spans="3:22" x14ac:dyDescent="0.25">
      <c r="C68" s="101">
        <v>2022</v>
      </c>
      <c r="D68" s="102">
        <f t="shared" si="7"/>
        <v>5.4168000000000118</v>
      </c>
      <c r="E68" s="92">
        <f t="shared" si="8"/>
        <v>1297744</v>
      </c>
      <c r="F68" s="92">
        <f t="shared" si="3"/>
        <v>7029619.6992000155</v>
      </c>
      <c r="G68" s="91">
        <v>5869720</v>
      </c>
    </row>
    <row r="69" spans="3:22" x14ac:dyDescent="0.25">
      <c r="C69" s="101">
        <v>2023</v>
      </c>
      <c r="D69" s="102">
        <f t="shared" si="7"/>
        <v>5.5631999999999948</v>
      </c>
      <c r="E69" s="92">
        <f t="shared" si="8"/>
        <v>1174288</v>
      </c>
      <c r="F69" s="92">
        <f t="shared" si="3"/>
        <v>6532799.0015999936</v>
      </c>
      <c r="G69" s="91">
        <v>5869720</v>
      </c>
    </row>
    <row r="70" spans="3:22" x14ac:dyDescent="0.25">
      <c r="C70" s="98">
        <v>2024</v>
      </c>
      <c r="D70" s="99">
        <f t="shared" si="7"/>
        <v>5.7096000000000116</v>
      </c>
      <c r="E70" s="95">
        <f t="shared" si="8"/>
        <v>1064240</v>
      </c>
      <c r="F70" s="95">
        <f t="shared" si="3"/>
        <v>6076384.704000012</v>
      </c>
      <c r="G70" s="94">
        <v>5869720</v>
      </c>
    </row>
    <row r="71" spans="3:22" x14ac:dyDescent="0.25">
      <c r="C71" s="96">
        <v>2025</v>
      </c>
      <c r="D71" s="97">
        <f t="shared" si="7"/>
        <v>5.8559999999999945</v>
      </c>
      <c r="E71" s="93">
        <f t="shared" si="8"/>
        <v>969584</v>
      </c>
      <c r="F71" s="93">
        <f t="shared" si="3"/>
        <v>5677883.9039999945</v>
      </c>
      <c r="G71" s="94">
        <v>5869720</v>
      </c>
    </row>
    <row r="72" spans="3:22" x14ac:dyDescent="0.25">
      <c r="C72" s="82">
        <v>2026</v>
      </c>
      <c r="D72" s="80">
        <f t="shared" si="7"/>
        <v>6.0024000000000113</v>
      </c>
      <c r="E72" s="65">
        <f t="shared" si="8"/>
        <v>891376</v>
      </c>
      <c r="F72" s="65">
        <f t="shared" si="3"/>
        <v>5350395.3024000097</v>
      </c>
      <c r="G72" s="62">
        <v>5869720</v>
      </c>
    </row>
    <row r="73" spans="3:22" x14ac:dyDescent="0.25">
      <c r="C73" s="82">
        <v>2027</v>
      </c>
      <c r="D73" s="80">
        <f t="shared" si="7"/>
        <v>6.1487999999999943</v>
      </c>
      <c r="E73" s="65">
        <f t="shared" si="8"/>
        <v>829936</v>
      </c>
      <c r="F73" s="65">
        <f t="shared" si="3"/>
        <v>5103110.4767999956</v>
      </c>
      <c r="G73" s="62">
        <v>5869720</v>
      </c>
    </row>
    <row r="74" spans="3:22" x14ac:dyDescent="0.25">
      <c r="C74" s="82">
        <v>2028</v>
      </c>
      <c r="D74" s="80">
        <f t="shared" si="7"/>
        <v>6.295200000000011</v>
      </c>
      <c r="E74" s="65">
        <f t="shared" si="8"/>
        <v>784368</v>
      </c>
      <c r="F74" s="65">
        <f t="shared" si="3"/>
        <v>4937753.4336000085</v>
      </c>
      <c r="G74" s="62">
        <v>5869720</v>
      </c>
    </row>
    <row r="75" spans="3:22" x14ac:dyDescent="0.25">
      <c r="C75" s="82">
        <v>2029</v>
      </c>
      <c r="D75" s="80">
        <f t="shared" si="7"/>
        <v>6.441599999999994</v>
      </c>
      <c r="E75" s="65">
        <f t="shared" si="8"/>
        <v>752624</v>
      </c>
      <c r="F75" s="65">
        <f t="shared" si="3"/>
        <v>4848102.758399995</v>
      </c>
      <c r="G75" s="62">
        <v>5869720</v>
      </c>
    </row>
    <row r="76" spans="3:22" ht="15.75" thickBot="1" x14ac:dyDescent="0.3">
      <c r="C76" s="88">
        <v>2030</v>
      </c>
      <c r="D76" s="89">
        <f t="shared" si="7"/>
        <v>6.5880000000000107</v>
      </c>
      <c r="E76" s="90">
        <f t="shared" si="8"/>
        <v>731504</v>
      </c>
      <c r="F76" s="90">
        <f t="shared" si="3"/>
        <v>4819148.3520000074</v>
      </c>
      <c r="G76" s="63">
        <v>5869720</v>
      </c>
    </row>
    <row r="77" spans="3:22" x14ac:dyDescent="0.25">
      <c r="E77" s="22"/>
    </row>
    <row r="80" spans="3:22" x14ac:dyDescent="0.25">
      <c r="C80" s="1" t="s">
        <v>11</v>
      </c>
      <c r="D80" s="1">
        <v>1999</v>
      </c>
      <c r="E80" s="1">
        <v>2000</v>
      </c>
      <c r="F80" s="1">
        <v>2001</v>
      </c>
      <c r="G80" s="1">
        <v>2002</v>
      </c>
      <c r="H80" s="1">
        <v>2003</v>
      </c>
      <c r="I80" s="1">
        <v>2004</v>
      </c>
      <c r="J80" s="1">
        <v>2005</v>
      </c>
      <c r="K80" s="1">
        <v>2006</v>
      </c>
      <c r="L80" s="1">
        <v>2007</v>
      </c>
      <c r="M80" s="1">
        <v>2008</v>
      </c>
      <c r="N80" s="1">
        <v>2009</v>
      </c>
      <c r="O80" s="1">
        <v>2010</v>
      </c>
      <c r="P80" s="1">
        <v>2011</v>
      </c>
      <c r="Q80" s="1">
        <v>2012</v>
      </c>
      <c r="R80" s="1">
        <v>2013</v>
      </c>
      <c r="S80" s="1">
        <v>2014</v>
      </c>
      <c r="T80" s="1">
        <v>2020</v>
      </c>
      <c r="U80" s="1">
        <v>2025</v>
      </c>
      <c r="V80" s="1">
        <v>2030</v>
      </c>
    </row>
    <row r="81" spans="3:22" x14ac:dyDescent="0.25">
      <c r="C81" s="1" t="s">
        <v>20</v>
      </c>
      <c r="D81" s="40">
        <v>2191759</v>
      </c>
      <c r="E81" s="40">
        <v>2193763</v>
      </c>
      <c r="F81" s="40">
        <v>2405192</v>
      </c>
      <c r="G81" s="40">
        <v>2397883</v>
      </c>
      <c r="H81" s="40">
        <v>2432332</v>
      </c>
      <c r="I81" s="40">
        <v>2356742</v>
      </c>
      <c r="J81" s="40">
        <v>2299928</v>
      </c>
      <c r="K81" s="40">
        <v>2268675</v>
      </c>
      <c r="L81" s="40">
        <v>2447532</v>
      </c>
      <c r="M81" s="40">
        <v>2571311</v>
      </c>
      <c r="N81" s="40">
        <v>2767662</v>
      </c>
      <c r="O81" s="40">
        <v>2719408</v>
      </c>
      <c r="P81" s="40">
        <v>2661226</v>
      </c>
      <c r="Q81" s="40">
        <v>2641874</v>
      </c>
      <c r="R81" s="40">
        <v>2508396</v>
      </c>
      <c r="S81" s="40">
        <v>2368466.4400000004</v>
      </c>
      <c r="T81" s="24">
        <v>1394236.3725000001</v>
      </c>
      <c r="U81" s="24">
        <v>1077480.7400000002</v>
      </c>
      <c r="V81" s="24">
        <v>709901.10400000005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H84"/>
  <sheetViews>
    <sheetView tabSelected="1" topLeftCell="H28" zoomScale="70" zoomScaleNormal="70" workbookViewId="0">
      <selection activeCell="S61" sqref="S61"/>
    </sheetView>
  </sheetViews>
  <sheetFormatPr baseColWidth="10" defaultRowHeight="15" x14ac:dyDescent="0.25"/>
  <cols>
    <col min="1" max="1" width="11.42578125" style="3"/>
    <col min="2" max="2" width="36.85546875" style="3" bestFit="1" customWidth="1"/>
    <col min="3" max="3" width="18.140625" style="3" customWidth="1"/>
    <col min="4" max="4" width="15.7109375" style="3" customWidth="1"/>
    <col min="5" max="5" width="16.42578125" style="3" customWidth="1"/>
    <col min="6" max="6" width="20" style="3" bestFit="1" customWidth="1"/>
    <col min="7" max="7" width="15.85546875" style="3" customWidth="1"/>
    <col min="8" max="8" width="17.140625" style="3" customWidth="1"/>
    <col min="9" max="9" width="15.85546875" style="3" customWidth="1"/>
    <col min="10" max="13" width="15.85546875" style="3" bestFit="1" customWidth="1"/>
    <col min="14" max="15" width="15.42578125" style="3" bestFit="1" customWidth="1"/>
    <col min="16" max="18" width="15.85546875" style="3" bestFit="1" customWidth="1"/>
    <col min="19" max="19" width="14.5703125" style="3" bestFit="1" customWidth="1"/>
    <col min="20" max="23" width="11.5703125" style="3" bestFit="1" customWidth="1"/>
    <col min="24" max="24" width="15.42578125" style="3" customWidth="1"/>
    <col min="25" max="28" width="11.5703125" style="3" bestFit="1" customWidth="1"/>
    <col min="29" max="29" width="15" style="3" bestFit="1" customWidth="1"/>
    <col min="30" max="33" width="11.5703125" style="3" bestFit="1" customWidth="1"/>
    <col min="34" max="34" width="13.140625" style="3" bestFit="1" customWidth="1"/>
    <col min="35" max="16384" width="11.42578125" style="3"/>
  </cols>
  <sheetData>
    <row r="1" spans="2:34" x14ac:dyDescent="0.25">
      <c r="B1" s="3" t="s">
        <v>32</v>
      </c>
      <c r="D1" s="100">
        <v>0.1</v>
      </c>
    </row>
    <row r="2" spans="2:34" x14ac:dyDescent="0.25">
      <c r="B2" s="3" t="s">
        <v>33</v>
      </c>
      <c r="D2" s="100">
        <v>0.1</v>
      </c>
    </row>
    <row r="3" spans="2:34" x14ac:dyDescent="0.25">
      <c r="B3" s="3" t="s">
        <v>34</v>
      </c>
      <c r="D3" s="100">
        <v>0.2</v>
      </c>
    </row>
    <row r="6" spans="2:34" x14ac:dyDescent="0.25">
      <c r="B6" s="10" t="s">
        <v>0</v>
      </c>
      <c r="C6" s="10">
        <v>1999</v>
      </c>
      <c r="D6" s="10">
        <v>2000</v>
      </c>
      <c r="E6" s="10">
        <v>2001</v>
      </c>
      <c r="F6" s="10">
        <v>2002</v>
      </c>
      <c r="G6" s="10">
        <v>2003</v>
      </c>
      <c r="H6" s="10">
        <v>2004</v>
      </c>
      <c r="I6" s="10">
        <v>2005</v>
      </c>
      <c r="J6" s="10">
        <v>2006</v>
      </c>
      <c r="K6" s="10">
        <v>2007</v>
      </c>
      <c r="L6" s="10">
        <v>2008</v>
      </c>
      <c r="M6" s="10">
        <v>2009</v>
      </c>
      <c r="N6" s="10">
        <v>2010</v>
      </c>
      <c r="O6" s="10">
        <v>2011</v>
      </c>
      <c r="P6" s="10">
        <v>2012</v>
      </c>
      <c r="Q6" s="10">
        <v>2013</v>
      </c>
      <c r="R6" s="10">
        <v>2014</v>
      </c>
      <c r="S6" s="10">
        <v>2015</v>
      </c>
      <c r="T6" s="10">
        <v>2016</v>
      </c>
      <c r="U6" s="10">
        <v>2017</v>
      </c>
      <c r="V6" s="10">
        <v>2018</v>
      </c>
      <c r="W6" s="10">
        <v>2019</v>
      </c>
      <c r="X6" s="10">
        <v>2020</v>
      </c>
      <c r="Y6" s="10">
        <v>2021</v>
      </c>
      <c r="Z6" s="10">
        <v>2022</v>
      </c>
      <c r="AA6" s="10">
        <v>2023</v>
      </c>
      <c r="AB6" s="10">
        <v>2024</v>
      </c>
      <c r="AC6" s="10">
        <v>2025</v>
      </c>
      <c r="AD6" s="10">
        <v>2026</v>
      </c>
      <c r="AE6" s="10">
        <v>2027</v>
      </c>
      <c r="AF6" s="10">
        <v>2028</v>
      </c>
      <c r="AG6" s="10">
        <v>2029</v>
      </c>
      <c r="AH6" s="10">
        <v>2030</v>
      </c>
    </row>
    <row r="7" spans="2:34" x14ac:dyDescent="0.25">
      <c r="B7" s="1" t="s">
        <v>1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>
        <v>0</v>
      </c>
      <c r="AD7" s="1"/>
      <c r="AE7" s="1"/>
      <c r="AF7" s="1"/>
      <c r="AG7" s="1"/>
      <c r="AH7" s="1">
        <v>0</v>
      </c>
    </row>
    <row r="8" spans="2:34" x14ac:dyDescent="0.25">
      <c r="B8" s="1" t="s">
        <v>3</v>
      </c>
      <c r="C8" s="2">
        <v>150866.78554714104</v>
      </c>
      <c r="D8" s="2">
        <v>151004.78522356719</v>
      </c>
      <c r="E8" s="2">
        <v>165571.43304554812</v>
      </c>
      <c r="F8" s="2">
        <v>165067.79967826148</v>
      </c>
      <c r="G8" s="2">
        <v>167441.14608541472</v>
      </c>
      <c r="H8" s="2">
        <v>162233.19124730738</v>
      </c>
      <c r="I8" s="2">
        <v>158318.83697064655</v>
      </c>
      <c r="J8" s="2">
        <v>156165.54596364562</v>
      </c>
      <c r="K8" s="2">
        <v>168488.0972002284</v>
      </c>
      <c r="L8" s="2">
        <v>177015.96736931268</v>
      </c>
      <c r="M8" s="2">
        <v>190543.79386270975</v>
      </c>
      <c r="N8" s="2">
        <v>187219.19357017663</v>
      </c>
      <c r="O8" s="2">
        <v>183210.58889044492</v>
      </c>
      <c r="P8" s="2">
        <v>181877.23505226456</v>
      </c>
      <c r="Q8" s="2">
        <v>172681</v>
      </c>
      <c r="R8" s="2">
        <v>179670</v>
      </c>
      <c r="S8" s="2"/>
      <c r="T8" s="2"/>
      <c r="U8" s="2"/>
      <c r="V8" s="2"/>
      <c r="W8" s="2"/>
      <c r="X8" s="2">
        <v>84467.5</v>
      </c>
      <c r="Y8" s="2"/>
      <c r="Z8" s="2"/>
      <c r="AA8" s="2"/>
      <c r="AB8" s="2"/>
      <c r="AC8" s="2">
        <v>67094</v>
      </c>
      <c r="AD8" s="2"/>
      <c r="AE8" s="2"/>
      <c r="AF8" s="2"/>
      <c r="AG8" s="2"/>
      <c r="AH8" s="2">
        <v>15840</v>
      </c>
    </row>
    <row r="9" spans="2:34" x14ac:dyDescent="0.25">
      <c r="B9" s="1" t="s">
        <v>4</v>
      </c>
      <c r="C9" s="2">
        <v>1799596.7084041026</v>
      </c>
      <c r="D9" s="2">
        <v>1801242.8213146194</v>
      </c>
      <c r="E9" s="2">
        <v>1974999.3667188932</v>
      </c>
      <c r="F9" s="2">
        <v>1968991.8353280404</v>
      </c>
      <c r="G9" s="2">
        <v>1997302.0188235396</v>
      </c>
      <c r="H9" s="2">
        <v>1935179.5420292907</v>
      </c>
      <c r="I9" s="2">
        <v>1888487.6273957333</v>
      </c>
      <c r="J9" s="2">
        <v>1862802.3488608883</v>
      </c>
      <c r="K9" s="2">
        <v>2009790.4520677805</v>
      </c>
      <c r="L9" s="2">
        <v>2111514.1484421971</v>
      </c>
      <c r="M9" s="2">
        <v>2272879.2358011524</v>
      </c>
      <c r="N9" s="2">
        <v>2233222.1322080465</v>
      </c>
      <c r="O9" s="2">
        <v>2185405.9627259681</v>
      </c>
      <c r="P9" s="2">
        <v>2169501.208279022</v>
      </c>
      <c r="Q9" s="2">
        <v>2059805</v>
      </c>
      <c r="R9" s="2">
        <v>1954483.03</v>
      </c>
      <c r="S9" s="2"/>
      <c r="T9" s="2"/>
      <c r="U9" s="2"/>
      <c r="V9" s="2"/>
      <c r="W9" s="2"/>
      <c r="X9" s="2">
        <v>1167933.8149999999</v>
      </c>
      <c r="Y9" s="2"/>
      <c r="Z9" s="2"/>
      <c r="AA9" s="2"/>
      <c r="AB9" s="2"/>
      <c r="AC9" s="2">
        <v>893331.12000000011</v>
      </c>
      <c r="AD9" s="2"/>
      <c r="AE9" s="2"/>
      <c r="AF9" s="2"/>
      <c r="AG9" s="2"/>
      <c r="AH9" s="2">
        <v>593939.10400000005</v>
      </c>
    </row>
    <row r="10" spans="2:34" x14ac:dyDescent="0.25">
      <c r="B10" s="1" t="s">
        <v>5</v>
      </c>
      <c r="C10" s="2">
        <v>167927.00480333614</v>
      </c>
      <c r="D10" s="2">
        <v>168080.60966899313</v>
      </c>
      <c r="E10" s="2">
        <v>184294.47364109955</v>
      </c>
      <c r="F10" s="2">
        <v>183733.88873448313</v>
      </c>
      <c r="G10" s="2">
        <v>186375.61634913739</v>
      </c>
      <c r="H10" s="2">
        <v>180578.73896527386</v>
      </c>
      <c r="I10" s="2">
        <v>176221.74423621609</v>
      </c>
      <c r="J10" s="2">
        <v>173824.95618267439</v>
      </c>
      <c r="K10" s="2">
        <v>187540.95810576438</v>
      </c>
      <c r="L10" s="2">
        <v>197033.17131659447</v>
      </c>
      <c r="M10" s="2">
        <v>212090.74264547759</v>
      </c>
      <c r="N10" s="2">
        <v>208390.19207519363</v>
      </c>
      <c r="O10" s="2">
        <v>203928.28898057481</v>
      </c>
      <c r="P10" s="2">
        <v>202444.1576949732</v>
      </c>
      <c r="Q10" s="2">
        <v>192208</v>
      </c>
      <c r="R10" s="2">
        <v>177813.41</v>
      </c>
      <c r="S10" s="2"/>
      <c r="T10" s="2"/>
      <c r="U10" s="2"/>
      <c r="V10" s="2"/>
      <c r="W10" s="2"/>
      <c r="X10" s="2">
        <v>57085.057500000003</v>
      </c>
      <c r="Y10" s="2"/>
      <c r="Z10" s="2"/>
      <c r="AA10" s="2"/>
      <c r="AB10" s="2"/>
      <c r="AC10" s="2">
        <v>51055.62</v>
      </c>
      <c r="AD10" s="2"/>
      <c r="AE10" s="2"/>
      <c r="AF10" s="2"/>
      <c r="AG10" s="2"/>
      <c r="AH10" s="2">
        <v>44880</v>
      </c>
    </row>
    <row r="11" spans="2:34" x14ac:dyDescent="0.25">
      <c r="B11" s="1" t="s">
        <v>6</v>
      </c>
      <c r="C11" s="2">
        <v>18417.033948921613</v>
      </c>
      <c r="D11" s="2">
        <v>18433.880232989133</v>
      </c>
      <c r="E11" s="2">
        <v>20212.100975788617</v>
      </c>
      <c r="F11" s="2">
        <v>20150.620028942107</v>
      </c>
      <c r="G11" s="2">
        <v>20440.34583700895</v>
      </c>
      <c r="H11" s="2">
        <v>19804.585747669051</v>
      </c>
      <c r="I11" s="2">
        <v>19326.741699093873</v>
      </c>
      <c r="J11" s="2">
        <v>19063.87911185162</v>
      </c>
      <c r="K11" s="2">
        <v>20568.152193818743</v>
      </c>
      <c r="L11" s="2">
        <v>21609.190311297196</v>
      </c>
      <c r="M11" s="2">
        <v>23260.597139383724</v>
      </c>
      <c r="N11" s="2">
        <v>22854.74719546055</v>
      </c>
      <c r="O11" s="2">
        <v>22365.397546983044</v>
      </c>
      <c r="P11" s="2">
        <v>22202.62863257531</v>
      </c>
      <c r="Q11" s="2">
        <v>21080</v>
      </c>
      <c r="R11" s="2">
        <v>4520</v>
      </c>
      <c r="S11" s="2"/>
      <c r="T11" s="2"/>
      <c r="U11" s="2"/>
      <c r="V11" s="2"/>
      <c r="W11" s="2"/>
      <c r="X11" s="2">
        <v>3390</v>
      </c>
      <c r="Y11" s="2"/>
      <c r="Z11" s="2"/>
      <c r="AA11" s="2"/>
      <c r="AB11" s="2"/>
      <c r="AC11" s="2">
        <v>2640</v>
      </c>
      <c r="AD11" s="2"/>
      <c r="AE11" s="2"/>
      <c r="AF11" s="2"/>
      <c r="AG11" s="2"/>
      <c r="AH11" s="2">
        <v>2376</v>
      </c>
    </row>
    <row r="12" spans="2:34" x14ac:dyDescent="0.25">
      <c r="B12" s="1" t="s">
        <v>7</v>
      </c>
      <c r="C12" s="2">
        <v>18831.155110771178</v>
      </c>
      <c r="D12" s="2">
        <v>18848.38019648234</v>
      </c>
      <c r="E12" s="2">
        <v>20666.585599247999</v>
      </c>
      <c r="F12" s="2">
        <v>20603.722206063478</v>
      </c>
      <c r="G12" s="2">
        <v>20899.962721579261</v>
      </c>
      <c r="H12" s="2">
        <v>20249.907078048327</v>
      </c>
      <c r="I12" s="2">
        <v>19761.318338817331</v>
      </c>
      <c r="J12" s="2">
        <v>19492.545084290789</v>
      </c>
      <c r="K12" s="2">
        <v>21030.642902541229</v>
      </c>
      <c r="L12" s="2">
        <v>22095.089562129968</v>
      </c>
      <c r="M12" s="2">
        <v>23783.629541853737</v>
      </c>
      <c r="N12" s="2">
        <v>23368.653750045381</v>
      </c>
      <c r="O12" s="2">
        <v>22868.300698656189</v>
      </c>
      <c r="P12" s="2">
        <v>22701.871800119934</v>
      </c>
      <c r="Q12" s="2">
        <v>21554</v>
      </c>
      <c r="R12" s="2">
        <v>7910</v>
      </c>
      <c r="S12" s="2"/>
      <c r="T12" s="2"/>
      <c r="U12" s="2"/>
      <c r="V12" s="2"/>
      <c r="W12" s="2"/>
      <c r="X12" s="2">
        <v>5932.5</v>
      </c>
      <c r="Y12" s="2"/>
      <c r="Z12" s="2"/>
      <c r="AA12" s="2"/>
      <c r="AB12" s="2"/>
      <c r="AC12" s="2">
        <v>4620</v>
      </c>
      <c r="AD12" s="2"/>
      <c r="AE12" s="2"/>
      <c r="AF12" s="2"/>
      <c r="AG12" s="2"/>
      <c r="AH12" s="2">
        <v>0</v>
      </c>
    </row>
    <row r="13" spans="2:34" x14ac:dyDescent="0.25">
      <c r="B13" s="1" t="s">
        <v>8</v>
      </c>
      <c r="C13" s="2">
        <v>1135.7753384059818</v>
      </c>
      <c r="D13" s="2">
        <v>1136.8142458674513</v>
      </c>
      <c r="E13" s="2">
        <v>1246.4768153949335</v>
      </c>
      <c r="F13" s="2">
        <v>1242.6852959025016</v>
      </c>
      <c r="G13" s="2">
        <v>1260.5526370071932</v>
      </c>
      <c r="H13" s="2">
        <v>1221.3454208714311</v>
      </c>
      <c r="I13" s="2">
        <v>1191.8768600010453</v>
      </c>
      <c r="J13" s="2">
        <v>1175.6661691369595</v>
      </c>
      <c r="K13" s="2">
        <v>1268.4344332051405</v>
      </c>
      <c r="L13" s="2">
        <v>1332.6350761236411</v>
      </c>
      <c r="M13" s="2">
        <v>1434.4770531878009</v>
      </c>
      <c r="N13" s="2">
        <v>1409.4483564562956</v>
      </c>
      <c r="O13" s="2">
        <v>1379.2702472048366</v>
      </c>
      <c r="P13" s="2">
        <v>1369.2323160506594</v>
      </c>
      <c r="Q13" s="2">
        <v>1300</v>
      </c>
      <c r="R13" s="2">
        <v>44070</v>
      </c>
      <c r="S13" s="2"/>
      <c r="T13" s="2"/>
      <c r="U13" s="2"/>
      <c r="V13" s="2"/>
      <c r="W13" s="2"/>
      <c r="X13" s="2">
        <v>33052.5</v>
      </c>
      <c r="Y13" s="2"/>
      <c r="Z13" s="2"/>
      <c r="AA13" s="2"/>
      <c r="AB13" s="2"/>
      <c r="AC13" s="2">
        <v>25740</v>
      </c>
      <c r="AD13" s="2"/>
      <c r="AE13" s="2"/>
      <c r="AF13" s="2"/>
      <c r="AG13" s="2"/>
      <c r="AH13" s="2">
        <v>23166</v>
      </c>
    </row>
    <row r="14" spans="2:34" x14ac:dyDescent="0.25">
      <c r="B14" s="1" t="s">
        <v>9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>
        <v>0</v>
      </c>
      <c r="S14" s="2"/>
      <c r="T14" s="2"/>
      <c r="U14" s="2"/>
      <c r="V14" s="2"/>
      <c r="W14" s="2"/>
      <c r="X14" s="2">
        <v>0</v>
      </c>
      <c r="Y14" s="2"/>
      <c r="Z14" s="2"/>
      <c r="AA14" s="2"/>
      <c r="AB14" s="2"/>
      <c r="AC14" s="2">
        <v>0</v>
      </c>
      <c r="AD14" s="2"/>
      <c r="AE14" s="2"/>
      <c r="AF14" s="2"/>
      <c r="AG14" s="2"/>
      <c r="AH14" s="2">
        <v>0</v>
      </c>
    </row>
    <row r="15" spans="2:34" x14ac:dyDescent="0.25">
      <c r="B15" s="1" t="s">
        <v>18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>
        <v>56500</v>
      </c>
      <c r="S15" s="2"/>
      <c r="T15" s="2"/>
      <c r="U15" s="2"/>
      <c r="V15" s="2"/>
      <c r="W15" s="2"/>
      <c r="X15" s="2">
        <v>42375</v>
      </c>
      <c r="Y15" s="2"/>
      <c r="Z15" s="2"/>
      <c r="AA15" s="2"/>
      <c r="AB15" s="2"/>
      <c r="AC15" s="2">
        <v>33000</v>
      </c>
      <c r="AD15" s="2"/>
      <c r="AE15" s="2"/>
      <c r="AF15" s="2"/>
      <c r="AG15" s="2"/>
      <c r="AH15" s="2">
        <v>29700</v>
      </c>
    </row>
    <row r="16" spans="2:34" x14ac:dyDescent="0.25">
      <c r="B16" s="1" t="s">
        <v>10</v>
      </c>
      <c r="C16" s="4">
        <f t="shared" ref="C16:R16" si="0">+SUM(C8:C14)</f>
        <v>2156774.4631526787</v>
      </c>
      <c r="D16" s="4">
        <f t="shared" si="0"/>
        <v>2158747.290882519</v>
      </c>
      <c r="E16" s="4">
        <f t="shared" si="0"/>
        <v>2366990.4367959723</v>
      </c>
      <c r="F16" s="4">
        <f t="shared" si="0"/>
        <v>2359790.5512716933</v>
      </c>
      <c r="G16" s="4">
        <f t="shared" si="0"/>
        <v>2393719.6424536873</v>
      </c>
      <c r="H16" s="4">
        <f t="shared" si="0"/>
        <v>2319267.3104884606</v>
      </c>
      <c r="I16" s="4">
        <f t="shared" si="0"/>
        <v>2263308.1455005086</v>
      </c>
      <c r="J16" s="4">
        <f t="shared" si="0"/>
        <v>2232524.9413724872</v>
      </c>
      <c r="K16" s="4">
        <f t="shared" si="0"/>
        <v>2408686.7369033387</v>
      </c>
      <c r="L16" s="4">
        <f t="shared" si="0"/>
        <v>2530600.2020776556</v>
      </c>
      <c r="M16" s="4">
        <f t="shared" si="0"/>
        <v>2723992.476043765</v>
      </c>
      <c r="N16" s="4">
        <f t="shared" si="0"/>
        <v>2676464.3671553782</v>
      </c>
      <c r="O16" s="4">
        <f t="shared" si="0"/>
        <v>2619157.8090898315</v>
      </c>
      <c r="P16" s="4">
        <f t="shared" si="0"/>
        <v>2600096.3337750058</v>
      </c>
      <c r="Q16" s="4">
        <f t="shared" si="0"/>
        <v>2468628</v>
      </c>
      <c r="R16" s="4">
        <f t="shared" si="0"/>
        <v>2368466.4400000004</v>
      </c>
      <c r="S16" s="4"/>
      <c r="T16" s="2"/>
      <c r="U16" s="2"/>
      <c r="V16" s="2"/>
      <c r="W16" s="2"/>
      <c r="X16" s="17">
        <f>SUM(X7:X15)</f>
        <v>1394236.3725000001</v>
      </c>
      <c r="Y16" s="2"/>
      <c r="Z16" s="2"/>
      <c r="AA16" s="2"/>
      <c r="AB16" s="2"/>
      <c r="AC16" s="17">
        <f>SUM(AC7:AC15)</f>
        <v>1077480.7400000002</v>
      </c>
      <c r="AD16" s="2"/>
      <c r="AE16" s="2"/>
      <c r="AF16" s="2"/>
      <c r="AG16" s="2"/>
      <c r="AH16" s="17">
        <f>SUM(AH7:AH15)</f>
        <v>709901.10400000005</v>
      </c>
    </row>
    <row r="17" spans="2:34" s="6" customFormat="1" x14ac:dyDescent="0.25">
      <c r="B17" s="5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</row>
    <row r="18" spans="2:34" s="6" customFormat="1" x14ac:dyDescent="0.25">
      <c r="B18" s="8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</row>
    <row r="19" spans="2:34" x14ac:dyDescent="0.25">
      <c r="B19" s="10" t="s">
        <v>15</v>
      </c>
      <c r="C19" s="10">
        <v>1999</v>
      </c>
      <c r="D19" s="10">
        <v>2000</v>
      </c>
      <c r="E19" s="10">
        <v>2001</v>
      </c>
      <c r="F19" s="10">
        <v>2002</v>
      </c>
      <c r="G19" s="10">
        <v>2003</v>
      </c>
      <c r="H19" s="10">
        <v>2004</v>
      </c>
      <c r="I19" s="10">
        <v>2005</v>
      </c>
      <c r="J19" s="10">
        <v>2006</v>
      </c>
      <c r="K19" s="10">
        <v>2007</v>
      </c>
      <c r="L19" s="10">
        <v>2008</v>
      </c>
      <c r="M19" s="10">
        <v>2009</v>
      </c>
      <c r="N19" s="10">
        <v>2010</v>
      </c>
      <c r="O19" s="10">
        <v>2011</v>
      </c>
      <c r="P19" s="10">
        <v>2012</v>
      </c>
      <c r="Q19" s="10">
        <v>2013</v>
      </c>
      <c r="R19" s="10">
        <v>2014</v>
      </c>
      <c r="S19" s="15">
        <v>2015</v>
      </c>
      <c r="T19" s="10">
        <v>2016</v>
      </c>
      <c r="U19" s="10">
        <v>2017</v>
      </c>
      <c r="V19" s="10">
        <v>2018</v>
      </c>
      <c r="W19" s="10">
        <v>2019</v>
      </c>
      <c r="X19" s="15">
        <v>2020</v>
      </c>
      <c r="Y19" s="10">
        <v>2021</v>
      </c>
      <c r="Z19" s="10">
        <v>2022</v>
      </c>
      <c r="AA19" s="10">
        <v>2023</v>
      </c>
      <c r="AB19" s="10">
        <v>2024</v>
      </c>
      <c r="AC19" s="15">
        <v>2025</v>
      </c>
      <c r="AD19" s="10">
        <v>2026</v>
      </c>
      <c r="AE19" s="10">
        <v>2027</v>
      </c>
      <c r="AF19" s="10">
        <v>2028</v>
      </c>
      <c r="AG19" s="10">
        <v>2029</v>
      </c>
      <c r="AH19" s="15">
        <v>2030</v>
      </c>
    </row>
    <row r="20" spans="2:34" x14ac:dyDescent="0.25">
      <c r="B20" s="1" t="s">
        <v>16</v>
      </c>
      <c r="C20" s="2">
        <v>3311</v>
      </c>
      <c r="D20" s="2">
        <v>3602</v>
      </c>
      <c r="E20" s="2">
        <v>3660</v>
      </c>
      <c r="F20" s="2">
        <v>3840</v>
      </c>
      <c r="G20" s="2">
        <v>4479</v>
      </c>
      <c r="H20" s="2">
        <v>4618</v>
      </c>
      <c r="I20" s="2">
        <v>5009</v>
      </c>
      <c r="J20" s="2">
        <v>5027</v>
      </c>
      <c r="K20" s="2">
        <v>4775</v>
      </c>
      <c r="L20" s="2">
        <v>4858</v>
      </c>
      <c r="M20" s="2">
        <v>5077</v>
      </c>
      <c r="N20" s="2">
        <v>5164</v>
      </c>
      <c r="O20" s="2">
        <v>5277</v>
      </c>
      <c r="P20" s="2">
        <v>5245</v>
      </c>
      <c r="Q20" s="2">
        <v>5422</v>
      </c>
      <c r="R20" s="2">
        <v>5741</v>
      </c>
      <c r="S20" s="16"/>
      <c r="T20" s="2"/>
      <c r="U20" s="2"/>
      <c r="V20" s="2"/>
      <c r="W20" s="2"/>
      <c r="X20" s="16"/>
      <c r="Y20" s="2"/>
      <c r="Z20" s="2"/>
      <c r="AA20" s="2"/>
      <c r="AB20" s="2"/>
      <c r="AC20" s="16"/>
      <c r="AD20" s="2"/>
      <c r="AE20" s="2"/>
      <c r="AF20" s="2"/>
      <c r="AG20" s="2"/>
      <c r="AH20" s="16"/>
    </row>
    <row r="21" spans="2:34" x14ac:dyDescent="0.25">
      <c r="B21" s="1" t="s">
        <v>27</v>
      </c>
      <c r="C21" s="2">
        <v>381</v>
      </c>
      <c r="D21" s="2">
        <v>529</v>
      </c>
      <c r="E21" s="2">
        <v>559</v>
      </c>
      <c r="F21" s="2">
        <v>522</v>
      </c>
      <c r="G21" s="2">
        <v>488</v>
      </c>
      <c r="H21" s="2">
        <v>340</v>
      </c>
      <c r="I21" s="2">
        <v>552</v>
      </c>
      <c r="J21" s="2">
        <v>607</v>
      </c>
      <c r="K21" s="2">
        <v>1285</v>
      </c>
      <c r="L21" s="2">
        <v>2399</v>
      </c>
      <c r="M21" s="2">
        <v>1872</v>
      </c>
      <c r="N21" s="2">
        <v>2644</v>
      </c>
      <c r="O21" s="2">
        <v>3164</v>
      </c>
      <c r="P21" s="2">
        <v>3211</v>
      </c>
      <c r="Q21" s="2">
        <v>2834</v>
      </c>
      <c r="R21" s="2">
        <v>2514.645</v>
      </c>
      <c r="S21" s="16"/>
      <c r="T21" s="2"/>
      <c r="U21" s="2"/>
      <c r="V21" s="2"/>
      <c r="W21" s="2"/>
      <c r="X21" s="16"/>
      <c r="Y21" s="2"/>
      <c r="Z21" s="2"/>
      <c r="AA21" s="2"/>
      <c r="AB21" s="2"/>
      <c r="AC21" s="16"/>
      <c r="AD21" s="2"/>
      <c r="AE21" s="2"/>
      <c r="AF21" s="2"/>
      <c r="AG21" s="2"/>
      <c r="AH21" s="16"/>
    </row>
    <row r="22" spans="2:34" x14ac:dyDescent="0.25">
      <c r="B22" s="12" t="s">
        <v>17</v>
      </c>
      <c r="C22" s="4">
        <f t="shared" ref="C22:R22" si="1">SUM(C20:C21)</f>
        <v>3692</v>
      </c>
      <c r="D22" s="4">
        <f t="shared" si="1"/>
        <v>4131</v>
      </c>
      <c r="E22" s="4">
        <f t="shared" si="1"/>
        <v>4219</v>
      </c>
      <c r="F22" s="4">
        <f t="shared" si="1"/>
        <v>4362</v>
      </c>
      <c r="G22" s="4">
        <f t="shared" si="1"/>
        <v>4967</v>
      </c>
      <c r="H22" s="4">
        <f t="shared" si="1"/>
        <v>4958</v>
      </c>
      <c r="I22" s="4">
        <f t="shared" si="1"/>
        <v>5561</v>
      </c>
      <c r="J22" s="4">
        <f t="shared" si="1"/>
        <v>5634</v>
      </c>
      <c r="K22" s="4">
        <f t="shared" si="1"/>
        <v>6060</v>
      </c>
      <c r="L22" s="4">
        <f t="shared" si="1"/>
        <v>7257</v>
      </c>
      <c r="M22" s="4">
        <f t="shared" si="1"/>
        <v>6949</v>
      </c>
      <c r="N22" s="4">
        <f t="shared" si="1"/>
        <v>7808</v>
      </c>
      <c r="O22" s="4">
        <f t="shared" si="1"/>
        <v>8441</v>
      </c>
      <c r="P22" s="4">
        <f t="shared" si="1"/>
        <v>8456</v>
      </c>
      <c r="Q22" s="4">
        <f t="shared" si="1"/>
        <v>8256</v>
      </c>
      <c r="R22" s="4">
        <f t="shared" si="1"/>
        <v>8255.6450000000004</v>
      </c>
      <c r="S22" s="16"/>
      <c r="T22" s="2"/>
      <c r="U22" s="2"/>
      <c r="V22" s="2"/>
      <c r="W22" s="2"/>
      <c r="X22" s="16"/>
      <c r="Y22" s="2"/>
      <c r="Z22" s="2"/>
      <c r="AA22" s="2"/>
      <c r="AB22" s="2"/>
      <c r="AC22" s="16"/>
      <c r="AD22" s="2"/>
      <c r="AE22" s="2"/>
      <c r="AF22" s="2"/>
      <c r="AG22" s="2"/>
      <c r="AH22" s="16"/>
    </row>
    <row r="23" spans="2:34" x14ac:dyDescent="0.25">
      <c r="B23" s="12" t="s">
        <v>28</v>
      </c>
      <c r="C23" s="39">
        <f t="shared" ref="C23:R23" si="2">+C22*1000/C16</f>
        <v>1.7118155203874195</v>
      </c>
      <c r="D23" s="39">
        <f t="shared" si="2"/>
        <v>1.9136098131760495</v>
      </c>
      <c r="E23" s="39">
        <f t="shared" si="2"/>
        <v>1.7824322119826399</v>
      </c>
      <c r="F23" s="39">
        <f t="shared" si="2"/>
        <v>1.8484691353854747</v>
      </c>
      <c r="G23" s="39">
        <f t="shared" si="2"/>
        <v>2.0750132604955218</v>
      </c>
      <c r="H23" s="39">
        <f t="shared" si="2"/>
        <v>2.1377440959816729</v>
      </c>
      <c r="I23" s="39">
        <f t="shared" si="2"/>
        <v>2.4570229250733506</v>
      </c>
      <c r="J23" s="39">
        <f t="shared" si="2"/>
        <v>2.5236000259582281</v>
      </c>
      <c r="K23" s="39">
        <f t="shared" si="2"/>
        <v>2.515893788575791</v>
      </c>
      <c r="L23" s="39">
        <f t="shared" si="2"/>
        <v>2.8676991308393593</v>
      </c>
      <c r="M23" s="39">
        <f t="shared" si="2"/>
        <v>2.5510349463565678</v>
      </c>
      <c r="N23" s="39">
        <f t="shared" si="2"/>
        <v>2.9172815060857928</v>
      </c>
      <c r="O23" s="39">
        <f t="shared" si="2"/>
        <v>3.2227916816258135</v>
      </c>
      <c r="P23" s="39">
        <f t="shared" si="2"/>
        <v>3.2521871940502201</v>
      </c>
      <c r="Q23" s="39">
        <f t="shared" si="2"/>
        <v>3.3443678026822998</v>
      </c>
      <c r="R23" s="39">
        <f t="shared" si="2"/>
        <v>3.4856499803307317</v>
      </c>
      <c r="S23" s="16"/>
      <c r="T23" s="2"/>
      <c r="U23" s="2"/>
      <c r="V23" s="2"/>
      <c r="W23" s="2"/>
      <c r="X23" s="16"/>
      <c r="Y23" s="2"/>
      <c r="Z23" s="2"/>
      <c r="AA23" s="2"/>
      <c r="AB23" s="2"/>
      <c r="AC23" s="16"/>
      <c r="AD23" s="2"/>
      <c r="AE23" s="2"/>
      <c r="AF23" s="2"/>
      <c r="AG23" s="2"/>
      <c r="AH23" s="16"/>
    </row>
    <row r="24" spans="2:34" x14ac:dyDescent="0.25"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</row>
    <row r="46" spans="3:13" ht="15.75" thickBot="1" x14ac:dyDescent="0.3"/>
    <row r="47" spans="3:13" ht="30.75" thickBot="1" x14ac:dyDescent="0.3">
      <c r="C47" s="66" t="s">
        <v>11</v>
      </c>
      <c r="D47" s="67" t="s">
        <v>19</v>
      </c>
      <c r="E47" s="67" t="s">
        <v>20</v>
      </c>
      <c r="F47" s="67" t="s">
        <v>21</v>
      </c>
      <c r="G47" s="68" t="s">
        <v>26</v>
      </c>
      <c r="I47" s="168" t="s">
        <v>11</v>
      </c>
      <c r="J47" s="169" t="s">
        <v>19</v>
      </c>
      <c r="K47" s="170" t="s">
        <v>29</v>
      </c>
      <c r="L47" s="170" t="s">
        <v>30</v>
      </c>
      <c r="M47" s="171" t="s">
        <v>31</v>
      </c>
    </row>
    <row r="48" spans="3:13" ht="15.75" thickBot="1" x14ac:dyDescent="0.3">
      <c r="C48" s="47">
        <v>1999</v>
      </c>
      <c r="D48" s="48">
        <v>1.7118155203874195</v>
      </c>
      <c r="E48" s="49">
        <v>2191759</v>
      </c>
      <c r="F48" s="49">
        <f t="shared" ref="F48:F79" si="3">+E48*D48</f>
        <v>3751887.0731488103</v>
      </c>
      <c r="G48" s="50">
        <v>3311000</v>
      </c>
      <c r="I48" s="74">
        <v>2014</v>
      </c>
      <c r="J48" s="76">
        <v>3.4044368053192517</v>
      </c>
      <c r="K48" s="77">
        <v>2368466.4400000004</v>
      </c>
      <c r="L48" s="77">
        <v>8063294.320499463</v>
      </c>
      <c r="M48" s="78">
        <v>5741000</v>
      </c>
    </row>
    <row r="49" spans="3:13" x14ac:dyDescent="0.25">
      <c r="C49" s="51">
        <v>2000</v>
      </c>
      <c r="D49" s="52">
        <v>1.9136098131760495</v>
      </c>
      <c r="E49" s="53">
        <v>2193763</v>
      </c>
      <c r="F49" s="53">
        <f t="shared" si="3"/>
        <v>4198006.4045825303</v>
      </c>
      <c r="G49" s="54">
        <v>3602000</v>
      </c>
      <c r="I49" s="59">
        <v>2020</v>
      </c>
      <c r="J49" s="72">
        <f t="shared" ref="J49:J51" si="4">0.1191*I49-236.51</f>
        <v>4.0720000000000027</v>
      </c>
      <c r="K49" s="75">
        <v>1394236.3725000001</v>
      </c>
      <c r="L49" s="60">
        <f t="shared" ref="L49:L51" si="5">+K49*J49</f>
        <v>5677330.5088200038</v>
      </c>
      <c r="M49" s="73">
        <v>5850870</v>
      </c>
    </row>
    <row r="50" spans="3:13" x14ac:dyDescent="0.25">
      <c r="C50" s="51">
        <v>2001</v>
      </c>
      <c r="D50" s="52">
        <v>1.7824322119826399</v>
      </c>
      <c r="E50" s="53">
        <v>2405192</v>
      </c>
      <c r="F50" s="53">
        <f t="shared" si="3"/>
        <v>4287091.6968029495</v>
      </c>
      <c r="G50" s="54">
        <v>3660000</v>
      </c>
      <c r="I50" s="41">
        <v>2025</v>
      </c>
      <c r="J50" s="45">
        <f t="shared" si="4"/>
        <v>4.6675000000000182</v>
      </c>
      <c r="K50" s="46">
        <v>1077480.7400000002</v>
      </c>
      <c r="L50" s="42">
        <f t="shared" si="5"/>
        <v>5029141.3539500209</v>
      </c>
      <c r="M50" s="69">
        <v>5850870</v>
      </c>
    </row>
    <row r="51" spans="3:13" ht="15.75" thickBot="1" x14ac:dyDescent="0.3">
      <c r="C51" s="51">
        <v>2002</v>
      </c>
      <c r="D51" s="52">
        <v>1.8484691353854747</v>
      </c>
      <c r="E51" s="53">
        <v>2397883</v>
      </c>
      <c r="F51" s="53">
        <f t="shared" si="3"/>
        <v>4432412.7157655284</v>
      </c>
      <c r="G51" s="54">
        <v>3840000</v>
      </c>
      <c r="I51" s="43">
        <v>2030</v>
      </c>
      <c r="J51" s="70">
        <f t="shared" si="4"/>
        <v>5.2630000000000052</v>
      </c>
      <c r="K51" s="61">
        <v>709901.10400000005</v>
      </c>
      <c r="L51" s="44">
        <f t="shared" si="5"/>
        <v>3736209.5103520039</v>
      </c>
      <c r="M51" s="71">
        <v>5850870</v>
      </c>
    </row>
    <row r="52" spans="3:13" x14ac:dyDescent="0.25">
      <c r="C52" s="51">
        <v>2003</v>
      </c>
      <c r="D52" s="52">
        <v>2.0750132604955218</v>
      </c>
      <c r="E52" s="53">
        <v>2432332</v>
      </c>
      <c r="F52" s="53">
        <f t="shared" si="3"/>
        <v>5047121.1539275935</v>
      </c>
      <c r="G52" s="54">
        <v>4479000</v>
      </c>
    </row>
    <row r="53" spans="3:13" ht="15.75" thickBot="1" x14ac:dyDescent="0.3">
      <c r="C53" s="51">
        <v>2004</v>
      </c>
      <c r="D53" s="52">
        <v>2.1377440959816729</v>
      </c>
      <c r="E53" s="53">
        <v>2356742</v>
      </c>
      <c r="F53" s="53">
        <f t="shared" si="3"/>
        <v>5038111.2962520402</v>
      </c>
      <c r="G53" s="54">
        <v>4618000</v>
      </c>
    </row>
    <row r="54" spans="3:13" ht="30.75" thickBot="1" x14ac:dyDescent="0.3">
      <c r="C54" s="51">
        <v>2005</v>
      </c>
      <c r="D54" s="52">
        <v>2.4570229250733506</v>
      </c>
      <c r="E54" s="53">
        <v>2299928</v>
      </c>
      <c r="F54" s="53">
        <f t="shared" si="3"/>
        <v>5650975.8220181009</v>
      </c>
      <c r="G54" s="54">
        <v>5009000</v>
      </c>
      <c r="I54" s="168" t="s">
        <v>11</v>
      </c>
      <c r="J54" s="157" t="s">
        <v>19</v>
      </c>
      <c r="K54" s="154" t="s">
        <v>29</v>
      </c>
      <c r="L54" s="158" t="s">
        <v>30</v>
      </c>
      <c r="M54" s="159" t="s">
        <v>31</v>
      </c>
    </row>
    <row r="55" spans="3:13" ht="15.75" thickBot="1" x14ac:dyDescent="0.3">
      <c r="C55" s="51">
        <v>2006</v>
      </c>
      <c r="D55" s="52">
        <v>2.5236000259582281</v>
      </c>
      <c r="E55" s="53">
        <v>2268675</v>
      </c>
      <c r="F55" s="53">
        <f t="shared" si="3"/>
        <v>5725228.2888907827</v>
      </c>
      <c r="G55" s="54">
        <v>5027000</v>
      </c>
      <c r="I55" s="74">
        <v>2014</v>
      </c>
      <c r="J55" s="172">
        <v>3.4044368053192517</v>
      </c>
      <c r="K55" s="192">
        <v>2368466.4400000004</v>
      </c>
      <c r="L55" s="187">
        <v>8063294.320499463</v>
      </c>
      <c r="M55" s="164">
        <v>5741000</v>
      </c>
    </row>
    <row r="56" spans="3:13" x14ac:dyDescent="0.25">
      <c r="C56" s="51">
        <v>2007</v>
      </c>
      <c r="D56" s="52">
        <v>2.515893788575791</v>
      </c>
      <c r="E56" s="53">
        <v>2447532</v>
      </c>
      <c r="F56" s="53">
        <f t="shared" si="3"/>
        <v>6157730.5561404834</v>
      </c>
      <c r="G56" s="54">
        <v>4775000</v>
      </c>
      <c r="I56" s="59">
        <v>2020</v>
      </c>
      <c r="J56" s="173">
        <f>D69</f>
        <v>5.1240000000000121</v>
      </c>
      <c r="K56" s="193">
        <f>E69</f>
        <v>1731576.0000000002</v>
      </c>
      <c r="L56" s="190">
        <f>+K56*J56</f>
        <v>8872595.4240000229</v>
      </c>
      <c r="M56" s="165">
        <f>G69</f>
        <v>6456692.0000000019</v>
      </c>
    </row>
    <row r="57" spans="3:13" x14ac:dyDescent="0.25">
      <c r="C57" s="51">
        <v>2008</v>
      </c>
      <c r="D57" s="52">
        <v>2.8676991308393593</v>
      </c>
      <c r="E57" s="53">
        <v>2571311</v>
      </c>
      <c r="F57" s="53">
        <f t="shared" si="3"/>
        <v>7373746.3198176837</v>
      </c>
      <c r="G57" s="54">
        <v>4858000</v>
      </c>
      <c r="I57" s="41">
        <v>2025</v>
      </c>
      <c r="J57" s="174">
        <f>D74</f>
        <v>5.8559999999999945</v>
      </c>
      <c r="K57" s="194">
        <f>E74</f>
        <v>1066542.4000000001</v>
      </c>
      <c r="L57" s="191">
        <f t="shared" ref="L56:L58" si="6">+K57*J57</f>
        <v>6245672.2943999954</v>
      </c>
      <c r="M57" s="166">
        <f>G74</f>
        <v>6456692.0000000019</v>
      </c>
    </row>
    <row r="58" spans="3:13" ht="15.75" thickBot="1" x14ac:dyDescent="0.3">
      <c r="C58" s="51">
        <v>2009</v>
      </c>
      <c r="D58" s="52">
        <v>2.5510349463565678</v>
      </c>
      <c r="E58" s="53">
        <v>2767662</v>
      </c>
      <c r="F58" s="53">
        <f t="shared" si="3"/>
        <v>7060402.481703111</v>
      </c>
      <c r="G58" s="54">
        <v>5077000</v>
      </c>
      <c r="I58" s="43">
        <v>2030</v>
      </c>
      <c r="J58" s="175">
        <f>D79</f>
        <v>6.5880000000000107</v>
      </c>
      <c r="K58" s="195">
        <f>E79</f>
        <v>804654.4</v>
      </c>
      <c r="L58" s="189">
        <f t="shared" si="6"/>
        <v>5301063.1872000089</v>
      </c>
      <c r="M58" s="167">
        <f>G79</f>
        <v>6456692.0000000019</v>
      </c>
    </row>
    <row r="59" spans="3:13" x14ac:dyDescent="0.25">
      <c r="C59" s="51">
        <v>2010</v>
      </c>
      <c r="D59" s="52">
        <v>2.9172815060857928</v>
      </c>
      <c r="E59" s="53">
        <v>2719408</v>
      </c>
      <c r="F59" s="53">
        <f t="shared" si="3"/>
        <v>7933278.6659017541</v>
      </c>
      <c r="G59" s="54">
        <v>5164000</v>
      </c>
    </row>
    <row r="60" spans="3:13" x14ac:dyDescent="0.25">
      <c r="C60" s="51">
        <v>2011</v>
      </c>
      <c r="D60" s="52">
        <v>3.2227916816258135</v>
      </c>
      <c r="E60" s="53">
        <v>2661226</v>
      </c>
      <c r="F60" s="53">
        <f t="shared" si="3"/>
        <v>8576577.0157263372</v>
      </c>
      <c r="G60" s="54">
        <v>5277000</v>
      </c>
    </row>
    <row r="61" spans="3:13" x14ac:dyDescent="0.25">
      <c r="C61" s="51">
        <v>2012</v>
      </c>
      <c r="D61" s="52">
        <v>3.2521871940502201</v>
      </c>
      <c r="E61" s="53">
        <v>2641874</v>
      </c>
      <c r="F61" s="53">
        <f t="shared" si="3"/>
        <v>8591868.7910942305</v>
      </c>
      <c r="G61" s="54">
        <v>5245000</v>
      </c>
      <c r="H61"/>
    </row>
    <row r="62" spans="3:13" x14ac:dyDescent="0.25">
      <c r="C62" s="51">
        <v>2013</v>
      </c>
      <c r="D62" s="52">
        <v>3.3443678026822998</v>
      </c>
      <c r="E62" s="53">
        <v>2508396</v>
      </c>
      <c r="F62" s="53">
        <f t="shared" si="3"/>
        <v>8388998.8187770694</v>
      </c>
      <c r="G62" s="54">
        <v>5422000</v>
      </c>
    </row>
    <row r="63" spans="3:13" ht="15.75" thickBot="1" x14ac:dyDescent="0.3">
      <c r="C63" s="55">
        <v>2014</v>
      </c>
      <c r="D63" s="56">
        <v>3.4044368053192517</v>
      </c>
      <c r="E63" s="57">
        <v>2368466.4400000004</v>
      </c>
      <c r="F63" s="79">
        <f t="shared" si="3"/>
        <v>8063294.320499463</v>
      </c>
      <c r="G63" s="58">
        <v>5741000</v>
      </c>
    </row>
    <row r="64" spans="3:13" x14ac:dyDescent="0.25">
      <c r="C64" s="176">
        <v>2015</v>
      </c>
      <c r="D64" s="177">
        <f t="shared" ref="D64:D79" si="7">(0.122*C64-242.17)*(1+$D$3)</f>
        <v>4.3919999999999959</v>
      </c>
      <c r="E64" s="178">
        <f t="shared" ref="E64:E79" si="8">(-1.10182183892221*C64^5+11117.6221884797*C64^4-44871038.4173958*C64^3+90549072863.1658*C64^2-91361993395092.5*C64+36872346508759500)*(1+$D$2)</f>
        <v>2498584</v>
      </c>
      <c r="F64" s="178">
        <f t="shared" si="3"/>
        <v>10973780.92799999</v>
      </c>
      <c r="G64" s="179">
        <f t="shared" ref="G64:G65" si="9" xml:space="preserve"> (121.42*C64 - 238913)*1000</f>
        <v>5748300.0000000177</v>
      </c>
    </row>
    <row r="65" spans="3:8" x14ac:dyDescent="0.25">
      <c r="C65" s="82">
        <v>2016</v>
      </c>
      <c r="D65" s="80">
        <f t="shared" si="7"/>
        <v>4.5384000000000126</v>
      </c>
      <c r="E65" s="65">
        <f t="shared" si="8"/>
        <v>2361022.4000000004</v>
      </c>
      <c r="F65" s="65">
        <f t="shared" si="3"/>
        <v>10715264.060160032</v>
      </c>
      <c r="G65" s="84">
        <f xml:space="preserve"> (121.42*C65 - 238913)*1000</f>
        <v>5869720.0000000009</v>
      </c>
    </row>
    <row r="66" spans="3:8" x14ac:dyDescent="0.25">
      <c r="C66" s="82">
        <v>2017</v>
      </c>
      <c r="D66" s="80">
        <f t="shared" si="7"/>
        <v>4.6847999999999956</v>
      </c>
      <c r="E66" s="65">
        <f t="shared" si="8"/>
        <v>2211492.8000000003</v>
      </c>
      <c r="F66" s="65">
        <f t="shared" si="3"/>
        <v>10360401.469439991</v>
      </c>
      <c r="G66" s="62">
        <f>+G65*(1+$D$1)</f>
        <v>6456692.0000000019</v>
      </c>
      <c r="H66" s="3" t="s">
        <v>25</v>
      </c>
    </row>
    <row r="67" spans="3:8" x14ac:dyDescent="0.25">
      <c r="C67" s="82">
        <v>2018</v>
      </c>
      <c r="D67" s="80">
        <f t="shared" si="7"/>
        <v>4.8312000000000124</v>
      </c>
      <c r="E67" s="65">
        <f t="shared" si="8"/>
        <v>2053832.0000000002</v>
      </c>
      <c r="F67" s="65">
        <f t="shared" si="3"/>
        <v>9922473.1584000271</v>
      </c>
      <c r="G67" s="62">
        <f t="shared" ref="G67:G79" si="10">+G66</f>
        <v>6456692.0000000019</v>
      </c>
    </row>
    <row r="68" spans="3:8" x14ac:dyDescent="0.25">
      <c r="C68" s="82">
        <v>2019</v>
      </c>
      <c r="D68" s="80">
        <f t="shared" si="7"/>
        <v>4.9775999999999954</v>
      </c>
      <c r="E68" s="65">
        <f t="shared" si="8"/>
        <v>1892404.8</v>
      </c>
      <c r="F68" s="65">
        <f t="shared" si="3"/>
        <v>9419634.1324799918</v>
      </c>
      <c r="G68" s="62">
        <f t="shared" si="10"/>
        <v>6456692.0000000019</v>
      </c>
    </row>
    <row r="69" spans="3:8" x14ac:dyDescent="0.25">
      <c r="C69" s="85">
        <v>2020</v>
      </c>
      <c r="D69" s="86">
        <f t="shared" si="7"/>
        <v>5.1240000000000121</v>
      </c>
      <c r="E69" s="87">
        <f t="shared" si="8"/>
        <v>1731576.0000000002</v>
      </c>
      <c r="F69" s="87">
        <f t="shared" si="3"/>
        <v>8872595.4240000229</v>
      </c>
      <c r="G69" s="62">
        <f t="shared" si="10"/>
        <v>6456692.0000000019</v>
      </c>
    </row>
    <row r="70" spans="3:8" x14ac:dyDescent="0.25">
      <c r="C70" s="82">
        <v>2021</v>
      </c>
      <c r="D70" s="80">
        <f t="shared" si="7"/>
        <v>5.2703999999999951</v>
      </c>
      <c r="E70" s="65">
        <f t="shared" si="8"/>
        <v>1575252.8</v>
      </c>
      <c r="F70" s="65">
        <f t="shared" si="3"/>
        <v>8302212.3571199924</v>
      </c>
      <c r="G70" s="62">
        <f t="shared" si="10"/>
        <v>6456692.0000000019</v>
      </c>
    </row>
    <row r="71" spans="3:8" x14ac:dyDescent="0.25">
      <c r="C71" s="101">
        <v>2022</v>
      </c>
      <c r="D71" s="80">
        <f t="shared" si="7"/>
        <v>5.4168000000000118</v>
      </c>
      <c r="E71" s="92">
        <f t="shared" si="8"/>
        <v>1427518.4000000001</v>
      </c>
      <c r="F71" s="92">
        <f t="shared" si="3"/>
        <v>7732581.6691200174</v>
      </c>
      <c r="G71" s="91">
        <f t="shared" si="10"/>
        <v>6456692.0000000019</v>
      </c>
    </row>
    <row r="72" spans="3:8" x14ac:dyDescent="0.25">
      <c r="C72" s="101">
        <v>2023</v>
      </c>
      <c r="D72" s="80">
        <f t="shared" si="7"/>
        <v>5.5631999999999948</v>
      </c>
      <c r="E72" s="92">
        <f t="shared" si="8"/>
        <v>1291716.8</v>
      </c>
      <c r="F72" s="92">
        <f t="shared" si="3"/>
        <v>7186078.9017599933</v>
      </c>
      <c r="G72" s="91">
        <f t="shared" si="10"/>
        <v>6456692.0000000019</v>
      </c>
    </row>
    <row r="73" spans="3:8" x14ac:dyDescent="0.25">
      <c r="C73" s="180">
        <v>2024</v>
      </c>
      <c r="D73" s="181">
        <f t="shared" si="7"/>
        <v>5.7096000000000116</v>
      </c>
      <c r="E73" s="182">
        <f t="shared" si="8"/>
        <v>1170664</v>
      </c>
      <c r="F73" s="182">
        <f t="shared" si="3"/>
        <v>6684023.1744000139</v>
      </c>
      <c r="G73" s="183">
        <f t="shared" si="10"/>
        <v>6456692.0000000019</v>
      </c>
    </row>
    <row r="74" spans="3:8" x14ac:dyDescent="0.25">
      <c r="C74" s="184">
        <v>2025</v>
      </c>
      <c r="D74" s="185">
        <f t="shared" si="7"/>
        <v>5.8559999999999945</v>
      </c>
      <c r="E74" s="186">
        <f t="shared" si="8"/>
        <v>1066542.4000000001</v>
      </c>
      <c r="F74" s="186">
        <f t="shared" si="3"/>
        <v>6245672.2943999954</v>
      </c>
      <c r="G74" s="183">
        <f t="shared" si="10"/>
        <v>6456692.0000000019</v>
      </c>
    </row>
    <row r="75" spans="3:8" x14ac:dyDescent="0.25">
      <c r="C75" s="82">
        <v>2026</v>
      </c>
      <c r="D75" s="80">
        <f t="shared" si="7"/>
        <v>6.0024000000000113</v>
      </c>
      <c r="E75" s="65">
        <f t="shared" si="8"/>
        <v>980513.60000000009</v>
      </c>
      <c r="F75" s="65">
        <f t="shared" si="3"/>
        <v>5885434.8326400118</v>
      </c>
      <c r="G75" s="62">
        <f t="shared" si="10"/>
        <v>6456692.0000000019</v>
      </c>
    </row>
    <row r="76" spans="3:8" x14ac:dyDescent="0.25">
      <c r="C76" s="82">
        <v>2027</v>
      </c>
      <c r="D76" s="80">
        <f t="shared" si="7"/>
        <v>6.1487999999999943</v>
      </c>
      <c r="E76" s="65">
        <f t="shared" si="8"/>
        <v>912929.60000000009</v>
      </c>
      <c r="F76" s="65">
        <f t="shared" si="3"/>
        <v>5613421.5244799955</v>
      </c>
      <c r="G76" s="62">
        <f t="shared" si="10"/>
        <v>6456692.0000000019</v>
      </c>
    </row>
    <row r="77" spans="3:8" x14ac:dyDescent="0.25">
      <c r="C77" s="82">
        <v>2028</v>
      </c>
      <c r="D77" s="80">
        <f t="shared" si="7"/>
        <v>6.295200000000011</v>
      </c>
      <c r="E77" s="65">
        <f t="shared" si="8"/>
        <v>862804.8</v>
      </c>
      <c r="F77" s="65">
        <f t="shared" si="3"/>
        <v>5431528.7769600097</v>
      </c>
      <c r="G77" s="62">
        <f t="shared" si="10"/>
        <v>6456692.0000000019</v>
      </c>
    </row>
    <row r="78" spans="3:8" x14ac:dyDescent="0.25">
      <c r="C78" s="82">
        <v>2029</v>
      </c>
      <c r="D78" s="80">
        <f t="shared" si="7"/>
        <v>6.441599999999994</v>
      </c>
      <c r="E78" s="65">
        <f t="shared" si="8"/>
        <v>827886.4</v>
      </c>
      <c r="F78" s="65">
        <f t="shared" si="3"/>
        <v>5332913.0342399953</v>
      </c>
      <c r="G78" s="62">
        <f t="shared" si="10"/>
        <v>6456692.0000000019</v>
      </c>
    </row>
    <row r="79" spans="3:8" ht="15.75" thickBot="1" x14ac:dyDescent="0.3">
      <c r="C79" s="88">
        <v>2030</v>
      </c>
      <c r="D79" s="89">
        <f t="shared" si="7"/>
        <v>6.5880000000000107</v>
      </c>
      <c r="E79" s="90">
        <f t="shared" si="8"/>
        <v>804654.4</v>
      </c>
      <c r="F79" s="90">
        <f t="shared" si="3"/>
        <v>5301063.1872000089</v>
      </c>
      <c r="G79" s="63">
        <f t="shared" si="10"/>
        <v>6456692.0000000019</v>
      </c>
    </row>
    <row r="80" spans="3:8" x14ac:dyDescent="0.25">
      <c r="E80" s="22"/>
    </row>
    <row r="83" spans="3:22" x14ac:dyDescent="0.25">
      <c r="C83" s="1" t="s">
        <v>11</v>
      </c>
      <c r="D83" s="1">
        <v>1999</v>
      </c>
      <c r="E83" s="1">
        <v>2000</v>
      </c>
      <c r="F83" s="1">
        <v>2001</v>
      </c>
      <c r="G83" s="1">
        <v>2002</v>
      </c>
      <c r="H83" s="1">
        <v>2003</v>
      </c>
      <c r="I83" s="1">
        <v>2004</v>
      </c>
      <c r="J83" s="1">
        <v>2005</v>
      </c>
      <c r="K83" s="1">
        <v>2006</v>
      </c>
      <c r="L83" s="1">
        <v>2007</v>
      </c>
      <c r="M83" s="1">
        <v>2008</v>
      </c>
      <c r="N83" s="1">
        <v>2009</v>
      </c>
      <c r="O83" s="1">
        <v>2010</v>
      </c>
      <c r="P83" s="1">
        <v>2011</v>
      </c>
      <c r="Q83" s="1">
        <v>2012</v>
      </c>
      <c r="R83" s="1">
        <v>2013</v>
      </c>
      <c r="S83" s="1">
        <v>2014</v>
      </c>
      <c r="T83" s="1">
        <v>2020</v>
      </c>
      <c r="U83" s="1">
        <v>2025</v>
      </c>
      <c r="V83" s="1">
        <v>2030</v>
      </c>
    </row>
    <row r="84" spans="3:22" x14ac:dyDescent="0.25">
      <c r="C84" s="1" t="s">
        <v>20</v>
      </c>
      <c r="D84" s="40">
        <v>2191759</v>
      </c>
      <c r="E84" s="40">
        <v>2193763</v>
      </c>
      <c r="F84" s="40">
        <v>2405192</v>
      </c>
      <c r="G84" s="40">
        <v>2397883</v>
      </c>
      <c r="H84" s="40">
        <v>2432332</v>
      </c>
      <c r="I84" s="40">
        <v>2356742</v>
      </c>
      <c r="J84" s="40">
        <v>2299928</v>
      </c>
      <c r="K84" s="40">
        <v>2268675</v>
      </c>
      <c r="L84" s="40">
        <v>2447532</v>
      </c>
      <c r="M84" s="40">
        <v>2571311</v>
      </c>
      <c r="N84" s="40">
        <v>2767662</v>
      </c>
      <c r="O84" s="40">
        <v>2719408</v>
      </c>
      <c r="P84" s="40">
        <v>2661226</v>
      </c>
      <c r="Q84" s="40">
        <v>2641874</v>
      </c>
      <c r="R84" s="40">
        <v>2508396</v>
      </c>
      <c r="S84" s="40">
        <v>2368466.4400000004</v>
      </c>
      <c r="T84" s="24">
        <v>1394236.3725000001</v>
      </c>
      <c r="U84" s="24">
        <v>1077480.7400000002</v>
      </c>
      <c r="V84" s="24">
        <v>709901.10400000005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87"/>
  <sheetViews>
    <sheetView topLeftCell="A2" workbookViewId="0">
      <selection activeCell="W20" sqref="W20"/>
    </sheetView>
  </sheetViews>
  <sheetFormatPr baseColWidth="10" defaultRowHeight="15" x14ac:dyDescent="0.25"/>
  <cols>
    <col min="1" max="2" width="11.42578125" style="3"/>
    <col min="3" max="3" width="13.28515625" customWidth="1"/>
    <col min="6" max="6" width="2.140625" customWidth="1"/>
    <col min="9" max="9" width="9.140625" style="3" bestFit="1" customWidth="1"/>
    <col min="10" max="10" width="11.140625" customWidth="1"/>
    <col min="12" max="12" width="3.28515625" customWidth="1"/>
    <col min="13" max="13" width="10.7109375" style="3" customWidth="1"/>
    <col min="16" max="16" width="4.7109375" customWidth="1"/>
    <col min="17" max="17" width="8.7109375" style="3" customWidth="1"/>
    <col min="20" max="20" width="11" customWidth="1"/>
    <col min="21" max="21" width="4.28515625" customWidth="1"/>
    <col min="22" max="49" width="11.42578125" style="3"/>
  </cols>
  <sheetData>
    <row r="1" spans="1:53" s="3" customFormat="1" x14ac:dyDescent="0.25"/>
    <row r="2" spans="1:53" s="3" customFormat="1" ht="15.75" thickBot="1" x14ac:dyDescent="0.3"/>
    <row r="3" spans="1:53" ht="53.25" customHeight="1" thickBot="1" x14ac:dyDescent="0.3">
      <c r="A3" s="66" t="s">
        <v>11</v>
      </c>
      <c r="B3" s="67" t="s">
        <v>19</v>
      </c>
      <c r="C3" s="67" t="s">
        <v>20</v>
      </c>
      <c r="D3" s="67" t="s">
        <v>21</v>
      </c>
      <c r="E3" s="68" t="s">
        <v>26</v>
      </c>
      <c r="F3" s="3"/>
      <c r="G3" s="66" t="s">
        <v>11</v>
      </c>
      <c r="H3" s="67" t="s">
        <v>19</v>
      </c>
      <c r="I3" s="67" t="s">
        <v>20</v>
      </c>
      <c r="J3" s="67" t="s">
        <v>21</v>
      </c>
      <c r="K3" s="68" t="s">
        <v>26</v>
      </c>
      <c r="L3" s="3"/>
      <c r="M3" s="66" t="s">
        <v>20</v>
      </c>
      <c r="N3" s="67" t="s">
        <v>21</v>
      </c>
      <c r="O3" s="68" t="s">
        <v>26</v>
      </c>
      <c r="P3" s="3"/>
      <c r="Q3" s="67" t="s">
        <v>19</v>
      </c>
      <c r="R3" s="66" t="s">
        <v>20</v>
      </c>
      <c r="S3" s="67" t="s">
        <v>21</v>
      </c>
      <c r="T3" s="68" t="s">
        <v>26</v>
      </c>
      <c r="U3" s="3"/>
      <c r="V3" s="67" t="s">
        <v>19</v>
      </c>
      <c r="W3" s="67" t="s">
        <v>20</v>
      </c>
      <c r="X3" s="67" t="s">
        <v>21</v>
      </c>
      <c r="Y3" s="68" t="s">
        <v>26</v>
      </c>
      <c r="AX3" s="3"/>
      <c r="AY3" s="3"/>
      <c r="AZ3" s="3"/>
      <c r="BA3" s="3"/>
    </row>
    <row r="4" spans="1:53" x14ac:dyDescent="0.25">
      <c r="A4" s="47">
        <v>1999</v>
      </c>
      <c r="B4" s="48">
        <v>1.7118155203874195</v>
      </c>
      <c r="C4" s="49">
        <v>2191759</v>
      </c>
      <c r="D4" s="49">
        <f>+C4*B4</f>
        <v>3751887.0731488103</v>
      </c>
      <c r="E4" s="50">
        <v>3311000</v>
      </c>
      <c r="F4" s="3"/>
      <c r="G4" s="47">
        <v>1999</v>
      </c>
      <c r="H4" s="48">
        <v>1.7118155203874195</v>
      </c>
      <c r="I4" s="49">
        <v>2191759</v>
      </c>
      <c r="J4" s="49">
        <v>3751887.0731488103</v>
      </c>
      <c r="K4" s="50">
        <v>3311000</v>
      </c>
      <c r="L4" s="3"/>
      <c r="M4" s="103">
        <v>2191759</v>
      </c>
      <c r="N4" s="49">
        <v>3751887.0731488103</v>
      </c>
      <c r="O4" s="50">
        <v>3311000</v>
      </c>
      <c r="P4" s="3"/>
      <c r="Q4" s="48">
        <v>1.7118155203874195</v>
      </c>
      <c r="R4" s="103">
        <v>2191759</v>
      </c>
      <c r="S4" s="49">
        <v>3751887.0731488103</v>
      </c>
      <c r="T4" s="50">
        <v>3311000</v>
      </c>
      <c r="U4" s="3"/>
      <c r="V4" s="48">
        <v>1.7118155203874195</v>
      </c>
      <c r="W4" s="49">
        <v>2191759</v>
      </c>
      <c r="X4" s="49">
        <f t="shared" ref="X4:X35" si="0">+W4*V4</f>
        <v>3751887.0731488103</v>
      </c>
      <c r="Y4" s="50">
        <v>3311000</v>
      </c>
      <c r="AX4" s="3"/>
      <c r="AY4" s="3"/>
      <c r="AZ4" s="3"/>
      <c r="BA4" s="3"/>
    </row>
    <row r="5" spans="1:53" x14ac:dyDescent="0.25">
      <c r="A5" s="51">
        <v>2000</v>
      </c>
      <c r="B5" s="52">
        <v>1.9136098131760495</v>
      </c>
      <c r="C5" s="53">
        <v>2193763</v>
      </c>
      <c r="D5" s="53">
        <f t="shared" ref="D5:D35" si="1">+C5*B5</f>
        <v>4198006.4045825303</v>
      </c>
      <c r="E5" s="54">
        <v>3602000</v>
      </c>
      <c r="F5" s="3"/>
      <c r="G5" s="51">
        <v>2000</v>
      </c>
      <c r="H5" s="52">
        <v>1.9136098131760495</v>
      </c>
      <c r="I5" s="53">
        <v>2193763</v>
      </c>
      <c r="J5" s="53">
        <v>4198006.4045825303</v>
      </c>
      <c r="K5" s="54">
        <v>3602000</v>
      </c>
      <c r="L5" s="3"/>
      <c r="M5" s="104">
        <v>2193763</v>
      </c>
      <c r="N5" s="53">
        <v>4198006.4045825303</v>
      </c>
      <c r="O5" s="54">
        <v>3602000</v>
      </c>
      <c r="P5" s="3"/>
      <c r="Q5" s="52">
        <v>1.9136098131760495</v>
      </c>
      <c r="R5" s="104">
        <v>2193763</v>
      </c>
      <c r="S5" s="53">
        <v>4198006.4045825303</v>
      </c>
      <c r="T5" s="54">
        <v>3602000</v>
      </c>
      <c r="U5" s="3"/>
      <c r="V5" s="52">
        <v>1.9136098131760495</v>
      </c>
      <c r="W5" s="53">
        <v>2193763</v>
      </c>
      <c r="X5" s="53">
        <f t="shared" si="0"/>
        <v>4198006.4045825303</v>
      </c>
      <c r="Y5" s="54">
        <v>3602000</v>
      </c>
      <c r="AX5" s="3"/>
      <c r="AY5" s="3"/>
      <c r="AZ5" s="3"/>
      <c r="BA5" s="3"/>
    </row>
    <row r="6" spans="1:53" x14ac:dyDescent="0.25">
      <c r="A6" s="51">
        <v>2001</v>
      </c>
      <c r="B6" s="52">
        <v>1.7824322119826399</v>
      </c>
      <c r="C6" s="53">
        <v>2405192</v>
      </c>
      <c r="D6" s="53">
        <f t="shared" si="1"/>
        <v>4287091.6968029495</v>
      </c>
      <c r="E6" s="54">
        <v>3660000</v>
      </c>
      <c r="F6" s="3"/>
      <c r="G6" s="51">
        <v>2001</v>
      </c>
      <c r="H6" s="52">
        <v>1.7824322119826399</v>
      </c>
      <c r="I6" s="53">
        <v>2405192</v>
      </c>
      <c r="J6" s="53">
        <v>4287091.6968029495</v>
      </c>
      <c r="K6" s="54">
        <v>3660000</v>
      </c>
      <c r="L6" s="3"/>
      <c r="M6" s="104">
        <v>2405192</v>
      </c>
      <c r="N6" s="53">
        <v>4287091.6968029495</v>
      </c>
      <c r="O6" s="54">
        <v>3660000</v>
      </c>
      <c r="P6" s="3"/>
      <c r="Q6" s="52">
        <v>1.7824322119826399</v>
      </c>
      <c r="R6" s="104">
        <v>2405192</v>
      </c>
      <c r="S6" s="53">
        <v>4287091.6968029495</v>
      </c>
      <c r="T6" s="54">
        <v>3660000</v>
      </c>
      <c r="U6" s="3"/>
      <c r="V6" s="52">
        <v>1.7824322119826399</v>
      </c>
      <c r="W6" s="53">
        <v>2405192</v>
      </c>
      <c r="X6" s="53">
        <f t="shared" si="0"/>
        <v>4287091.6968029495</v>
      </c>
      <c r="Y6" s="54">
        <v>3660000</v>
      </c>
      <c r="AX6" s="3"/>
      <c r="AY6" s="3"/>
      <c r="AZ6" s="3"/>
      <c r="BA6" s="3"/>
    </row>
    <row r="7" spans="1:53" x14ac:dyDescent="0.25">
      <c r="A7" s="51">
        <v>2002</v>
      </c>
      <c r="B7" s="52">
        <v>1.8484691353854747</v>
      </c>
      <c r="C7" s="53">
        <v>2397883</v>
      </c>
      <c r="D7" s="53">
        <f t="shared" si="1"/>
        <v>4432412.7157655284</v>
      </c>
      <c r="E7" s="54">
        <v>3840000</v>
      </c>
      <c r="F7" s="3"/>
      <c r="G7" s="51">
        <v>2002</v>
      </c>
      <c r="H7" s="52">
        <v>1.8484691353854747</v>
      </c>
      <c r="I7" s="53">
        <v>2397883</v>
      </c>
      <c r="J7" s="53">
        <v>4432412.7157655284</v>
      </c>
      <c r="K7" s="54">
        <v>3840000</v>
      </c>
      <c r="L7" s="3"/>
      <c r="M7" s="104">
        <v>2397883</v>
      </c>
      <c r="N7" s="53">
        <v>4432412.7157655284</v>
      </c>
      <c r="O7" s="54">
        <v>3840000</v>
      </c>
      <c r="P7" s="3"/>
      <c r="Q7" s="52">
        <v>1.8484691353854747</v>
      </c>
      <c r="R7" s="104">
        <v>2397883</v>
      </c>
      <c r="S7" s="53">
        <v>4432412.7157655284</v>
      </c>
      <c r="T7" s="54">
        <v>3840000</v>
      </c>
      <c r="U7" s="3"/>
      <c r="V7" s="52">
        <v>1.8484691353854747</v>
      </c>
      <c r="W7" s="53">
        <v>2397883</v>
      </c>
      <c r="X7" s="53">
        <f t="shared" si="0"/>
        <v>4432412.7157655284</v>
      </c>
      <c r="Y7" s="54">
        <v>3840000</v>
      </c>
      <c r="AX7" s="3"/>
      <c r="AY7" s="3"/>
      <c r="AZ7" s="3"/>
      <c r="BA7" s="3"/>
    </row>
    <row r="8" spans="1:53" x14ac:dyDescent="0.25">
      <c r="A8" s="51">
        <v>2003</v>
      </c>
      <c r="B8" s="52">
        <v>2.0750132604955218</v>
      </c>
      <c r="C8" s="53">
        <v>2432332</v>
      </c>
      <c r="D8" s="53">
        <f t="shared" si="1"/>
        <v>5047121.1539275935</v>
      </c>
      <c r="E8" s="54">
        <v>4479000</v>
      </c>
      <c r="F8" s="3"/>
      <c r="G8" s="51">
        <v>2003</v>
      </c>
      <c r="H8" s="52">
        <v>2.0750132604955218</v>
      </c>
      <c r="I8" s="53">
        <v>2432332</v>
      </c>
      <c r="J8" s="53">
        <v>5047121.1539275935</v>
      </c>
      <c r="K8" s="54">
        <v>4479000</v>
      </c>
      <c r="L8" s="3"/>
      <c r="M8" s="104">
        <v>2432332</v>
      </c>
      <c r="N8" s="53">
        <v>5047121.1539275935</v>
      </c>
      <c r="O8" s="54">
        <v>4479000</v>
      </c>
      <c r="P8" s="3"/>
      <c r="Q8" s="52">
        <v>2.0750132604955218</v>
      </c>
      <c r="R8" s="104">
        <v>2432332</v>
      </c>
      <c r="S8" s="53">
        <v>5047121.1539275935</v>
      </c>
      <c r="T8" s="54">
        <v>4479000</v>
      </c>
      <c r="U8" s="3"/>
      <c r="V8" s="52">
        <v>2.0750132604955218</v>
      </c>
      <c r="W8" s="53">
        <v>2432332</v>
      </c>
      <c r="X8" s="53">
        <f t="shared" si="0"/>
        <v>5047121.1539275935</v>
      </c>
      <c r="Y8" s="54">
        <v>4479000</v>
      </c>
      <c r="AX8" s="3"/>
      <c r="AY8" s="3"/>
      <c r="AZ8" s="3"/>
      <c r="BA8" s="3"/>
    </row>
    <row r="9" spans="1:53" x14ac:dyDescent="0.25">
      <c r="A9" s="51">
        <v>2004</v>
      </c>
      <c r="B9" s="52">
        <v>2.1377440959816729</v>
      </c>
      <c r="C9" s="53">
        <v>2356742</v>
      </c>
      <c r="D9" s="53">
        <f t="shared" si="1"/>
        <v>5038111.2962520402</v>
      </c>
      <c r="E9" s="54">
        <v>4618000</v>
      </c>
      <c r="F9" s="3"/>
      <c r="G9" s="51">
        <v>2004</v>
      </c>
      <c r="H9" s="52">
        <v>2.1377440959816729</v>
      </c>
      <c r="I9" s="53">
        <v>2356742</v>
      </c>
      <c r="J9" s="53">
        <v>5038111.2962520402</v>
      </c>
      <c r="K9" s="54">
        <v>4618000</v>
      </c>
      <c r="L9" s="3"/>
      <c r="M9" s="104">
        <v>2356742</v>
      </c>
      <c r="N9" s="53">
        <v>5038111.2962520402</v>
      </c>
      <c r="O9" s="54">
        <v>4618000</v>
      </c>
      <c r="P9" s="3"/>
      <c r="Q9" s="52">
        <v>2.1377440959816729</v>
      </c>
      <c r="R9" s="104">
        <v>2356742</v>
      </c>
      <c r="S9" s="53">
        <v>5038111.2962520402</v>
      </c>
      <c r="T9" s="54">
        <v>4618000</v>
      </c>
      <c r="U9" s="3"/>
      <c r="V9" s="52">
        <v>2.1377440959816729</v>
      </c>
      <c r="W9" s="53">
        <v>2356742</v>
      </c>
      <c r="X9" s="53">
        <f t="shared" si="0"/>
        <v>5038111.2962520402</v>
      </c>
      <c r="Y9" s="54">
        <v>4618000</v>
      </c>
      <c r="AX9" s="3"/>
      <c r="AY9" s="3"/>
      <c r="AZ9" s="3"/>
      <c r="BA9" s="3"/>
    </row>
    <row r="10" spans="1:53" x14ac:dyDescent="0.25">
      <c r="A10" s="51">
        <v>2005</v>
      </c>
      <c r="B10" s="52">
        <v>2.4570229250733506</v>
      </c>
      <c r="C10" s="53">
        <v>2299928</v>
      </c>
      <c r="D10" s="53">
        <f t="shared" si="1"/>
        <v>5650975.8220181009</v>
      </c>
      <c r="E10" s="54">
        <v>5009000</v>
      </c>
      <c r="F10" s="3"/>
      <c r="G10" s="51">
        <v>2005</v>
      </c>
      <c r="H10" s="52">
        <v>2.4570229250733506</v>
      </c>
      <c r="I10" s="53">
        <v>2299928</v>
      </c>
      <c r="J10" s="53">
        <v>5650975.8220181009</v>
      </c>
      <c r="K10" s="54">
        <v>5009000</v>
      </c>
      <c r="L10" s="3"/>
      <c r="M10" s="104">
        <v>2299928</v>
      </c>
      <c r="N10" s="53">
        <v>5650975.8220181009</v>
      </c>
      <c r="O10" s="54">
        <v>5009000</v>
      </c>
      <c r="P10" s="3"/>
      <c r="Q10" s="52">
        <v>2.4570229250733506</v>
      </c>
      <c r="R10" s="104">
        <v>2299928</v>
      </c>
      <c r="S10" s="53">
        <v>5650975.8220181009</v>
      </c>
      <c r="T10" s="54">
        <v>5009000</v>
      </c>
      <c r="U10" s="3"/>
      <c r="V10" s="52">
        <v>2.4570229250733506</v>
      </c>
      <c r="W10" s="53">
        <v>2299928</v>
      </c>
      <c r="X10" s="53">
        <f t="shared" si="0"/>
        <v>5650975.8220181009</v>
      </c>
      <c r="Y10" s="54">
        <v>5009000</v>
      </c>
      <c r="AX10" s="3"/>
      <c r="AY10" s="3"/>
      <c r="AZ10" s="3"/>
      <c r="BA10" s="3"/>
    </row>
    <row r="11" spans="1:53" x14ac:dyDescent="0.25">
      <c r="A11" s="51">
        <v>2006</v>
      </c>
      <c r="B11" s="52">
        <v>2.5236000259582281</v>
      </c>
      <c r="C11" s="53">
        <v>2268675</v>
      </c>
      <c r="D11" s="53">
        <f t="shared" si="1"/>
        <v>5725228.2888907827</v>
      </c>
      <c r="E11" s="54">
        <v>5027000</v>
      </c>
      <c r="F11" s="3"/>
      <c r="G11" s="51">
        <v>2006</v>
      </c>
      <c r="H11" s="52">
        <v>2.5236000259582281</v>
      </c>
      <c r="I11" s="53">
        <v>2268675</v>
      </c>
      <c r="J11" s="53">
        <v>5725228.2888907827</v>
      </c>
      <c r="K11" s="54">
        <v>5027000</v>
      </c>
      <c r="L11" s="3"/>
      <c r="M11" s="104">
        <v>2268675</v>
      </c>
      <c r="N11" s="53">
        <v>5725228.2888907827</v>
      </c>
      <c r="O11" s="54">
        <v>5027000</v>
      </c>
      <c r="P11" s="3"/>
      <c r="Q11" s="52">
        <v>2.5236000259582281</v>
      </c>
      <c r="R11" s="104">
        <v>2268675</v>
      </c>
      <c r="S11" s="53">
        <v>5725228.2888907827</v>
      </c>
      <c r="T11" s="54">
        <v>5027000</v>
      </c>
      <c r="U11" s="3"/>
      <c r="V11" s="52">
        <v>2.5236000259582281</v>
      </c>
      <c r="W11" s="53">
        <v>2268675</v>
      </c>
      <c r="X11" s="53">
        <f t="shared" si="0"/>
        <v>5725228.2888907827</v>
      </c>
      <c r="Y11" s="54">
        <v>5027000</v>
      </c>
      <c r="AX11" s="3"/>
      <c r="AY11" s="3"/>
      <c r="AZ11" s="3"/>
      <c r="BA11" s="3"/>
    </row>
    <row r="12" spans="1:53" x14ac:dyDescent="0.25">
      <c r="A12" s="51">
        <v>2007</v>
      </c>
      <c r="B12" s="52">
        <v>2.515893788575791</v>
      </c>
      <c r="C12" s="53">
        <v>2447532</v>
      </c>
      <c r="D12" s="53">
        <f t="shared" si="1"/>
        <v>6157730.5561404834</v>
      </c>
      <c r="E12" s="54">
        <v>4775000</v>
      </c>
      <c r="F12" s="3"/>
      <c r="G12" s="51">
        <v>2007</v>
      </c>
      <c r="H12" s="52">
        <v>2.515893788575791</v>
      </c>
      <c r="I12" s="53">
        <v>2447532</v>
      </c>
      <c r="J12" s="53">
        <v>6157730.5561404834</v>
      </c>
      <c r="K12" s="54">
        <v>4775000</v>
      </c>
      <c r="L12" s="3"/>
      <c r="M12" s="104">
        <v>2447532</v>
      </c>
      <c r="N12" s="53">
        <v>6157730.5561404834</v>
      </c>
      <c r="O12" s="54">
        <v>4775000</v>
      </c>
      <c r="P12" s="3"/>
      <c r="Q12" s="52">
        <v>2.515893788575791</v>
      </c>
      <c r="R12" s="104">
        <v>2447532</v>
      </c>
      <c r="S12" s="53">
        <v>6157730.5561404834</v>
      </c>
      <c r="T12" s="54">
        <v>4775000</v>
      </c>
      <c r="U12" s="3"/>
      <c r="V12" s="52">
        <v>2.515893788575791</v>
      </c>
      <c r="W12" s="53">
        <v>2447532</v>
      </c>
      <c r="X12" s="53">
        <f t="shared" si="0"/>
        <v>6157730.5561404834</v>
      </c>
      <c r="Y12" s="54">
        <v>4775000</v>
      </c>
      <c r="AX12" s="3"/>
      <c r="AY12" s="3"/>
      <c r="AZ12" s="3"/>
      <c r="BA12" s="3"/>
    </row>
    <row r="13" spans="1:53" x14ac:dyDescent="0.25">
      <c r="A13" s="51">
        <v>2008</v>
      </c>
      <c r="B13" s="52">
        <v>2.8676991308393593</v>
      </c>
      <c r="C13" s="53">
        <v>2571311</v>
      </c>
      <c r="D13" s="53">
        <f t="shared" si="1"/>
        <v>7373746.3198176837</v>
      </c>
      <c r="E13" s="54">
        <v>4858000</v>
      </c>
      <c r="F13" s="3"/>
      <c r="G13" s="51">
        <v>2008</v>
      </c>
      <c r="H13" s="52">
        <v>2.8676991308393593</v>
      </c>
      <c r="I13" s="53">
        <v>2571311</v>
      </c>
      <c r="J13" s="53">
        <v>7373746.3198176837</v>
      </c>
      <c r="K13" s="54">
        <v>4858000</v>
      </c>
      <c r="L13" s="3"/>
      <c r="M13" s="104">
        <v>2571311</v>
      </c>
      <c r="N13" s="53">
        <v>7373746.3198176837</v>
      </c>
      <c r="O13" s="54">
        <v>4858000</v>
      </c>
      <c r="P13" s="3"/>
      <c r="Q13" s="52">
        <v>2.8676991308393593</v>
      </c>
      <c r="R13" s="104">
        <v>2571311</v>
      </c>
      <c r="S13" s="53">
        <v>7373746.3198176837</v>
      </c>
      <c r="T13" s="54">
        <v>4858000</v>
      </c>
      <c r="U13" s="3"/>
      <c r="V13" s="52">
        <v>2.8676991308393593</v>
      </c>
      <c r="W13" s="53">
        <v>2571311</v>
      </c>
      <c r="X13" s="53">
        <f t="shared" si="0"/>
        <v>7373746.3198176837</v>
      </c>
      <c r="Y13" s="54">
        <v>4858000</v>
      </c>
      <c r="AX13" s="3"/>
      <c r="AY13" s="3"/>
      <c r="AZ13" s="3"/>
      <c r="BA13" s="3"/>
    </row>
    <row r="14" spans="1:53" x14ac:dyDescent="0.25">
      <c r="A14" s="51">
        <v>2009</v>
      </c>
      <c r="B14" s="52">
        <v>2.5510349463565678</v>
      </c>
      <c r="C14" s="53">
        <v>2767662</v>
      </c>
      <c r="D14" s="53">
        <f t="shared" si="1"/>
        <v>7060402.481703111</v>
      </c>
      <c r="E14" s="54">
        <v>5077000</v>
      </c>
      <c r="F14" s="3"/>
      <c r="G14" s="51">
        <v>2009</v>
      </c>
      <c r="H14" s="52">
        <v>2.5510349463565678</v>
      </c>
      <c r="I14" s="53">
        <v>2767662</v>
      </c>
      <c r="J14" s="53">
        <v>7060402.481703111</v>
      </c>
      <c r="K14" s="54">
        <v>5077000</v>
      </c>
      <c r="L14" s="3"/>
      <c r="M14" s="104">
        <v>2767662</v>
      </c>
      <c r="N14" s="53">
        <v>7060402.481703111</v>
      </c>
      <c r="O14" s="54">
        <v>5077000</v>
      </c>
      <c r="P14" s="3"/>
      <c r="Q14" s="52">
        <v>2.5510349463565678</v>
      </c>
      <c r="R14" s="104">
        <v>2767662</v>
      </c>
      <c r="S14" s="53">
        <v>7060402.481703111</v>
      </c>
      <c r="T14" s="54">
        <v>5077000</v>
      </c>
      <c r="U14" s="3"/>
      <c r="V14" s="52">
        <v>2.5510349463565678</v>
      </c>
      <c r="W14" s="53">
        <v>2767662</v>
      </c>
      <c r="X14" s="53">
        <f t="shared" si="0"/>
        <v>7060402.481703111</v>
      </c>
      <c r="Y14" s="54">
        <v>5077000</v>
      </c>
      <c r="AX14" s="3"/>
      <c r="AY14" s="3"/>
      <c r="AZ14" s="3"/>
      <c r="BA14" s="3"/>
    </row>
    <row r="15" spans="1:53" x14ac:dyDescent="0.25">
      <c r="A15" s="51">
        <v>2010</v>
      </c>
      <c r="B15" s="52">
        <v>2.9172815060857928</v>
      </c>
      <c r="C15" s="53">
        <v>2719408</v>
      </c>
      <c r="D15" s="53">
        <f t="shared" si="1"/>
        <v>7933278.6659017541</v>
      </c>
      <c r="E15" s="54">
        <v>5164000</v>
      </c>
      <c r="F15" s="3"/>
      <c r="G15" s="51">
        <v>2010</v>
      </c>
      <c r="H15" s="52">
        <v>2.9172815060857928</v>
      </c>
      <c r="I15" s="53">
        <v>2719408</v>
      </c>
      <c r="J15" s="53">
        <v>7933278.6659017541</v>
      </c>
      <c r="K15" s="54">
        <v>5164000</v>
      </c>
      <c r="L15" s="3"/>
      <c r="M15" s="104">
        <v>2719408</v>
      </c>
      <c r="N15" s="53">
        <v>7933278.6659017541</v>
      </c>
      <c r="O15" s="54">
        <v>5164000</v>
      </c>
      <c r="P15" s="3"/>
      <c r="Q15" s="52">
        <v>2.9172815060857928</v>
      </c>
      <c r="R15" s="104">
        <v>2719408</v>
      </c>
      <c r="S15" s="53">
        <v>7933278.6659017541</v>
      </c>
      <c r="T15" s="54">
        <v>5164000</v>
      </c>
      <c r="U15" s="3"/>
      <c r="V15" s="52">
        <v>2.9172815060857928</v>
      </c>
      <c r="W15" s="53">
        <v>2719408</v>
      </c>
      <c r="X15" s="53">
        <f t="shared" si="0"/>
        <v>7933278.6659017541</v>
      </c>
      <c r="Y15" s="54">
        <v>5164000</v>
      </c>
      <c r="AX15" s="3"/>
      <c r="AY15" s="3"/>
      <c r="AZ15" s="3"/>
      <c r="BA15" s="3"/>
    </row>
    <row r="16" spans="1:53" x14ac:dyDescent="0.25">
      <c r="A16" s="51">
        <v>2011</v>
      </c>
      <c r="B16" s="52">
        <v>3.2227916816258135</v>
      </c>
      <c r="C16" s="53">
        <v>2661226</v>
      </c>
      <c r="D16" s="53">
        <f t="shared" si="1"/>
        <v>8576577.0157263372</v>
      </c>
      <c r="E16" s="54">
        <v>5277000</v>
      </c>
      <c r="F16" s="3"/>
      <c r="G16" s="51">
        <v>2011</v>
      </c>
      <c r="H16" s="52">
        <v>3.2227916816258135</v>
      </c>
      <c r="I16" s="53">
        <v>2661226</v>
      </c>
      <c r="J16" s="53">
        <v>8576577.0157263372</v>
      </c>
      <c r="K16" s="54">
        <v>5277000</v>
      </c>
      <c r="L16" s="3"/>
      <c r="M16" s="104">
        <v>2661226</v>
      </c>
      <c r="N16" s="53">
        <v>8576577.0157263372</v>
      </c>
      <c r="O16" s="54">
        <v>5277000</v>
      </c>
      <c r="P16" s="3"/>
      <c r="Q16" s="52">
        <v>3.2227916816258135</v>
      </c>
      <c r="R16" s="104">
        <v>2661226</v>
      </c>
      <c r="S16" s="53">
        <v>8576577.0157263372</v>
      </c>
      <c r="T16" s="54">
        <v>5277000</v>
      </c>
      <c r="U16" s="3"/>
      <c r="V16" s="52">
        <v>3.2227916816258135</v>
      </c>
      <c r="W16" s="53">
        <v>2661226</v>
      </c>
      <c r="X16" s="53">
        <f t="shared" si="0"/>
        <v>8576577.0157263372</v>
      </c>
      <c r="Y16" s="54">
        <v>5277000</v>
      </c>
      <c r="AX16" s="3"/>
      <c r="AY16" s="3"/>
      <c r="AZ16" s="3"/>
      <c r="BA16" s="3"/>
    </row>
    <row r="17" spans="1:53" x14ac:dyDescent="0.25">
      <c r="A17" s="51">
        <v>2012</v>
      </c>
      <c r="B17" s="52">
        <v>3.2521871940502201</v>
      </c>
      <c r="C17" s="53">
        <v>2641874</v>
      </c>
      <c r="D17" s="53">
        <f t="shared" si="1"/>
        <v>8591868.7910942305</v>
      </c>
      <c r="E17" s="54">
        <v>5245000</v>
      </c>
      <c r="F17" s="3"/>
      <c r="G17" s="51">
        <v>2012</v>
      </c>
      <c r="H17" s="52">
        <v>3.2521871940502201</v>
      </c>
      <c r="I17" s="53">
        <v>2641874</v>
      </c>
      <c r="J17" s="53">
        <v>8591868.7910942305</v>
      </c>
      <c r="K17" s="54">
        <v>5245000</v>
      </c>
      <c r="L17" s="3"/>
      <c r="M17" s="104">
        <v>2641874</v>
      </c>
      <c r="N17" s="53">
        <v>8591868.7910942305</v>
      </c>
      <c r="O17" s="54">
        <v>5245000</v>
      </c>
      <c r="P17" s="3"/>
      <c r="Q17" s="52">
        <v>3.2521871940502201</v>
      </c>
      <c r="R17" s="104">
        <v>2641874</v>
      </c>
      <c r="S17" s="53">
        <v>8591868.7910942305</v>
      </c>
      <c r="T17" s="54">
        <v>5245000</v>
      </c>
      <c r="U17" s="3"/>
      <c r="V17" s="52">
        <v>3.2521871940502201</v>
      </c>
      <c r="W17" s="53">
        <v>2641874</v>
      </c>
      <c r="X17" s="53">
        <f t="shared" si="0"/>
        <v>8591868.7910942305</v>
      </c>
      <c r="Y17" s="54">
        <v>5245000</v>
      </c>
      <c r="AX17" s="3"/>
      <c r="AY17" s="3"/>
      <c r="AZ17" s="3"/>
      <c r="BA17" s="3"/>
    </row>
    <row r="18" spans="1:53" x14ac:dyDescent="0.25">
      <c r="A18" s="51">
        <v>2013</v>
      </c>
      <c r="B18" s="52">
        <v>3.3443678026822998</v>
      </c>
      <c r="C18" s="53">
        <v>2508396</v>
      </c>
      <c r="D18" s="53">
        <f t="shared" si="1"/>
        <v>8388998.8187770694</v>
      </c>
      <c r="E18" s="54">
        <v>5422000</v>
      </c>
      <c r="F18" s="3"/>
      <c r="G18" s="51">
        <v>2013</v>
      </c>
      <c r="H18" s="52">
        <v>3.3443678026822998</v>
      </c>
      <c r="I18" s="53">
        <v>2508396</v>
      </c>
      <c r="J18" s="53">
        <v>8388998.8187770694</v>
      </c>
      <c r="K18" s="54">
        <v>5422000</v>
      </c>
      <c r="L18" s="3"/>
      <c r="M18" s="104">
        <v>2508396</v>
      </c>
      <c r="N18" s="53">
        <v>8388998.8187770694</v>
      </c>
      <c r="O18" s="54">
        <v>5422000</v>
      </c>
      <c r="P18" s="3"/>
      <c r="Q18" s="52">
        <v>3.3443678026822998</v>
      </c>
      <c r="R18" s="104">
        <v>2508396</v>
      </c>
      <c r="S18" s="53">
        <v>8388998.8187770694</v>
      </c>
      <c r="T18" s="54">
        <v>5422000</v>
      </c>
      <c r="U18" s="3"/>
      <c r="V18" s="52">
        <v>3.3443678026822998</v>
      </c>
      <c r="W18" s="53">
        <v>2508396</v>
      </c>
      <c r="X18" s="53">
        <f t="shared" si="0"/>
        <v>8388998.8187770694</v>
      </c>
      <c r="Y18" s="54">
        <v>5422000</v>
      </c>
      <c r="AX18" s="3"/>
      <c r="AY18" s="3"/>
      <c r="AZ18" s="3"/>
      <c r="BA18" s="3"/>
    </row>
    <row r="19" spans="1:53" ht="15.75" thickBot="1" x14ac:dyDescent="0.3">
      <c r="A19" s="55">
        <v>2014</v>
      </c>
      <c r="B19" s="56">
        <v>3.4044368053192517</v>
      </c>
      <c r="C19" s="57">
        <v>2368466.4400000004</v>
      </c>
      <c r="D19" s="79">
        <f t="shared" si="1"/>
        <v>8063294.320499463</v>
      </c>
      <c r="E19" s="58">
        <v>5741000</v>
      </c>
      <c r="F19" s="3"/>
      <c r="G19" s="55">
        <v>2014</v>
      </c>
      <c r="H19" s="56">
        <v>3.4044368053192517</v>
      </c>
      <c r="I19" s="57">
        <v>2368466.4400000004</v>
      </c>
      <c r="J19" s="79">
        <v>8063294.320499463</v>
      </c>
      <c r="K19" s="58">
        <v>5741000</v>
      </c>
      <c r="L19" s="3"/>
      <c r="M19" s="105">
        <v>2368466.4400000004</v>
      </c>
      <c r="N19" s="79">
        <v>8063294.320499463</v>
      </c>
      <c r="O19" s="58">
        <v>5741000</v>
      </c>
      <c r="P19" s="3"/>
      <c r="Q19" s="56">
        <v>3.4044368053192517</v>
      </c>
      <c r="R19" s="105">
        <v>2368466.4400000004</v>
      </c>
      <c r="S19" s="79">
        <v>8063294.320499463</v>
      </c>
      <c r="T19" s="58">
        <v>5741000</v>
      </c>
      <c r="U19" s="3"/>
      <c r="V19" s="56">
        <v>3.4044368053192517</v>
      </c>
      <c r="W19" s="57">
        <v>2368466.4400000004</v>
      </c>
      <c r="X19" s="79">
        <f t="shared" si="0"/>
        <v>8063294.320499463</v>
      </c>
      <c r="Y19" s="58">
        <v>5741000</v>
      </c>
      <c r="AX19" s="3"/>
      <c r="AY19" s="3"/>
      <c r="AZ19" s="3"/>
      <c r="BA19" s="3"/>
    </row>
    <row r="20" spans="1:53" x14ac:dyDescent="0.25">
      <c r="A20" s="81">
        <v>2015</v>
      </c>
      <c r="B20" s="80">
        <f t="shared" ref="B20:B35" si="2">0.122*A20 - 242.17</f>
        <v>3.6599999999999966</v>
      </c>
      <c r="C20" s="64">
        <f t="shared" ref="C20:C35" si="3">-1.10182183892221*A20^5+11117.6221884797*A20^4-44871038.4173958*A20^3+90549072863.1658*A20^2-91361993395092.5*A20+36872346508759500</f>
        <v>2271440</v>
      </c>
      <c r="D20" s="64">
        <f t="shared" si="1"/>
        <v>8313470.399999992</v>
      </c>
      <c r="E20" s="83">
        <f t="shared" ref="E20:E21" si="4" xml:space="preserve"> (121.42*A20 - 238913)*1000</f>
        <v>5748300.0000000177</v>
      </c>
      <c r="F20" s="3"/>
      <c r="G20" s="81">
        <v>2015</v>
      </c>
      <c r="H20" s="80">
        <v>3.6599999999999966</v>
      </c>
      <c r="I20" s="64">
        <v>2271440</v>
      </c>
      <c r="J20" s="64">
        <v>8313470.399999992</v>
      </c>
      <c r="K20" s="83">
        <v>5748300.0000000177</v>
      </c>
      <c r="L20" s="3"/>
      <c r="M20" s="106">
        <v>2498584</v>
      </c>
      <c r="N20" s="64">
        <v>9144817.439999992</v>
      </c>
      <c r="O20" s="83">
        <v>5748300.0000000177</v>
      </c>
      <c r="P20" s="3"/>
      <c r="Q20" s="80">
        <v>4.3919999999999959</v>
      </c>
      <c r="R20" s="106">
        <v>2271440</v>
      </c>
      <c r="S20" s="64">
        <v>9976164.4799999911</v>
      </c>
      <c r="T20" s="83">
        <v>5748300.0000000177</v>
      </c>
      <c r="U20" s="3"/>
      <c r="V20" s="80">
        <f>(0.122*'CASO 4'!C64-242.17)*(1+'CASO 4'!$D$3)</f>
        <v>4.3919999999999959</v>
      </c>
      <c r="W20" s="64">
        <f>(-1.10182183892221*'CASO 4'!C64^5+11117.6221884797*'CASO 4'!C64^4-44871038.4173958*'CASO 4'!C64^3+90549072863.1658*'CASO 4'!C64^2-91361993395092.5*'CASO 4'!C64+36872346508759500)*(1+'CASO 4'!$D$2)</f>
        <v>2498584</v>
      </c>
      <c r="X20" s="64">
        <f t="shared" si="0"/>
        <v>10973780.92799999</v>
      </c>
      <c r="Y20" s="83">
        <f xml:space="preserve"> (121.42*'CASO 4'!C64 - 238913)*1000</f>
        <v>5748300.0000000177</v>
      </c>
      <c r="AX20" s="3"/>
      <c r="AY20" s="3"/>
      <c r="AZ20" s="3"/>
      <c r="BA20" s="3"/>
    </row>
    <row r="21" spans="1:53" x14ac:dyDescent="0.25">
      <c r="A21" s="82">
        <v>2016</v>
      </c>
      <c r="B21" s="80">
        <f t="shared" si="2"/>
        <v>3.7820000000000107</v>
      </c>
      <c r="C21" s="65">
        <f t="shared" si="3"/>
        <v>2146384</v>
      </c>
      <c r="D21" s="65">
        <f t="shared" si="1"/>
        <v>8117624.288000023</v>
      </c>
      <c r="E21" s="62">
        <f t="shared" si="4"/>
        <v>5869720.0000000009</v>
      </c>
      <c r="F21" s="3"/>
      <c r="G21" s="82">
        <v>2016</v>
      </c>
      <c r="H21" s="80">
        <v>3.7820000000000107</v>
      </c>
      <c r="I21" s="65">
        <v>2146384</v>
      </c>
      <c r="J21" s="65">
        <v>8117624.288000023</v>
      </c>
      <c r="K21" s="84">
        <v>5869720.0000000009</v>
      </c>
      <c r="L21" s="3"/>
      <c r="M21" s="107">
        <v>2361022.4000000004</v>
      </c>
      <c r="N21" s="65">
        <v>8929386.7168000266</v>
      </c>
      <c r="O21" s="84">
        <v>5869720.0000000009</v>
      </c>
      <c r="P21" s="3"/>
      <c r="Q21" s="80">
        <v>4.5384000000000126</v>
      </c>
      <c r="R21" s="107">
        <v>2146384</v>
      </c>
      <c r="S21" s="65">
        <v>9741149.1456000265</v>
      </c>
      <c r="T21" s="84">
        <v>5869720.0000000009</v>
      </c>
      <c r="U21" s="3"/>
      <c r="V21" s="80">
        <f>(0.122*'CASO 4'!C65-242.17)*(1+'CASO 4'!$D$3)</f>
        <v>4.5384000000000126</v>
      </c>
      <c r="W21" s="65">
        <f>(-1.10182183892221*'CASO 4'!C65^5+11117.6221884797*'CASO 4'!C65^4-44871038.4173958*'CASO 4'!C65^3+90549072863.1658*'CASO 4'!C65^2-91361993395092.5*'CASO 4'!C65+36872346508759500)*(1+'CASO 4'!$D$2)</f>
        <v>2361022.4000000004</v>
      </c>
      <c r="X21" s="65">
        <f t="shared" si="0"/>
        <v>10715264.060160032</v>
      </c>
      <c r="Y21" s="84">
        <f xml:space="preserve"> (121.42*'CASO 4'!C65 - 238913)*1000</f>
        <v>5869720.0000000009</v>
      </c>
      <c r="AX21" s="3"/>
      <c r="AY21" s="3"/>
      <c r="AZ21" s="3"/>
      <c r="BA21" s="3"/>
    </row>
    <row r="22" spans="1:53" x14ac:dyDescent="0.25">
      <c r="A22" s="82">
        <v>2017</v>
      </c>
      <c r="B22" s="80">
        <f t="shared" si="2"/>
        <v>3.9039999999999964</v>
      </c>
      <c r="C22" s="65">
        <f t="shared" si="3"/>
        <v>2010448</v>
      </c>
      <c r="D22" s="65">
        <f t="shared" si="1"/>
        <v>7848788.9919999931</v>
      </c>
      <c r="E22" s="62">
        <v>5869720</v>
      </c>
      <c r="F22" s="3"/>
      <c r="G22" s="82">
        <v>2017</v>
      </c>
      <c r="H22" s="80">
        <v>3.9039999999999964</v>
      </c>
      <c r="I22" s="65">
        <v>2010448</v>
      </c>
      <c r="J22" s="65">
        <v>7848788.9919999931</v>
      </c>
      <c r="K22" s="62">
        <v>6456692.0000000019</v>
      </c>
      <c r="L22" s="3"/>
      <c r="M22" s="107">
        <v>2211492.8000000003</v>
      </c>
      <c r="N22" s="65">
        <v>8633667.891199993</v>
      </c>
      <c r="O22" s="62">
        <v>5869720</v>
      </c>
      <c r="P22" s="3"/>
      <c r="Q22" s="80">
        <v>4.6847999999999956</v>
      </c>
      <c r="R22" s="107">
        <v>2010448</v>
      </c>
      <c r="S22" s="65">
        <v>9418546.790399991</v>
      </c>
      <c r="T22" s="62">
        <v>5869720</v>
      </c>
      <c r="U22" s="3"/>
      <c r="V22" s="80">
        <f>(0.122*'CASO 4'!C66-242.17)*(1+'CASO 4'!$D$3)</f>
        <v>4.6847999999999956</v>
      </c>
      <c r="W22" s="65">
        <f>(-1.10182183892221*'CASO 4'!C66^5+11117.6221884797*'CASO 4'!C66^4-44871038.4173958*'CASO 4'!C66^3+90549072863.1658*'CASO 4'!C66^2-91361993395092.5*'CASO 4'!C66+36872346508759500)*(1+'CASO 4'!$D$2)</f>
        <v>2211492.8000000003</v>
      </c>
      <c r="X22" s="65">
        <f t="shared" si="0"/>
        <v>10360401.469439991</v>
      </c>
      <c r="Y22" s="62">
        <f>+Y21*(1+'CASO 4'!$D$1)</f>
        <v>6456692.0000000019</v>
      </c>
      <c r="AX22" s="3"/>
      <c r="AY22" s="3"/>
      <c r="AZ22" s="3"/>
      <c r="BA22" s="3"/>
    </row>
    <row r="23" spans="1:53" x14ac:dyDescent="0.25">
      <c r="A23" s="82">
        <v>2018</v>
      </c>
      <c r="B23" s="80">
        <f t="shared" si="2"/>
        <v>4.0260000000000105</v>
      </c>
      <c r="C23" s="65">
        <f t="shared" si="3"/>
        <v>1867120</v>
      </c>
      <c r="D23" s="65">
        <f t="shared" si="1"/>
        <v>7517025.1200000197</v>
      </c>
      <c r="E23" s="62">
        <v>5869720</v>
      </c>
      <c r="F23" s="3"/>
      <c r="G23" s="82">
        <v>2018</v>
      </c>
      <c r="H23" s="80">
        <v>4.0260000000000105</v>
      </c>
      <c r="I23" s="65">
        <v>1867120</v>
      </c>
      <c r="J23" s="65">
        <v>7517025.1200000197</v>
      </c>
      <c r="K23" s="62">
        <v>6456692.0000000019</v>
      </c>
      <c r="L23" s="3"/>
      <c r="M23" s="107">
        <v>2053832.0000000002</v>
      </c>
      <c r="N23" s="65">
        <v>8268727.6320000226</v>
      </c>
      <c r="O23" s="62">
        <v>5869720</v>
      </c>
      <c r="P23" s="3"/>
      <c r="Q23" s="80">
        <v>4.8312000000000124</v>
      </c>
      <c r="R23" s="107">
        <v>1867120</v>
      </c>
      <c r="S23" s="65">
        <v>9020430.1440000236</v>
      </c>
      <c r="T23" s="62">
        <v>5869720</v>
      </c>
      <c r="U23" s="3"/>
      <c r="V23" s="80">
        <f>(0.122*'CASO 4'!C67-242.17)*(1+'CASO 4'!$D$3)</f>
        <v>4.8312000000000124</v>
      </c>
      <c r="W23" s="65">
        <f>(-1.10182183892221*'CASO 4'!C67^5+11117.6221884797*'CASO 4'!C67^4-44871038.4173958*'CASO 4'!C67^3+90549072863.1658*'CASO 4'!C67^2-91361993395092.5*'CASO 4'!C67+36872346508759500)*(1+'CASO 4'!$D$2)</f>
        <v>2053832.0000000002</v>
      </c>
      <c r="X23" s="65">
        <f t="shared" si="0"/>
        <v>9922473.1584000271</v>
      </c>
      <c r="Y23" s="62">
        <f t="shared" ref="Y23:Y35" si="5">+Y22</f>
        <v>6456692.0000000019</v>
      </c>
      <c r="AX23" s="3"/>
      <c r="AY23" s="3"/>
      <c r="AZ23" s="3"/>
      <c r="BA23" s="3"/>
    </row>
    <row r="24" spans="1:53" x14ac:dyDescent="0.25">
      <c r="A24" s="82">
        <v>2019</v>
      </c>
      <c r="B24" s="80">
        <f t="shared" si="2"/>
        <v>4.1479999999999961</v>
      </c>
      <c r="C24" s="65">
        <f t="shared" si="3"/>
        <v>1720368</v>
      </c>
      <c r="D24" s="65">
        <f t="shared" si="1"/>
        <v>7136086.4639999932</v>
      </c>
      <c r="E24" s="62">
        <v>5869720</v>
      </c>
      <c r="F24" s="3"/>
      <c r="G24" s="82">
        <v>2019</v>
      </c>
      <c r="H24" s="80">
        <v>4.1479999999999961</v>
      </c>
      <c r="I24" s="65">
        <v>1720368</v>
      </c>
      <c r="J24" s="65">
        <v>7136086.4639999932</v>
      </c>
      <c r="K24" s="62">
        <v>6456692.0000000019</v>
      </c>
      <c r="L24" s="3"/>
      <c r="M24" s="107">
        <v>1892404.8</v>
      </c>
      <c r="N24" s="65">
        <v>7849695.1103999931</v>
      </c>
      <c r="O24" s="62">
        <v>5869720</v>
      </c>
      <c r="P24" s="3"/>
      <c r="Q24" s="80">
        <v>4.9775999999999954</v>
      </c>
      <c r="R24" s="107">
        <v>1720368</v>
      </c>
      <c r="S24" s="65">
        <v>8563303.7567999922</v>
      </c>
      <c r="T24" s="62">
        <v>5869720</v>
      </c>
      <c r="U24" s="3"/>
      <c r="V24" s="80">
        <f>(0.122*'CASO 4'!C68-242.17)*(1+'CASO 4'!$D$3)</f>
        <v>4.9775999999999954</v>
      </c>
      <c r="W24" s="65">
        <f>(-1.10182183892221*'CASO 4'!C68^5+11117.6221884797*'CASO 4'!C68^4-44871038.4173958*'CASO 4'!C68^3+90549072863.1658*'CASO 4'!C68^2-91361993395092.5*'CASO 4'!C68+36872346508759500)*(1+'CASO 4'!$D$2)</f>
        <v>1892404.8</v>
      </c>
      <c r="X24" s="65">
        <f t="shared" si="0"/>
        <v>9419634.1324799918</v>
      </c>
      <c r="Y24" s="62">
        <f t="shared" si="5"/>
        <v>6456692.0000000019</v>
      </c>
      <c r="AX24" s="3"/>
      <c r="AY24" s="3"/>
      <c r="AZ24" s="3"/>
      <c r="BA24" s="3"/>
    </row>
    <row r="25" spans="1:53" x14ac:dyDescent="0.25">
      <c r="A25" s="85">
        <v>2020</v>
      </c>
      <c r="B25" s="86">
        <f t="shared" si="2"/>
        <v>4.2700000000000102</v>
      </c>
      <c r="C25" s="87">
        <f t="shared" si="3"/>
        <v>1574160</v>
      </c>
      <c r="D25" s="87">
        <f t="shared" si="1"/>
        <v>6721663.200000016</v>
      </c>
      <c r="E25" s="62">
        <v>5869720</v>
      </c>
      <c r="F25" s="3"/>
      <c r="G25" s="96">
        <v>2020</v>
      </c>
      <c r="H25" s="97">
        <v>4.2700000000000102</v>
      </c>
      <c r="I25" s="93">
        <v>1574160</v>
      </c>
      <c r="J25" s="93">
        <v>6721663.200000016</v>
      </c>
      <c r="K25" s="94">
        <v>6456692.0000000019</v>
      </c>
      <c r="L25" s="3"/>
      <c r="M25" s="108">
        <v>1731576.0000000002</v>
      </c>
      <c r="N25" s="87">
        <v>7393829.5200000191</v>
      </c>
      <c r="O25" s="62">
        <v>5869720</v>
      </c>
      <c r="P25" s="3"/>
      <c r="Q25" s="86">
        <v>5.1240000000000121</v>
      </c>
      <c r="R25" s="108">
        <v>1574160</v>
      </c>
      <c r="S25" s="87">
        <v>8065995.8400000194</v>
      </c>
      <c r="T25" s="62">
        <v>5869720</v>
      </c>
      <c r="U25" s="3"/>
      <c r="V25" s="86">
        <f>(0.122*'CASO 4'!C69-242.17)*(1+'CASO 4'!$D$3)</f>
        <v>5.1240000000000121</v>
      </c>
      <c r="W25" s="87">
        <f>(-1.10182183892221*'CASO 4'!C69^5+11117.6221884797*'CASO 4'!C69^4-44871038.4173958*'CASO 4'!C69^3+90549072863.1658*'CASO 4'!C69^2-91361993395092.5*'CASO 4'!C69+36872346508759500)*(1+'CASO 4'!$D$2)</f>
        <v>1731576.0000000002</v>
      </c>
      <c r="X25" s="87">
        <f t="shared" si="0"/>
        <v>8872595.4240000229</v>
      </c>
      <c r="Y25" s="62">
        <f t="shared" si="5"/>
        <v>6456692.0000000019</v>
      </c>
      <c r="AX25" s="3"/>
      <c r="AY25" s="3"/>
      <c r="AZ25" s="3"/>
      <c r="BA25" s="3"/>
    </row>
    <row r="26" spans="1:53" x14ac:dyDescent="0.25">
      <c r="A26" s="82">
        <v>2021</v>
      </c>
      <c r="B26" s="80">
        <f t="shared" si="2"/>
        <v>4.3919999999999959</v>
      </c>
      <c r="C26" s="65">
        <f t="shared" si="3"/>
        <v>1432048</v>
      </c>
      <c r="D26" s="65">
        <f t="shared" si="1"/>
        <v>6289554.8159999941</v>
      </c>
      <c r="E26" s="62">
        <v>5869720</v>
      </c>
      <c r="F26" s="3"/>
      <c r="G26" s="98">
        <v>2021</v>
      </c>
      <c r="H26" s="99">
        <v>4.3919999999999959</v>
      </c>
      <c r="I26" s="95">
        <v>1432048</v>
      </c>
      <c r="J26" s="95">
        <v>6289554.8159999941</v>
      </c>
      <c r="K26" s="94">
        <v>6456692.0000000019</v>
      </c>
      <c r="L26" s="3"/>
      <c r="M26" s="107">
        <v>1575252.8</v>
      </c>
      <c r="N26" s="65">
        <v>6918510.2975999936</v>
      </c>
      <c r="O26" s="62">
        <v>5869720</v>
      </c>
      <c r="P26" s="3"/>
      <c r="Q26" s="80">
        <v>5.2703999999999951</v>
      </c>
      <c r="R26" s="107">
        <v>1432048</v>
      </c>
      <c r="S26" s="65">
        <v>7547465.7791999932</v>
      </c>
      <c r="T26" s="62">
        <v>5869720</v>
      </c>
      <c r="U26" s="3"/>
      <c r="V26" s="80">
        <f>(0.122*'CASO 4'!C70-242.17)*(1+'CASO 4'!$D$3)</f>
        <v>5.2703999999999951</v>
      </c>
      <c r="W26" s="65">
        <f>(-1.10182183892221*'CASO 4'!C70^5+11117.6221884797*'CASO 4'!C70^4-44871038.4173958*'CASO 4'!C70^3+90549072863.1658*'CASO 4'!C70^2-91361993395092.5*'CASO 4'!C70+36872346508759500)*(1+'CASO 4'!$D$2)</f>
        <v>1575252.8</v>
      </c>
      <c r="X26" s="65">
        <f t="shared" si="0"/>
        <v>8302212.3571199924</v>
      </c>
      <c r="Y26" s="62">
        <f t="shared" si="5"/>
        <v>6456692.0000000019</v>
      </c>
      <c r="AX26" s="3"/>
      <c r="AY26" s="3"/>
      <c r="AZ26" s="3"/>
      <c r="BA26" s="3"/>
    </row>
    <row r="27" spans="1:53" x14ac:dyDescent="0.25">
      <c r="A27" s="98">
        <v>2022</v>
      </c>
      <c r="B27" s="99">
        <f t="shared" si="2"/>
        <v>4.51400000000001</v>
      </c>
      <c r="C27" s="95">
        <f t="shared" si="3"/>
        <v>1297744</v>
      </c>
      <c r="D27" s="95">
        <f t="shared" si="1"/>
        <v>5858016.4160000132</v>
      </c>
      <c r="E27" s="94">
        <v>5869720</v>
      </c>
      <c r="F27" s="3"/>
      <c r="G27" s="82">
        <v>2022</v>
      </c>
      <c r="H27" s="80">
        <v>4.51400000000001</v>
      </c>
      <c r="I27" s="65">
        <v>1297744</v>
      </c>
      <c r="J27" s="65">
        <v>5858016.4160000132</v>
      </c>
      <c r="K27" s="62">
        <v>6456692.0000000019</v>
      </c>
      <c r="L27" s="3"/>
      <c r="M27" s="109">
        <v>1427518.4000000001</v>
      </c>
      <c r="N27" s="92">
        <v>6443818.0576000148</v>
      </c>
      <c r="O27" s="91">
        <v>5869720</v>
      </c>
      <c r="P27" s="3"/>
      <c r="Q27" s="102">
        <v>5.4168000000000118</v>
      </c>
      <c r="R27" s="109">
        <v>1297744</v>
      </c>
      <c r="S27" s="92">
        <v>7029619.6992000155</v>
      </c>
      <c r="T27" s="91">
        <v>5869720</v>
      </c>
      <c r="U27" s="3"/>
      <c r="V27" s="102">
        <f>(0.122*'CASO 4'!C71-242.17)*(1+'CASO 4'!$D$3)</f>
        <v>5.4168000000000118</v>
      </c>
      <c r="W27" s="92">
        <f>(-1.10182183892221*'CASO 4'!C71^5+11117.6221884797*'CASO 4'!C71^4-44871038.4173958*'CASO 4'!C71^3+90549072863.1658*'CASO 4'!C71^2-91361993395092.5*'CASO 4'!C71+36872346508759500)*(1+'CASO 4'!$D$2)</f>
        <v>1427518.4000000001</v>
      </c>
      <c r="X27" s="92">
        <f t="shared" si="0"/>
        <v>7732581.6691200174</v>
      </c>
      <c r="Y27" s="91">
        <f t="shared" si="5"/>
        <v>6456692.0000000019</v>
      </c>
      <c r="AX27" s="3"/>
      <c r="AY27" s="3"/>
      <c r="AZ27" s="3"/>
      <c r="BA27" s="3"/>
    </row>
    <row r="28" spans="1:53" x14ac:dyDescent="0.25">
      <c r="A28" s="98">
        <v>2023</v>
      </c>
      <c r="B28" s="99">
        <f t="shared" si="2"/>
        <v>4.6359999999999957</v>
      </c>
      <c r="C28" s="95">
        <f t="shared" si="3"/>
        <v>1174288</v>
      </c>
      <c r="D28" s="95">
        <f t="shared" si="1"/>
        <v>5443999.1679999949</v>
      </c>
      <c r="E28" s="94">
        <v>5869720</v>
      </c>
      <c r="F28" s="3"/>
      <c r="G28" s="82">
        <v>2023</v>
      </c>
      <c r="H28" s="80">
        <v>4.6359999999999957</v>
      </c>
      <c r="I28" s="65">
        <v>1174288</v>
      </c>
      <c r="J28" s="65">
        <v>5443999.1679999949</v>
      </c>
      <c r="K28" s="62">
        <v>6456692.0000000019</v>
      </c>
      <c r="L28" s="3"/>
      <c r="M28" s="110">
        <v>1291716.8</v>
      </c>
      <c r="N28" s="95">
        <v>5988399.0847999947</v>
      </c>
      <c r="O28" s="94">
        <v>5869720</v>
      </c>
      <c r="P28" s="3"/>
      <c r="Q28" s="102">
        <v>5.5631999999999948</v>
      </c>
      <c r="R28" s="109">
        <v>1174288</v>
      </c>
      <c r="S28" s="92">
        <v>6532799.0015999936</v>
      </c>
      <c r="T28" s="91">
        <v>5869720</v>
      </c>
      <c r="U28" s="3"/>
      <c r="V28" s="102">
        <f>(0.122*'CASO 4'!C72-242.17)*(1+'CASO 4'!$D$3)</f>
        <v>5.5631999999999948</v>
      </c>
      <c r="W28" s="92">
        <f>(-1.10182183892221*'CASO 4'!C72^5+11117.6221884797*'CASO 4'!C72^4-44871038.4173958*'CASO 4'!C72^3+90549072863.1658*'CASO 4'!C72^2-91361993395092.5*'CASO 4'!C72+36872346508759500)*(1+'CASO 4'!$D$2)</f>
        <v>1291716.8</v>
      </c>
      <c r="X28" s="92">
        <f t="shared" si="0"/>
        <v>7186078.9017599933</v>
      </c>
      <c r="Y28" s="91">
        <f t="shared" si="5"/>
        <v>6456692.0000000019</v>
      </c>
      <c r="AX28" s="3"/>
      <c r="AY28" s="3"/>
      <c r="AZ28" s="3"/>
      <c r="BA28" s="3"/>
    </row>
    <row r="29" spans="1:53" x14ac:dyDescent="0.25">
      <c r="A29" s="82">
        <v>2024</v>
      </c>
      <c r="B29" s="80">
        <f t="shared" si="2"/>
        <v>4.7580000000000098</v>
      </c>
      <c r="C29" s="65">
        <f t="shared" si="3"/>
        <v>1064240</v>
      </c>
      <c r="D29" s="65">
        <f t="shared" si="1"/>
        <v>5063653.9200000102</v>
      </c>
      <c r="E29" s="62">
        <v>5869720</v>
      </c>
      <c r="F29" s="3"/>
      <c r="G29" s="82">
        <v>2024</v>
      </c>
      <c r="H29" s="80">
        <v>4.7580000000000098</v>
      </c>
      <c r="I29" s="65">
        <v>1064240</v>
      </c>
      <c r="J29" s="65">
        <v>5063653.9200000102</v>
      </c>
      <c r="K29" s="62">
        <v>6456692.0000000019</v>
      </c>
      <c r="L29" s="3"/>
      <c r="M29" s="110">
        <v>1170664</v>
      </c>
      <c r="N29" s="95">
        <v>5570019.3120000111</v>
      </c>
      <c r="O29" s="94">
        <v>5869720</v>
      </c>
      <c r="P29" s="3"/>
      <c r="Q29" s="99">
        <v>5.7096000000000116</v>
      </c>
      <c r="R29" s="110">
        <v>1064240</v>
      </c>
      <c r="S29" s="95">
        <v>6076384.704000012</v>
      </c>
      <c r="T29" s="94">
        <v>5869720</v>
      </c>
      <c r="U29" s="3"/>
      <c r="V29" s="99">
        <f>(0.122*'CASO 4'!C73-242.17)*(1+'CASO 4'!$D$3)</f>
        <v>5.7096000000000116</v>
      </c>
      <c r="W29" s="95">
        <f>(-1.10182183892221*'CASO 4'!C73^5+11117.6221884797*'CASO 4'!C73^4-44871038.4173958*'CASO 4'!C73^3+90549072863.1658*'CASO 4'!C73^2-91361993395092.5*'CASO 4'!C73+36872346508759500)*(1+'CASO 4'!$D$2)</f>
        <v>1170664</v>
      </c>
      <c r="X29" s="95">
        <f t="shared" si="0"/>
        <v>6684023.1744000139</v>
      </c>
      <c r="Y29" s="94">
        <f t="shared" si="5"/>
        <v>6456692.0000000019</v>
      </c>
      <c r="AX29" s="3"/>
      <c r="AY29" s="3"/>
      <c r="AZ29" s="3"/>
      <c r="BA29" s="3"/>
    </row>
    <row r="30" spans="1:53" x14ac:dyDescent="0.25">
      <c r="A30" s="85">
        <v>2025</v>
      </c>
      <c r="B30" s="86">
        <f t="shared" si="2"/>
        <v>4.8799999999999955</v>
      </c>
      <c r="C30" s="87">
        <f t="shared" si="3"/>
        <v>969584</v>
      </c>
      <c r="D30" s="87">
        <f t="shared" si="1"/>
        <v>4731569.9199999953</v>
      </c>
      <c r="E30" s="62">
        <v>5869720</v>
      </c>
      <c r="F30" s="3"/>
      <c r="G30" s="85">
        <v>2025</v>
      </c>
      <c r="H30" s="86">
        <v>4.8799999999999955</v>
      </c>
      <c r="I30" s="87">
        <v>969584</v>
      </c>
      <c r="J30" s="87">
        <v>4731569.9199999953</v>
      </c>
      <c r="K30" s="62">
        <v>6456692.0000000019</v>
      </c>
      <c r="L30" s="3"/>
      <c r="M30" s="108">
        <v>1066542.4000000001</v>
      </c>
      <c r="N30" s="87">
        <v>5204726.9119999958</v>
      </c>
      <c r="O30" s="62">
        <v>5869720</v>
      </c>
      <c r="P30" s="3"/>
      <c r="Q30" s="97">
        <v>5.8559999999999945</v>
      </c>
      <c r="R30" s="112">
        <v>969584</v>
      </c>
      <c r="S30" s="93">
        <v>5677883.9039999945</v>
      </c>
      <c r="T30" s="94">
        <v>5869720</v>
      </c>
      <c r="U30" s="3"/>
      <c r="V30" s="97">
        <f>(0.122*'CASO 4'!C74-242.17)*(1+'CASO 4'!$D$3)</f>
        <v>5.8559999999999945</v>
      </c>
      <c r="W30" s="93">
        <f>(-1.10182183892221*'CASO 4'!C74^5+11117.6221884797*'CASO 4'!C74^4-44871038.4173958*'CASO 4'!C74^3+90549072863.1658*'CASO 4'!C74^2-91361993395092.5*'CASO 4'!C74+36872346508759500)*(1+'CASO 4'!$D$2)</f>
        <v>1066542.4000000001</v>
      </c>
      <c r="X30" s="93">
        <f t="shared" si="0"/>
        <v>6245672.2943999954</v>
      </c>
      <c r="Y30" s="94">
        <f t="shared" si="5"/>
        <v>6456692.0000000019</v>
      </c>
      <c r="AX30" s="3"/>
      <c r="AY30" s="3"/>
      <c r="AZ30" s="3"/>
      <c r="BA30" s="3"/>
    </row>
    <row r="31" spans="1:53" x14ac:dyDescent="0.25">
      <c r="A31" s="82">
        <v>2026</v>
      </c>
      <c r="B31" s="80">
        <f t="shared" si="2"/>
        <v>5.0020000000000095</v>
      </c>
      <c r="C31" s="65">
        <f t="shared" si="3"/>
        <v>891376</v>
      </c>
      <c r="D31" s="65">
        <f t="shared" si="1"/>
        <v>4458662.7520000087</v>
      </c>
      <c r="E31" s="62">
        <v>5869720</v>
      </c>
      <c r="F31" s="3"/>
      <c r="G31" s="82">
        <v>2026</v>
      </c>
      <c r="H31" s="80">
        <v>5.0020000000000095</v>
      </c>
      <c r="I31" s="65">
        <v>891376</v>
      </c>
      <c r="J31" s="65">
        <v>4458662.7520000087</v>
      </c>
      <c r="K31" s="62">
        <v>6456692.0000000019</v>
      </c>
      <c r="L31" s="3"/>
      <c r="M31" s="107">
        <v>980513.60000000009</v>
      </c>
      <c r="N31" s="65">
        <v>4904529.0272000097</v>
      </c>
      <c r="O31" s="62">
        <v>5869720</v>
      </c>
      <c r="P31" s="3"/>
      <c r="Q31" s="80">
        <v>6.0024000000000113</v>
      </c>
      <c r="R31" s="107">
        <v>891376</v>
      </c>
      <c r="S31" s="65">
        <v>5350395.3024000097</v>
      </c>
      <c r="T31" s="62">
        <v>5869720</v>
      </c>
      <c r="U31" s="3"/>
      <c r="V31" s="80">
        <f>(0.122*'CASO 4'!C75-242.17)*(1+'CASO 4'!$D$3)</f>
        <v>6.0024000000000113</v>
      </c>
      <c r="W31" s="65">
        <f>(-1.10182183892221*'CASO 4'!C75^5+11117.6221884797*'CASO 4'!C75^4-44871038.4173958*'CASO 4'!C75^3+90549072863.1658*'CASO 4'!C75^2-91361993395092.5*'CASO 4'!C75+36872346508759500)*(1+'CASO 4'!$D$2)</f>
        <v>980513.60000000009</v>
      </c>
      <c r="X31" s="65">
        <f t="shared" si="0"/>
        <v>5885434.8326400118</v>
      </c>
      <c r="Y31" s="62">
        <f t="shared" si="5"/>
        <v>6456692.0000000019</v>
      </c>
      <c r="AX31" s="3"/>
      <c r="AY31" s="3"/>
      <c r="AZ31" s="3"/>
      <c r="BA31" s="3"/>
    </row>
    <row r="32" spans="1:53" x14ac:dyDescent="0.25">
      <c r="A32" s="82">
        <v>2027</v>
      </c>
      <c r="B32" s="80">
        <f t="shared" si="2"/>
        <v>5.1239999999999952</v>
      </c>
      <c r="C32" s="65">
        <f t="shared" si="3"/>
        <v>829936</v>
      </c>
      <c r="D32" s="65">
        <f t="shared" si="1"/>
        <v>4252592.0639999956</v>
      </c>
      <c r="E32" s="62">
        <v>5869720</v>
      </c>
      <c r="F32" s="3"/>
      <c r="G32" s="82">
        <v>2027</v>
      </c>
      <c r="H32" s="80">
        <v>5.1239999999999952</v>
      </c>
      <c r="I32" s="65">
        <v>829936</v>
      </c>
      <c r="J32" s="65">
        <v>4252592.0639999956</v>
      </c>
      <c r="K32" s="62">
        <v>6456692.0000000019</v>
      </c>
      <c r="L32" s="3"/>
      <c r="M32" s="107">
        <v>912929.60000000009</v>
      </c>
      <c r="N32" s="65">
        <v>4677851.2703999961</v>
      </c>
      <c r="O32" s="62">
        <v>5869720</v>
      </c>
      <c r="P32" s="3"/>
      <c r="Q32" s="80">
        <v>6.1487999999999943</v>
      </c>
      <c r="R32" s="107">
        <v>829936</v>
      </c>
      <c r="S32" s="65">
        <v>5103110.4767999956</v>
      </c>
      <c r="T32" s="62">
        <v>5869720</v>
      </c>
      <c r="U32" s="3"/>
      <c r="V32" s="80">
        <f>(0.122*'CASO 4'!C76-242.17)*(1+'CASO 4'!$D$3)</f>
        <v>6.1487999999999943</v>
      </c>
      <c r="W32" s="65">
        <f>(-1.10182183892221*'CASO 4'!C76^5+11117.6221884797*'CASO 4'!C76^4-44871038.4173958*'CASO 4'!C76^3+90549072863.1658*'CASO 4'!C76^2-91361993395092.5*'CASO 4'!C76+36872346508759500)*(1+'CASO 4'!$D$2)</f>
        <v>912929.60000000009</v>
      </c>
      <c r="X32" s="65">
        <f t="shared" si="0"/>
        <v>5613421.5244799955</v>
      </c>
      <c r="Y32" s="62">
        <f t="shared" si="5"/>
        <v>6456692.0000000019</v>
      </c>
      <c r="AX32" s="3"/>
      <c r="AY32" s="3"/>
      <c r="AZ32" s="3"/>
      <c r="BA32" s="3"/>
    </row>
    <row r="33" spans="1:53" x14ac:dyDescent="0.25">
      <c r="A33" s="82">
        <v>2028</v>
      </c>
      <c r="B33" s="80">
        <f t="shared" si="2"/>
        <v>5.2460000000000093</v>
      </c>
      <c r="C33" s="65">
        <f t="shared" si="3"/>
        <v>784368</v>
      </c>
      <c r="D33" s="65">
        <f t="shared" si="1"/>
        <v>4114794.5280000074</v>
      </c>
      <c r="E33" s="62">
        <v>5869720</v>
      </c>
      <c r="F33" s="3"/>
      <c r="G33" s="82">
        <v>2028</v>
      </c>
      <c r="H33" s="80">
        <v>5.2460000000000093</v>
      </c>
      <c r="I33" s="65">
        <v>784368</v>
      </c>
      <c r="J33" s="65">
        <v>4114794.5280000074</v>
      </c>
      <c r="K33" s="62">
        <v>6456692.0000000019</v>
      </c>
      <c r="L33" s="3"/>
      <c r="M33" s="107">
        <v>862804.8</v>
      </c>
      <c r="N33" s="65">
        <v>4526273.9808000084</v>
      </c>
      <c r="O33" s="62">
        <v>5869720</v>
      </c>
      <c r="P33" s="3"/>
      <c r="Q33" s="80">
        <v>6.295200000000011</v>
      </c>
      <c r="R33" s="107">
        <v>784368</v>
      </c>
      <c r="S33" s="65">
        <v>4937753.4336000085</v>
      </c>
      <c r="T33" s="62">
        <v>5869720</v>
      </c>
      <c r="U33" s="3"/>
      <c r="V33" s="80">
        <f>(0.122*'CASO 4'!C77-242.17)*(1+'CASO 4'!$D$3)</f>
        <v>6.295200000000011</v>
      </c>
      <c r="W33" s="65">
        <f>(-1.10182183892221*'CASO 4'!C77^5+11117.6221884797*'CASO 4'!C77^4-44871038.4173958*'CASO 4'!C77^3+90549072863.1658*'CASO 4'!C77^2-91361993395092.5*'CASO 4'!C77+36872346508759500)*(1+'CASO 4'!$D$2)</f>
        <v>862804.8</v>
      </c>
      <c r="X33" s="65">
        <f t="shared" si="0"/>
        <v>5431528.7769600097</v>
      </c>
      <c r="Y33" s="62">
        <f t="shared" si="5"/>
        <v>6456692.0000000019</v>
      </c>
      <c r="AX33" s="3"/>
      <c r="AY33" s="3"/>
      <c r="AZ33" s="3"/>
      <c r="BA33" s="3"/>
    </row>
    <row r="34" spans="1:53" x14ac:dyDescent="0.25">
      <c r="A34" s="82">
        <v>2029</v>
      </c>
      <c r="B34" s="80">
        <f t="shared" si="2"/>
        <v>5.367999999999995</v>
      </c>
      <c r="C34" s="65">
        <f t="shared" si="3"/>
        <v>752624</v>
      </c>
      <c r="D34" s="65">
        <f t="shared" si="1"/>
        <v>4040085.631999996</v>
      </c>
      <c r="E34" s="62">
        <v>5869720</v>
      </c>
      <c r="F34" s="3"/>
      <c r="G34" s="82">
        <v>2029</v>
      </c>
      <c r="H34" s="80">
        <v>5.367999999999995</v>
      </c>
      <c r="I34" s="65">
        <v>752624</v>
      </c>
      <c r="J34" s="65">
        <v>4040085.631999996</v>
      </c>
      <c r="K34" s="62">
        <v>6456692.0000000019</v>
      </c>
      <c r="L34" s="3"/>
      <c r="M34" s="107">
        <v>827886.4</v>
      </c>
      <c r="N34" s="65">
        <v>4444094.1951999962</v>
      </c>
      <c r="O34" s="62">
        <v>5869720</v>
      </c>
      <c r="P34" s="3"/>
      <c r="Q34" s="80">
        <v>6.441599999999994</v>
      </c>
      <c r="R34" s="107">
        <v>752624</v>
      </c>
      <c r="S34" s="65">
        <v>4848102.758399995</v>
      </c>
      <c r="T34" s="62">
        <v>5869720</v>
      </c>
      <c r="U34" s="3"/>
      <c r="V34" s="80">
        <f>(0.122*'CASO 4'!C78-242.17)*(1+'CASO 4'!$D$3)</f>
        <v>6.441599999999994</v>
      </c>
      <c r="W34" s="65">
        <f>(-1.10182183892221*'CASO 4'!C78^5+11117.6221884797*'CASO 4'!C78^4-44871038.4173958*'CASO 4'!C78^3+90549072863.1658*'CASO 4'!C78^2-91361993395092.5*'CASO 4'!C78+36872346508759500)*(1+'CASO 4'!$D$2)</f>
        <v>827886.4</v>
      </c>
      <c r="X34" s="65">
        <f t="shared" si="0"/>
        <v>5332913.0342399953</v>
      </c>
      <c r="Y34" s="62">
        <f t="shared" si="5"/>
        <v>6456692.0000000019</v>
      </c>
      <c r="AX34" s="3"/>
      <c r="AY34" s="3"/>
      <c r="AZ34" s="3"/>
      <c r="BA34" s="3"/>
    </row>
    <row r="35" spans="1:53" ht="15.75" thickBot="1" x14ac:dyDescent="0.3">
      <c r="A35" s="88">
        <v>2030</v>
      </c>
      <c r="B35" s="89">
        <f t="shared" si="2"/>
        <v>5.4900000000000091</v>
      </c>
      <c r="C35" s="90">
        <f t="shared" si="3"/>
        <v>731504</v>
      </c>
      <c r="D35" s="90">
        <f t="shared" si="1"/>
        <v>4015956.9600000065</v>
      </c>
      <c r="E35" s="63">
        <v>5869720</v>
      </c>
      <c r="F35" s="3"/>
      <c r="G35" s="88">
        <v>2030</v>
      </c>
      <c r="H35" s="89">
        <v>5.4900000000000091</v>
      </c>
      <c r="I35" s="90">
        <v>731504</v>
      </c>
      <c r="J35" s="90">
        <v>4015956.9600000065</v>
      </c>
      <c r="K35" s="63">
        <v>6456692.0000000019</v>
      </c>
      <c r="L35" s="3"/>
      <c r="M35" s="111">
        <v>804654.4</v>
      </c>
      <c r="N35" s="90">
        <v>4417552.6560000079</v>
      </c>
      <c r="O35" s="63">
        <v>5869720</v>
      </c>
      <c r="P35" s="3"/>
      <c r="Q35" s="89">
        <v>6.5880000000000107</v>
      </c>
      <c r="R35" s="111">
        <v>731504</v>
      </c>
      <c r="S35" s="90">
        <v>4819148.3520000074</v>
      </c>
      <c r="T35" s="63">
        <v>5869720</v>
      </c>
      <c r="U35" s="3"/>
      <c r="V35" s="89">
        <f>(0.122*'CASO 4'!C79-242.17)*(1+'CASO 4'!$D$3)</f>
        <v>6.5880000000000107</v>
      </c>
      <c r="W35" s="90">
        <f>(-1.10182183892221*'CASO 4'!C79^5+11117.6221884797*'CASO 4'!C79^4-44871038.4173958*'CASO 4'!C79^3+90549072863.1658*'CASO 4'!C79^2-91361993395092.5*'CASO 4'!C79+36872346508759500)*(1+'CASO 4'!$D$2)</f>
        <v>804654.4</v>
      </c>
      <c r="X35" s="90">
        <f t="shared" si="0"/>
        <v>5301063.1872000089</v>
      </c>
      <c r="Y35" s="63">
        <f t="shared" si="5"/>
        <v>6456692.0000000019</v>
      </c>
      <c r="AX35" s="3"/>
      <c r="AY35" s="3"/>
      <c r="AZ35" s="3"/>
      <c r="BA35" s="3"/>
    </row>
    <row r="36" spans="1:53" s="3" customFormat="1" ht="15.75" thickBot="1" x14ac:dyDescent="0.3"/>
    <row r="37" spans="1:53" s="3" customFormat="1" ht="15.75" thickBot="1" x14ac:dyDescent="0.3">
      <c r="V37" s="113" t="s">
        <v>32</v>
      </c>
      <c r="W37" s="114"/>
      <c r="X37" s="114"/>
      <c r="Y37" s="114"/>
      <c r="Z37" s="115">
        <v>0.1</v>
      </c>
    </row>
    <row r="38" spans="1:53" s="3" customFormat="1" ht="12" customHeight="1" x14ac:dyDescent="0.25">
      <c r="G38" s="113" t="s">
        <v>32</v>
      </c>
      <c r="H38" s="114"/>
      <c r="I38" s="114"/>
      <c r="J38" s="114"/>
      <c r="K38" s="121"/>
      <c r="V38" s="116" t="s">
        <v>33</v>
      </c>
      <c r="W38" s="6"/>
      <c r="X38" s="6"/>
      <c r="Y38" s="6"/>
      <c r="Z38" s="117">
        <v>0.1</v>
      </c>
    </row>
    <row r="39" spans="1:53" s="3" customFormat="1" ht="11.25" customHeight="1" thickBot="1" x14ac:dyDescent="0.3">
      <c r="G39" s="122">
        <v>0.1</v>
      </c>
      <c r="H39" s="119"/>
      <c r="I39" s="119"/>
      <c r="J39" s="119"/>
      <c r="K39" s="123"/>
      <c r="V39" s="118" t="s">
        <v>34</v>
      </c>
      <c r="W39" s="119"/>
      <c r="X39" s="119"/>
      <c r="Y39" s="119"/>
      <c r="Z39" s="120">
        <v>0.2</v>
      </c>
    </row>
    <row r="40" spans="1:53" s="3" customFormat="1" ht="6" customHeight="1" thickBot="1" x14ac:dyDescent="0.3"/>
    <row r="41" spans="1:53" s="3" customFormat="1" ht="15.75" customHeight="1" x14ac:dyDescent="0.25">
      <c r="M41" s="113" t="s">
        <v>35</v>
      </c>
      <c r="N41" s="114"/>
      <c r="O41" s="114"/>
      <c r="P41" s="121"/>
    </row>
    <row r="42" spans="1:53" s="3" customFormat="1" ht="15.75" thickBot="1" x14ac:dyDescent="0.3">
      <c r="M42" s="122">
        <v>0.1</v>
      </c>
      <c r="N42" s="119"/>
      <c r="O42" s="119"/>
      <c r="P42" s="123"/>
    </row>
    <row r="43" spans="1:53" s="3" customFormat="1" ht="2.25" customHeight="1" thickBot="1" x14ac:dyDescent="0.3"/>
    <row r="44" spans="1:53" s="3" customFormat="1" ht="12" customHeight="1" x14ac:dyDescent="0.25">
      <c r="Q44" s="113" t="s">
        <v>34</v>
      </c>
      <c r="R44" s="114"/>
      <c r="S44" s="114"/>
      <c r="T44" s="114"/>
      <c r="U44" s="121"/>
    </row>
    <row r="45" spans="1:53" s="3" customFormat="1" ht="12" customHeight="1" thickBot="1" x14ac:dyDescent="0.3">
      <c r="Q45" s="122">
        <v>0.2</v>
      </c>
      <c r="R45" s="119"/>
      <c r="S45" s="119"/>
      <c r="T45" s="119"/>
      <c r="U45" s="123"/>
    </row>
    <row r="46" spans="1:53" s="3" customFormat="1" x14ac:dyDescent="0.25"/>
    <row r="47" spans="1:53" s="3" customFormat="1" x14ac:dyDescent="0.25"/>
    <row r="48" spans="1:53" s="3" customFormat="1" x14ac:dyDescent="0.25"/>
    <row r="49" s="3" customFormat="1" x14ac:dyDescent="0.25"/>
    <row r="50" s="3" customFormat="1" x14ac:dyDescent="0.25"/>
    <row r="51" s="3" customFormat="1" x14ac:dyDescent="0.25"/>
    <row r="52" s="3" customFormat="1" x14ac:dyDescent="0.25"/>
    <row r="53" s="3" customFormat="1" x14ac:dyDescent="0.25"/>
    <row r="54" s="3" customFormat="1" x14ac:dyDescent="0.25"/>
    <row r="55" s="3" customFormat="1" x14ac:dyDescent="0.25"/>
    <row r="56" s="3" customFormat="1" x14ac:dyDescent="0.25"/>
    <row r="57" s="3" customFormat="1" x14ac:dyDescent="0.25"/>
    <row r="58" s="3" customFormat="1" x14ac:dyDescent="0.25"/>
    <row r="59" s="3" customFormat="1" x14ac:dyDescent="0.25"/>
    <row r="60" s="3" customFormat="1" x14ac:dyDescent="0.25"/>
    <row r="61" s="3" customFormat="1" x14ac:dyDescent="0.25"/>
    <row r="62" s="3" customFormat="1" x14ac:dyDescent="0.25"/>
    <row r="63" s="3" customFormat="1" x14ac:dyDescent="0.25"/>
    <row r="64" s="3" customFormat="1" x14ac:dyDescent="0.25"/>
    <row r="65" s="3" customFormat="1" x14ac:dyDescent="0.25"/>
    <row r="66" s="3" customFormat="1" x14ac:dyDescent="0.25"/>
    <row r="67" s="3" customFormat="1" x14ac:dyDescent="0.25"/>
    <row r="68" s="3" customFormat="1" x14ac:dyDescent="0.25"/>
    <row r="69" s="3" customFormat="1" x14ac:dyDescent="0.25"/>
    <row r="70" s="3" customFormat="1" x14ac:dyDescent="0.25"/>
    <row r="71" s="3" customFormat="1" x14ac:dyDescent="0.25"/>
    <row r="72" s="3" customFormat="1" x14ac:dyDescent="0.25"/>
    <row r="73" s="3" customFormat="1" x14ac:dyDescent="0.25"/>
    <row r="74" s="3" customFormat="1" x14ac:dyDescent="0.25"/>
    <row r="75" s="3" customFormat="1" x14ac:dyDescent="0.25"/>
    <row r="76" s="3" customFormat="1" x14ac:dyDescent="0.25"/>
    <row r="77" s="3" customFormat="1" x14ac:dyDescent="0.25"/>
    <row r="78" s="3" customFormat="1" x14ac:dyDescent="0.25"/>
    <row r="79" s="3" customFormat="1" x14ac:dyDescent="0.25"/>
    <row r="80" s="3" customFormat="1" x14ac:dyDescent="0.25"/>
    <row r="81" s="3" customFormat="1" x14ac:dyDescent="0.25"/>
    <row r="82" s="3" customFormat="1" x14ac:dyDescent="0.25"/>
    <row r="83" s="3" customFormat="1" x14ac:dyDescent="0.25"/>
    <row r="84" s="3" customFormat="1" x14ac:dyDescent="0.25"/>
    <row r="85" s="3" customFormat="1" x14ac:dyDescent="0.25"/>
    <row r="86" s="3" customFormat="1" x14ac:dyDescent="0.25"/>
    <row r="87" s="3" customFormat="1" x14ac:dyDescent="0.25"/>
    <row r="88" s="3" customFormat="1" x14ac:dyDescent="0.25"/>
    <row r="89" s="3" customFormat="1" x14ac:dyDescent="0.25"/>
    <row r="90" s="3" customFormat="1" x14ac:dyDescent="0.25"/>
    <row r="91" s="3" customFormat="1" x14ac:dyDescent="0.25"/>
    <row r="92" s="3" customFormat="1" x14ac:dyDescent="0.25"/>
    <row r="93" s="3" customFormat="1" x14ac:dyDescent="0.25"/>
    <row r="94" s="3" customFormat="1" x14ac:dyDescent="0.25"/>
    <row r="95" s="3" customFormat="1" x14ac:dyDescent="0.25"/>
    <row r="96" s="3" customFormat="1" x14ac:dyDescent="0.25"/>
    <row r="97" s="3" customFormat="1" x14ac:dyDescent="0.25"/>
    <row r="98" s="3" customFormat="1" x14ac:dyDescent="0.25"/>
    <row r="99" s="3" customFormat="1" x14ac:dyDescent="0.25"/>
    <row r="100" s="3" customFormat="1" x14ac:dyDescent="0.25"/>
    <row r="101" s="3" customFormat="1" x14ac:dyDescent="0.25"/>
    <row r="102" s="3" customFormat="1" x14ac:dyDescent="0.25"/>
    <row r="103" s="3" customFormat="1" x14ac:dyDescent="0.25"/>
    <row r="104" s="3" customFormat="1" x14ac:dyDescent="0.25"/>
    <row r="105" s="3" customFormat="1" x14ac:dyDescent="0.25"/>
    <row r="106" s="3" customFormat="1" x14ac:dyDescent="0.25"/>
    <row r="107" s="3" customFormat="1" x14ac:dyDescent="0.25"/>
    <row r="108" s="3" customFormat="1" x14ac:dyDescent="0.25"/>
    <row r="109" s="3" customFormat="1" x14ac:dyDescent="0.25"/>
    <row r="110" s="3" customFormat="1" x14ac:dyDescent="0.25"/>
    <row r="111" s="3" customFormat="1" x14ac:dyDescent="0.25"/>
    <row r="112" s="3" customFormat="1" x14ac:dyDescent="0.25"/>
    <row r="113" s="3" customFormat="1" x14ac:dyDescent="0.25"/>
    <row r="114" s="3" customFormat="1" x14ac:dyDescent="0.25"/>
    <row r="115" s="3" customFormat="1" x14ac:dyDescent="0.25"/>
    <row r="116" s="3" customFormat="1" x14ac:dyDescent="0.25"/>
    <row r="117" s="3" customFormat="1" x14ac:dyDescent="0.25"/>
    <row r="118" s="3" customFormat="1" x14ac:dyDescent="0.25"/>
    <row r="119" s="3" customFormat="1" x14ac:dyDescent="0.25"/>
    <row r="120" s="3" customFormat="1" x14ac:dyDescent="0.25"/>
    <row r="121" s="3" customFormat="1" x14ac:dyDescent="0.25"/>
    <row r="122" s="3" customFormat="1" x14ac:dyDescent="0.25"/>
    <row r="123" s="3" customFormat="1" x14ac:dyDescent="0.25"/>
    <row r="124" s="3" customFormat="1" x14ac:dyDescent="0.25"/>
    <row r="125" s="3" customFormat="1" x14ac:dyDescent="0.25"/>
    <row r="126" s="3" customFormat="1" x14ac:dyDescent="0.25"/>
    <row r="127" s="3" customFormat="1" x14ac:dyDescent="0.25"/>
    <row r="128" s="3" customFormat="1" x14ac:dyDescent="0.25"/>
    <row r="129" s="3" customFormat="1" x14ac:dyDescent="0.25"/>
    <row r="130" s="3" customFormat="1" x14ac:dyDescent="0.25"/>
    <row r="131" s="3" customFormat="1" x14ac:dyDescent="0.25"/>
    <row r="132" s="3" customFormat="1" x14ac:dyDescent="0.25"/>
    <row r="133" s="3" customFormat="1" x14ac:dyDescent="0.25"/>
    <row r="134" s="3" customFormat="1" x14ac:dyDescent="0.25"/>
    <row r="135" s="3" customFormat="1" x14ac:dyDescent="0.25"/>
    <row r="136" s="3" customFormat="1" x14ac:dyDescent="0.25"/>
    <row r="137" s="3" customFormat="1" x14ac:dyDescent="0.25"/>
    <row r="138" s="3" customFormat="1" x14ac:dyDescent="0.25"/>
    <row r="139" s="3" customFormat="1" x14ac:dyDescent="0.25"/>
    <row r="140" s="3" customFormat="1" x14ac:dyDescent="0.25"/>
    <row r="141" s="3" customFormat="1" x14ac:dyDescent="0.25"/>
    <row r="142" s="3" customFormat="1" x14ac:dyDescent="0.25"/>
    <row r="143" s="3" customFormat="1" x14ac:dyDescent="0.25"/>
    <row r="144" s="3" customFormat="1" x14ac:dyDescent="0.25"/>
    <row r="145" s="3" customFormat="1" x14ac:dyDescent="0.25"/>
    <row r="146" s="3" customFormat="1" x14ac:dyDescent="0.25"/>
    <row r="147" s="3" customFormat="1" x14ac:dyDescent="0.25"/>
    <row r="148" s="3" customFormat="1" x14ac:dyDescent="0.25"/>
    <row r="149" s="3" customFormat="1" x14ac:dyDescent="0.25"/>
    <row r="150" s="3" customFormat="1" x14ac:dyDescent="0.25"/>
    <row r="151" s="3" customFormat="1" x14ac:dyDescent="0.25"/>
    <row r="152" s="3" customFormat="1" x14ac:dyDescent="0.25"/>
    <row r="153" s="3" customFormat="1" x14ac:dyDescent="0.25"/>
    <row r="154" s="3" customFormat="1" x14ac:dyDescent="0.25"/>
    <row r="155" s="3" customFormat="1" x14ac:dyDescent="0.25"/>
    <row r="156" s="3" customFormat="1" x14ac:dyDescent="0.25"/>
    <row r="157" s="3" customFormat="1" x14ac:dyDescent="0.25"/>
    <row r="158" s="3" customFormat="1" x14ac:dyDescent="0.25"/>
    <row r="159" s="3" customFormat="1" x14ac:dyDescent="0.25"/>
    <row r="160" s="3" customFormat="1" x14ac:dyDescent="0.25"/>
    <row r="161" s="3" customFormat="1" x14ac:dyDescent="0.25"/>
    <row r="162" s="3" customFormat="1" x14ac:dyDescent="0.25"/>
    <row r="163" s="3" customFormat="1" x14ac:dyDescent="0.25"/>
    <row r="164" s="3" customFormat="1" x14ac:dyDescent="0.25"/>
    <row r="165" s="3" customFormat="1" x14ac:dyDescent="0.25"/>
    <row r="166" s="3" customFormat="1" x14ac:dyDescent="0.25"/>
    <row r="167" s="3" customFormat="1" x14ac:dyDescent="0.25"/>
    <row r="168" s="3" customFormat="1" x14ac:dyDescent="0.25"/>
    <row r="169" s="3" customFormat="1" x14ac:dyDescent="0.25"/>
    <row r="170" s="3" customFormat="1" x14ac:dyDescent="0.25"/>
    <row r="171" s="3" customFormat="1" x14ac:dyDescent="0.25"/>
    <row r="172" s="3" customFormat="1" x14ac:dyDescent="0.25"/>
    <row r="173" s="3" customFormat="1" x14ac:dyDescent="0.25"/>
    <row r="174" s="3" customFormat="1" x14ac:dyDescent="0.25"/>
    <row r="175" s="3" customFormat="1" x14ac:dyDescent="0.25"/>
    <row r="176" s="3" customFormat="1" x14ac:dyDescent="0.25"/>
    <row r="177" s="3" customFormat="1" x14ac:dyDescent="0.25"/>
    <row r="178" s="3" customFormat="1" x14ac:dyDescent="0.25"/>
    <row r="179" s="3" customFormat="1" x14ac:dyDescent="0.25"/>
    <row r="180" s="3" customFormat="1" x14ac:dyDescent="0.25"/>
    <row r="181" s="3" customFormat="1" x14ac:dyDescent="0.25"/>
    <row r="182" s="3" customFormat="1" x14ac:dyDescent="0.25"/>
    <row r="183" s="3" customFormat="1" x14ac:dyDescent="0.25"/>
    <row r="184" s="3" customFormat="1" x14ac:dyDescent="0.25"/>
    <row r="185" s="3" customFormat="1" x14ac:dyDescent="0.25"/>
    <row r="186" s="3" customFormat="1" x14ac:dyDescent="0.25"/>
    <row r="187" s="3" customFormat="1" x14ac:dyDescent="0.25"/>
  </sheetData>
  <pageMargins left="0.70866141732283472" right="0.70866141732283472" top="0.74803149606299213" bottom="0.74803149606299213" header="0.31496062992125984" footer="0.31496062992125984"/>
  <pageSetup paperSize="17" scale="7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1</vt:i4>
      </vt:variant>
    </vt:vector>
  </HeadingPairs>
  <TitlesOfParts>
    <vt:vector size="8" baseType="lpstr">
      <vt:lpstr>BASE</vt:lpstr>
      <vt:lpstr>OLD</vt:lpstr>
      <vt:lpstr>CASO 1</vt:lpstr>
      <vt:lpstr>CASO 2</vt:lpstr>
      <vt:lpstr>CASO 3</vt:lpstr>
      <vt:lpstr>CASO 4</vt:lpstr>
      <vt:lpstr>Hoja1</vt:lpstr>
      <vt:lpstr>Hoja1!Área_de_impresión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Carlos Yañez Carvajal</dc:creator>
  <cp:lastModifiedBy>Juan Carlos Yañez Carvajal</cp:lastModifiedBy>
  <cp:lastPrinted>2015-06-07T18:51:52Z</cp:lastPrinted>
  <dcterms:created xsi:type="dcterms:W3CDTF">2015-05-22T02:45:47Z</dcterms:created>
  <dcterms:modified xsi:type="dcterms:W3CDTF">2015-06-08T00:24:33Z</dcterms:modified>
</cp:coreProperties>
</file>