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nor\Desktop\"/>
    </mc:Choice>
  </mc:AlternateContent>
  <xr:revisionPtr revIDLastSave="0" documentId="13_ncr:1_{04E022CD-73AF-4D65-8412-7382AE1E1B2A}" xr6:coauthVersionLast="47" xr6:coauthVersionMax="47" xr10:uidLastSave="{00000000-0000-0000-0000-000000000000}"/>
  <bookViews>
    <workbookView xWindow="-110" yWindow="-110" windowWidth="19420" windowHeight="11020" xr2:uid="{C25C9BA4-AC5D-4073-A889-7C957EC01919}"/>
  </bookViews>
  <sheets>
    <sheet name="nba2122" sheetId="2" r:id="rId1"/>
    <sheet name="nba2122-advanced" sheetId="3" r:id="rId2"/>
  </sheets>
  <definedNames>
    <definedName name="ExternalData_1" localSheetId="0" hidden="1">'nba2122'!$A$1:$AD$606</definedName>
    <definedName name="ExternalData_1" localSheetId="1" hidden="1">'nba2122-advanced'!$A$1:$AC$606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40" i="2" l="1"/>
  <c r="AU40" i="2"/>
  <c r="AT40" i="2"/>
  <c r="AS40" i="2"/>
  <c r="AR40" i="2"/>
  <c r="AQ40" i="2"/>
  <c r="AW37" i="2"/>
  <c r="AV37" i="2"/>
  <c r="AU37" i="2"/>
  <c r="AT37" i="2"/>
  <c r="AS37" i="2"/>
  <c r="AR37" i="2"/>
  <c r="AQ37" i="2"/>
  <c r="AW34" i="2"/>
  <c r="AV34" i="2"/>
  <c r="AU34" i="2"/>
  <c r="AT34" i="2"/>
  <c r="AS34" i="2"/>
  <c r="AR34" i="2"/>
  <c r="AQ34" i="2"/>
  <c r="AV30" i="2"/>
  <c r="AU30" i="2"/>
  <c r="AT30" i="2"/>
  <c r="AS30" i="2"/>
  <c r="AR30" i="2"/>
  <c r="AQ30" i="2"/>
  <c r="AW27" i="2"/>
  <c r="AV27" i="2"/>
  <c r="AU27" i="2"/>
  <c r="AT27" i="2"/>
  <c r="AS27" i="2"/>
  <c r="AR27" i="2"/>
  <c r="AQ27" i="2"/>
  <c r="AW24" i="2"/>
  <c r="AV24" i="2"/>
  <c r="AU24" i="2"/>
  <c r="AT24" i="2"/>
  <c r="AS24" i="2"/>
  <c r="AR24" i="2"/>
  <c r="AQ24" i="2"/>
  <c r="AE2" i="2"/>
  <c r="AE3" i="2"/>
  <c r="AE4" i="2"/>
  <c r="AE5" i="2"/>
  <c r="AE6" i="2"/>
  <c r="AE7" i="2"/>
  <c r="AE8" i="2"/>
  <c r="AE9" i="2"/>
  <c r="AI34" i="2" s="1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I40" i="2"/>
  <c r="AJ34" i="2"/>
  <c r="AO37" i="2" l="1"/>
  <c r="AK14" i="2"/>
  <c r="AN24" i="2"/>
  <c r="AJ27" i="2"/>
  <c r="AK40" i="2"/>
  <c r="AN34" i="2"/>
  <c r="AO34" i="2"/>
  <c r="AL17" i="2"/>
  <c r="AM20" i="2"/>
  <c r="AK37" i="2"/>
  <c r="AL40" i="2"/>
  <c r="AO24" i="2"/>
  <c r="AK34" i="2"/>
  <c r="AL37" i="2"/>
  <c r="AM40" i="2"/>
  <c r="AL30" i="2"/>
  <c r="AM37" i="2"/>
  <c r="AN40" i="2"/>
  <c r="AL34" i="2"/>
  <c r="AM14" i="2"/>
  <c r="AM34" i="2"/>
  <c r="AN37" i="2"/>
  <c r="AO14" i="2"/>
  <c r="AK30" i="2"/>
  <c r="AI37" i="2"/>
  <c r="AJ40" i="2"/>
  <c r="AJ37" i="2"/>
  <c r="AK24" i="2"/>
  <c r="AL27" i="2"/>
  <c r="AM17" i="2"/>
  <c r="AM30" i="2"/>
  <c r="AN17" i="2"/>
  <c r="AI24" i="2"/>
  <c r="AO17" i="2"/>
  <c r="AK27" i="2"/>
  <c r="AI20" i="2"/>
  <c r="AI17" i="2"/>
  <c r="AJ20" i="2"/>
  <c r="AL24" i="2"/>
  <c r="AM27" i="2"/>
  <c r="AN20" i="2"/>
  <c r="AJ30" i="2"/>
  <c r="AJ24" i="2"/>
  <c r="AI14" i="2"/>
  <c r="AJ17" i="2"/>
  <c r="AK20" i="2"/>
  <c r="AM24" i="2"/>
  <c r="AN27" i="2"/>
  <c r="AL14" i="2"/>
  <c r="AI27" i="2"/>
  <c r="AN14" i="2"/>
  <c r="AJ14" i="2"/>
  <c r="AK17" i="2"/>
  <c r="AL20" i="2"/>
  <c r="AN30" i="2"/>
  <c r="AO27" i="2"/>
  <c r="AI30" i="2"/>
  <c r="AK10" i="2"/>
  <c r="AJ7" i="2"/>
  <c r="AI4" i="2"/>
  <c r="AJ10" i="2"/>
  <c r="AI7" i="2"/>
  <c r="AI10" i="2"/>
  <c r="AO4" i="2"/>
  <c r="AO7" i="2"/>
  <c r="AN4" i="2"/>
  <c r="AK7" i="2"/>
  <c r="AL7" i="2"/>
  <c r="AK4" i="2"/>
  <c r="AN10" i="2"/>
  <c r="AM7" i="2"/>
  <c r="AN7" i="2"/>
  <c r="AM10" i="2"/>
  <c r="AL4" i="2"/>
  <c r="AM4" i="2"/>
  <c r="AJ4" i="2"/>
  <c r="AL10" i="2"/>
  <c r="AF10" i="2" l="1"/>
  <c r="AF9" i="2"/>
  <c r="AF18" i="2"/>
  <c r="AF26" i="2"/>
  <c r="AF34" i="2"/>
  <c r="AF42" i="2"/>
  <c r="AF50" i="2"/>
  <c r="AF58" i="2"/>
  <c r="AF66" i="2"/>
  <c r="AF74" i="2"/>
  <c r="AF82" i="2"/>
  <c r="AF90" i="2"/>
  <c r="AF98" i="2"/>
  <c r="AF106" i="2"/>
  <c r="AF114" i="2"/>
  <c r="AF122" i="2"/>
  <c r="AF130" i="2"/>
  <c r="AF138" i="2"/>
  <c r="AF146" i="2"/>
  <c r="AF154" i="2"/>
  <c r="AF162" i="2"/>
  <c r="AF170" i="2"/>
  <c r="AF178" i="2"/>
  <c r="AF186" i="2"/>
  <c r="AF194" i="2"/>
  <c r="AF202" i="2"/>
  <c r="AF210" i="2"/>
  <c r="AF218" i="2"/>
  <c r="AF226" i="2"/>
  <c r="AF234" i="2"/>
  <c r="AF242" i="2"/>
  <c r="AF250" i="2"/>
  <c r="AF258" i="2"/>
  <c r="AF266" i="2"/>
  <c r="AF274" i="2"/>
  <c r="AF282" i="2"/>
  <c r="AF290" i="2"/>
  <c r="AF298" i="2"/>
  <c r="AF306" i="2"/>
  <c r="AF314" i="2"/>
  <c r="AF322" i="2"/>
  <c r="AF330" i="2"/>
  <c r="AF338" i="2"/>
  <c r="AF346" i="2"/>
  <c r="AF354" i="2"/>
  <c r="AF362" i="2"/>
  <c r="AF370" i="2"/>
  <c r="AF378" i="2"/>
  <c r="AF386" i="2"/>
  <c r="AF394" i="2"/>
  <c r="AF402" i="2"/>
  <c r="AF410" i="2"/>
  <c r="AF418" i="2"/>
  <c r="AF426" i="2"/>
  <c r="AF434" i="2"/>
  <c r="AF442" i="2"/>
  <c r="AF450" i="2"/>
  <c r="AF458" i="2"/>
  <c r="AF466" i="2"/>
  <c r="AF474" i="2"/>
  <c r="AF482" i="2"/>
  <c r="AF490" i="2"/>
  <c r="AF498" i="2"/>
  <c r="AF506" i="2"/>
  <c r="AF514" i="2"/>
  <c r="AF522" i="2"/>
  <c r="AF530" i="2"/>
  <c r="AF538" i="2"/>
  <c r="AF546" i="2"/>
  <c r="AF554" i="2"/>
  <c r="AF562" i="2"/>
  <c r="AF570" i="2"/>
  <c r="AF578" i="2"/>
  <c r="AF586" i="2"/>
  <c r="AF594" i="2"/>
  <c r="AF602" i="2"/>
  <c r="AF2" i="2"/>
  <c r="AF11" i="2"/>
  <c r="AF19" i="2"/>
  <c r="AF27" i="2"/>
  <c r="AF35" i="2"/>
  <c r="AF43" i="2"/>
  <c r="AF51" i="2"/>
  <c r="AF59" i="2"/>
  <c r="AF67" i="2"/>
  <c r="AF75" i="2"/>
  <c r="AF83" i="2"/>
  <c r="AF91" i="2"/>
  <c r="AF99" i="2"/>
  <c r="AF107" i="2"/>
  <c r="AF115" i="2"/>
  <c r="AF123" i="2"/>
  <c r="AF131" i="2"/>
  <c r="AF139" i="2"/>
  <c r="AF147" i="2"/>
  <c r="AF155" i="2"/>
  <c r="AF163" i="2"/>
  <c r="AF171" i="2"/>
  <c r="AF179" i="2"/>
  <c r="AF187" i="2"/>
  <c r="AF195" i="2"/>
  <c r="AF203" i="2"/>
  <c r="AF211" i="2"/>
  <c r="AF219" i="2"/>
  <c r="AF227" i="2"/>
  <c r="AF235" i="2"/>
  <c r="AF243" i="2"/>
  <c r="AF251" i="2"/>
  <c r="AF259" i="2"/>
  <c r="AF267" i="2"/>
  <c r="AF275" i="2"/>
  <c r="AF283" i="2"/>
  <c r="AF291" i="2"/>
  <c r="AF299" i="2"/>
  <c r="AF307" i="2"/>
  <c r="AF315" i="2"/>
  <c r="AF323" i="2"/>
  <c r="AF331" i="2"/>
  <c r="AF339" i="2"/>
  <c r="AF347" i="2"/>
  <c r="AF355" i="2"/>
  <c r="AF363" i="2"/>
  <c r="AF371" i="2"/>
  <c r="AF379" i="2"/>
  <c r="AF387" i="2"/>
  <c r="AF395" i="2"/>
  <c r="AF403" i="2"/>
  <c r="AF411" i="2"/>
  <c r="AF419" i="2"/>
  <c r="AF427" i="2"/>
  <c r="AF435" i="2"/>
  <c r="AF443" i="2"/>
  <c r="AF451" i="2"/>
  <c r="AF459" i="2"/>
  <c r="AF467" i="2"/>
  <c r="AF475" i="2"/>
  <c r="AF483" i="2"/>
  <c r="AF491" i="2"/>
  <c r="AF499" i="2"/>
  <c r="AF507" i="2"/>
  <c r="AF515" i="2"/>
  <c r="AF523" i="2"/>
  <c r="AF531" i="2"/>
  <c r="AF539" i="2"/>
  <c r="AF547" i="2"/>
  <c r="AF555" i="2"/>
  <c r="AF563" i="2"/>
  <c r="AF571" i="2"/>
  <c r="AF579" i="2"/>
  <c r="AF587" i="2"/>
  <c r="AF595" i="2"/>
  <c r="AF603" i="2"/>
  <c r="AF3" i="2"/>
  <c r="AF12" i="2"/>
  <c r="AF20" i="2"/>
  <c r="AF28" i="2"/>
  <c r="AF36" i="2"/>
  <c r="AF44" i="2"/>
  <c r="AF52" i="2"/>
  <c r="AF60" i="2"/>
  <c r="AF68" i="2"/>
  <c r="AF76" i="2"/>
  <c r="AF84" i="2"/>
  <c r="AF92" i="2"/>
  <c r="AF100" i="2"/>
  <c r="AF108" i="2"/>
  <c r="AF116" i="2"/>
  <c r="AF124" i="2"/>
  <c r="AF132" i="2"/>
  <c r="AF140" i="2"/>
  <c r="AF148" i="2"/>
  <c r="AF156" i="2"/>
  <c r="AF164" i="2"/>
  <c r="AF172" i="2"/>
  <c r="AF180" i="2"/>
  <c r="AF188" i="2"/>
  <c r="AF196" i="2"/>
  <c r="AF204" i="2"/>
  <c r="AF212" i="2"/>
  <c r="AF220" i="2"/>
  <c r="AF228" i="2"/>
  <c r="AF236" i="2"/>
  <c r="AF244" i="2"/>
  <c r="AF252" i="2"/>
  <c r="AF260" i="2"/>
  <c r="AF268" i="2"/>
  <c r="AF276" i="2"/>
  <c r="AF284" i="2"/>
  <c r="AF292" i="2"/>
  <c r="AF300" i="2"/>
  <c r="AF308" i="2"/>
  <c r="AF316" i="2"/>
  <c r="AF324" i="2"/>
  <c r="AF332" i="2"/>
  <c r="AF340" i="2"/>
  <c r="AF348" i="2"/>
  <c r="AF356" i="2"/>
  <c r="AF364" i="2"/>
  <c r="AF372" i="2"/>
  <c r="AF380" i="2"/>
  <c r="AF388" i="2"/>
  <c r="AF396" i="2"/>
  <c r="AF404" i="2"/>
  <c r="AF412" i="2"/>
  <c r="AF420" i="2"/>
  <c r="AF428" i="2"/>
  <c r="AF436" i="2"/>
  <c r="AF444" i="2"/>
  <c r="AF452" i="2"/>
  <c r="AF460" i="2"/>
  <c r="AF468" i="2"/>
  <c r="AF476" i="2"/>
  <c r="AF484" i="2"/>
  <c r="AF492" i="2"/>
  <c r="AF500" i="2"/>
  <c r="AF508" i="2"/>
  <c r="AF516" i="2"/>
  <c r="AF524" i="2"/>
  <c r="AF532" i="2"/>
  <c r="AF540" i="2"/>
  <c r="AF548" i="2"/>
  <c r="AF556" i="2"/>
  <c r="AF564" i="2"/>
  <c r="AF572" i="2"/>
  <c r="AF580" i="2"/>
  <c r="AF588" i="2"/>
  <c r="AF596" i="2"/>
  <c r="AF604" i="2"/>
  <c r="AF5" i="2"/>
  <c r="AF14" i="2"/>
  <c r="AF22" i="2"/>
  <c r="AF30" i="2"/>
  <c r="AF38" i="2"/>
  <c r="AF46" i="2"/>
  <c r="AF54" i="2"/>
  <c r="AF4" i="2"/>
  <c r="AF13" i="2"/>
  <c r="AF21" i="2"/>
  <c r="AF29" i="2"/>
  <c r="AF37" i="2"/>
  <c r="AF45" i="2"/>
  <c r="AF53" i="2"/>
  <c r="AF61" i="2"/>
  <c r="AF69" i="2"/>
  <c r="AF77" i="2"/>
  <c r="AF85" i="2"/>
  <c r="AF93" i="2"/>
  <c r="AF101" i="2"/>
  <c r="AF109" i="2"/>
  <c r="AF117" i="2"/>
  <c r="AF125" i="2"/>
  <c r="AF133" i="2"/>
  <c r="AF141" i="2"/>
  <c r="AF149" i="2"/>
  <c r="AF157" i="2"/>
  <c r="AF165" i="2"/>
  <c r="AF173" i="2"/>
  <c r="AF181" i="2"/>
  <c r="AF189" i="2"/>
  <c r="AF197" i="2"/>
  <c r="AF205" i="2"/>
  <c r="AF213" i="2"/>
  <c r="AF221" i="2"/>
  <c r="AF229" i="2"/>
  <c r="AF237" i="2"/>
  <c r="AF245" i="2"/>
  <c r="AF253" i="2"/>
  <c r="AF261" i="2"/>
  <c r="AF269" i="2"/>
  <c r="AF277" i="2"/>
  <c r="AF285" i="2"/>
  <c r="AF293" i="2"/>
  <c r="AF301" i="2"/>
  <c r="AF309" i="2"/>
  <c r="AF317" i="2"/>
  <c r="AF325" i="2"/>
  <c r="AF333" i="2"/>
  <c r="AF341" i="2"/>
  <c r="AF349" i="2"/>
  <c r="AF357" i="2"/>
  <c r="AF365" i="2"/>
  <c r="AF373" i="2"/>
  <c r="AF381" i="2"/>
  <c r="AF389" i="2"/>
  <c r="AF397" i="2"/>
  <c r="AF405" i="2"/>
  <c r="AF413" i="2"/>
  <c r="AF421" i="2"/>
  <c r="AF429" i="2"/>
  <c r="AF437" i="2"/>
  <c r="AF445" i="2"/>
  <c r="AF453" i="2"/>
  <c r="AF461" i="2"/>
  <c r="AF469" i="2"/>
  <c r="AF477" i="2"/>
  <c r="AF485" i="2"/>
  <c r="AF493" i="2"/>
  <c r="AF501" i="2"/>
  <c r="AF509" i="2"/>
  <c r="AF517" i="2"/>
  <c r="AF525" i="2"/>
  <c r="AF533" i="2"/>
  <c r="AF541" i="2"/>
  <c r="AF549" i="2"/>
  <c r="AF557" i="2"/>
  <c r="AF565" i="2"/>
  <c r="AF573" i="2"/>
  <c r="AF581" i="2"/>
  <c r="AF589" i="2"/>
  <c r="AF597" i="2"/>
  <c r="AF605" i="2"/>
  <c r="AF6" i="2"/>
  <c r="AF25" i="2"/>
  <c r="AF48" i="2"/>
  <c r="AF65" i="2"/>
  <c r="AF81" i="2"/>
  <c r="AF97" i="2"/>
  <c r="AF113" i="2"/>
  <c r="AF129" i="2"/>
  <c r="AF145" i="2"/>
  <c r="AF161" i="2"/>
  <c r="AF177" i="2"/>
  <c r="AF193" i="2"/>
  <c r="AF209" i="2"/>
  <c r="AF225" i="2"/>
  <c r="AF241" i="2"/>
  <c r="AF257" i="2"/>
  <c r="AF273" i="2"/>
  <c r="AF289" i="2"/>
  <c r="AF305" i="2"/>
  <c r="AF321" i="2"/>
  <c r="AF337" i="2"/>
  <c r="AF353" i="2"/>
  <c r="AF369" i="2"/>
  <c r="AF385" i="2"/>
  <c r="AF401" i="2"/>
  <c r="AF417" i="2"/>
  <c r="AF433" i="2"/>
  <c r="AF449" i="2"/>
  <c r="AF465" i="2"/>
  <c r="AF481" i="2"/>
  <c r="AF497" i="2"/>
  <c r="AF513" i="2"/>
  <c r="AF529" i="2"/>
  <c r="AF545" i="2"/>
  <c r="AF561" i="2"/>
  <c r="AF577" i="2"/>
  <c r="AF593" i="2"/>
  <c r="AF190" i="2"/>
  <c r="AF302" i="2"/>
  <c r="AF334" i="2"/>
  <c r="AF366" i="2"/>
  <c r="AF414" i="2"/>
  <c r="AF446" i="2"/>
  <c r="AF478" i="2"/>
  <c r="AF510" i="2"/>
  <c r="AF542" i="2"/>
  <c r="AF574" i="2"/>
  <c r="AF23" i="2"/>
  <c r="AF63" i="2"/>
  <c r="AF95" i="2"/>
  <c r="AF127" i="2"/>
  <c r="AF159" i="2"/>
  <c r="AF191" i="2"/>
  <c r="AF223" i="2"/>
  <c r="AF255" i="2"/>
  <c r="AF287" i="2"/>
  <c r="AF319" i="2"/>
  <c r="AF351" i="2"/>
  <c r="AF383" i="2"/>
  <c r="AF415" i="2"/>
  <c r="AF447" i="2"/>
  <c r="AF495" i="2"/>
  <c r="AF527" i="2"/>
  <c r="AF559" i="2"/>
  <c r="AF591" i="2"/>
  <c r="AF7" i="2"/>
  <c r="AF31" i="2"/>
  <c r="AF49" i="2"/>
  <c r="AF70" i="2"/>
  <c r="AF86" i="2"/>
  <c r="AF102" i="2"/>
  <c r="AF118" i="2"/>
  <c r="AF134" i="2"/>
  <c r="AF150" i="2"/>
  <c r="AF166" i="2"/>
  <c r="AF182" i="2"/>
  <c r="AF198" i="2"/>
  <c r="AF214" i="2"/>
  <c r="AF230" i="2"/>
  <c r="AF246" i="2"/>
  <c r="AF262" i="2"/>
  <c r="AF278" i="2"/>
  <c r="AF294" i="2"/>
  <c r="AF310" i="2"/>
  <c r="AF326" i="2"/>
  <c r="AF342" i="2"/>
  <c r="AF358" i="2"/>
  <c r="AF374" i="2"/>
  <c r="AF390" i="2"/>
  <c r="AF406" i="2"/>
  <c r="AF422" i="2"/>
  <c r="AF438" i="2"/>
  <c r="AF454" i="2"/>
  <c r="AF470" i="2"/>
  <c r="AF486" i="2"/>
  <c r="AF502" i="2"/>
  <c r="AF518" i="2"/>
  <c r="AF534" i="2"/>
  <c r="AF550" i="2"/>
  <c r="AF566" i="2"/>
  <c r="AF582" i="2"/>
  <c r="AF598" i="2"/>
  <c r="AF8" i="2"/>
  <c r="AF32" i="2"/>
  <c r="AF55" i="2"/>
  <c r="AF71" i="2"/>
  <c r="AF87" i="2"/>
  <c r="AF103" i="2"/>
  <c r="AF119" i="2"/>
  <c r="AF135" i="2"/>
  <c r="AF151" i="2"/>
  <c r="AF167" i="2"/>
  <c r="AF183" i="2"/>
  <c r="AF199" i="2"/>
  <c r="AF215" i="2"/>
  <c r="AF231" i="2"/>
  <c r="AF247" i="2"/>
  <c r="AF263" i="2"/>
  <c r="AF279" i="2"/>
  <c r="AF295" i="2"/>
  <c r="AF311" i="2"/>
  <c r="AF327" i="2"/>
  <c r="AF343" i="2"/>
  <c r="AF359" i="2"/>
  <c r="AF375" i="2"/>
  <c r="AF391" i="2"/>
  <c r="AF407" i="2"/>
  <c r="AF423" i="2"/>
  <c r="AF439" i="2"/>
  <c r="AF455" i="2"/>
  <c r="AF471" i="2"/>
  <c r="AF487" i="2"/>
  <c r="AF503" i="2"/>
  <c r="AF519" i="2"/>
  <c r="AF535" i="2"/>
  <c r="AF551" i="2"/>
  <c r="AF567" i="2"/>
  <c r="AF583" i="2"/>
  <c r="AF599" i="2"/>
  <c r="AF16" i="2"/>
  <c r="AF39" i="2"/>
  <c r="AF57" i="2"/>
  <c r="AF73" i="2"/>
  <c r="AF89" i="2"/>
  <c r="AF105" i="2"/>
  <c r="AF121" i="2"/>
  <c r="AF153" i="2"/>
  <c r="AF169" i="2"/>
  <c r="AF185" i="2"/>
  <c r="AF201" i="2"/>
  <c r="AF217" i="2"/>
  <c r="AF233" i="2"/>
  <c r="AF249" i="2"/>
  <c r="AF265" i="2"/>
  <c r="AF281" i="2"/>
  <c r="AF313" i="2"/>
  <c r="AF329" i="2"/>
  <c r="AF361" i="2"/>
  <c r="AF377" i="2"/>
  <c r="AF409" i="2"/>
  <c r="AF441" i="2"/>
  <c r="AF473" i="2"/>
  <c r="AF489" i="2"/>
  <c r="AF521" i="2"/>
  <c r="AF553" i="2"/>
  <c r="AF569" i="2"/>
  <c r="AF601" i="2"/>
  <c r="AF17" i="2"/>
  <c r="AF40" i="2"/>
  <c r="AF62" i="2"/>
  <c r="AF78" i="2"/>
  <c r="AF94" i="2"/>
  <c r="AF110" i="2"/>
  <c r="AF126" i="2"/>
  <c r="AF142" i="2"/>
  <c r="AF158" i="2"/>
  <c r="AF174" i="2"/>
  <c r="AF206" i="2"/>
  <c r="AF222" i="2"/>
  <c r="AF238" i="2"/>
  <c r="AF254" i="2"/>
  <c r="AF270" i="2"/>
  <c r="AF286" i="2"/>
  <c r="AF318" i="2"/>
  <c r="AF350" i="2"/>
  <c r="AF398" i="2"/>
  <c r="AF430" i="2"/>
  <c r="AF462" i="2"/>
  <c r="AF494" i="2"/>
  <c r="AF526" i="2"/>
  <c r="AF558" i="2"/>
  <c r="AF590" i="2"/>
  <c r="AF41" i="2"/>
  <c r="AF79" i="2"/>
  <c r="AF111" i="2"/>
  <c r="AF143" i="2"/>
  <c r="AF175" i="2"/>
  <c r="AF207" i="2"/>
  <c r="AF239" i="2"/>
  <c r="AF271" i="2"/>
  <c r="AF303" i="2"/>
  <c r="AF335" i="2"/>
  <c r="AF367" i="2"/>
  <c r="AF399" i="2"/>
  <c r="AF431" i="2"/>
  <c r="AF463" i="2"/>
  <c r="AF511" i="2"/>
  <c r="AF543" i="2"/>
  <c r="AF575" i="2"/>
  <c r="AF24" i="2"/>
  <c r="AF47" i="2"/>
  <c r="AF64" i="2"/>
  <c r="AF80" i="2"/>
  <c r="AF96" i="2"/>
  <c r="AF112" i="2"/>
  <c r="AF128" i="2"/>
  <c r="AF144" i="2"/>
  <c r="AF160" i="2"/>
  <c r="AF192" i="2"/>
  <c r="AF208" i="2"/>
  <c r="AF224" i="2"/>
  <c r="AF240" i="2"/>
  <c r="AF256" i="2"/>
  <c r="AF272" i="2"/>
  <c r="AF288" i="2"/>
  <c r="AF304" i="2"/>
  <c r="AF336" i="2"/>
  <c r="AF352" i="2"/>
  <c r="AF384" i="2"/>
  <c r="AF416" i="2"/>
  <c r="AF448" i="2"/>
  <c r="AF480" i="2"/>
  <c r="AF496" i="2"/>
  <c r="AF528" i="2"/>
  <c r="AF560" i="2"/>
  <c r="AF576" i="2"/>
  <c r="AF15" i="2"/>
  <c r="AF33" i="2"/>
  <c r="AF56" i="2"/>
  <c r="AF72" i="2"/>
  <c r="AF88" i="2"/>
  <c r="AF104" i="2"/>
  <c r="AF120" i="2"/>
  <c r="AF136" i="2"/>
  <c r="AF152" i="2"/>
  <c r="AF168" i="2"/>
  <c r="AF184" i="2"/>
  <c r="AF200" i="2"/>
  <c r="AF216" i="2"/>
  <c r="AF232" i="2"/>
  <c r="AF248" i="2"/>
  <c r="AF264" i="2"/>
  <c r="AF280" i="2"/>
  <c r="AF296" i="2"/>
  <c r="AF312" i="2"/>
  <c r="AF328" i="2"/>
  <c r="AF344" i="2"/>
  <c r="AF360" i="2"/>
  <c r="AF376" i="2"/>
  <c r="AF392" i="2"/>
  <c r="AF408" i="2"/>
  <c r="AF424" i="2"/>
  <c r="AF440" i="2"/>
  <c r="AF456" i="2"/>
  <c r="AF472" i="2"/>
  <c r="AF488" i="2"/>
  <c r="AF504" i="2"/>
  <c r="AF520" i="2"/>
  <c r="AF536" i="2"/>
  <c r="AF552" i="2"/>
  <c r="AF568" i="2"/>
  <c r="AF584" i="2"/>
  <c r="AF600" i="2"/>
  <c r="AF137" i="2"/>
  <c r="AF297" i="2"/>
  <c r="AF345" i="2"/>
  <c r="AF393" i="2"/>
  <c r="AF425" i="2"/>
  <c r="AF457" i="2"/>
  <c r="AF505" i="2"/>
  <c r="AF537" i="2"/>
  <c r="AF585" i="2"/>
  <c r="AF382" i="2"/>
  <c r="AF606" i="2"/>
  <c r="AF479" i="2"/>
  <c r="AF176" i="2"/>
  <c r="AF320" i="2"/>
  <c r="AF368" i="2"/>
  <c r="AF400" i="2"/>
  <c r="AF432" i="2"/>
  <c r="AF464" i="2"/>
  <c r="AF512" i="2"/>
  <c r="AF544" i="2"/>
  <c r="AF592" i="2"/>
  <c r="AZ6" i="2" l="1"/>
  <c r="BA6" i="2" s="1"/>
  <c r="AZ7" i="2"/>
  <c r="BA7" i="2" s="1"/>
  <c r="AZ8" i="2"/>
  <c r="BA8" i="2" s="1"/>
  <c r="AZ2" i="2"/>
  <c r="BA2" i="2" s="1"/>
  <c r="AZ5" i="2"/>
  <c r="BA5" i="2" s="1"/>
  <c r="AT4" i="2"/>
  <c r="AU4" i="2" s="1"/>
  <c r="AZ4" i="2"/>
  <c r="BA4" i="2" s="1"/>
  <c r="AT6" i="2"/>
  <c r="AU6" i="2" s="1"/>
  <c r="AT8" i="2"/>
  <c r="AU8" i="2" s="1"/>
  <c r="AT7" i="2"/>
  <c r="AU7" i="2" s="1"/>
  <c r="AT5" i="2"/>
  <c r="AU5" i="2" s="1"/>
  <c r="AT2" i="2"/>
  <c r="AU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077FF9-889B-42F5-A658-D79C3BD3A0EC}" keepAlive="1" name="Query - nba2122" description="Connection to the 'nba2122' query in the workbook." type="5" refreshedVersion="8" background="1" saveData="1">
    <dbPr connection="Provider=Microsoft.Mashup.OleDb.1;Data Source=$Workbook$;Location=nba2122;Extended Properties=&quot;&quot;" command="SELECT * FROM [nba2122]"/>
  </connection>
  <connection id="2" xr16:uid="{C3EED23D-9174-4376-91C2-12FC6F5038DB}" keepAlive="1" name="Query - nba2122-advanced" description="Connection to the 'nba2122-advanced' query in the workbook." type="5" refreshedVersion="8" background="1" saveData="1">
    <dbPr connection="Provider=Microsoft.Mashup.OleDb.1;Data Source=$Workbook$;Location=nba2122-advanced;Extended Properties=&quot;&quot;" command="SELECT * FROM [nba2122-advanced]"/>
  </connection>
</connections>
</file>

<file path=xl/sharedStrings.xml><?xml version="1.0" encoding="utf-8"?>
<sst xmlns="http://schemas.openxmlformats.org/spreadsheetml/2006/main" count="5045" uniqueCount="731">
  <si>
    <t>Rk</t>
  </si>
  <si>
    <t>Player</t>
  </si>
  <si>
    <t>Pos</t>
  </si>
  <si>
    <t>Age</t>
  </si>
  <si>
    <t>Tm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</si>
  <si>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</si>
  <si>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</si>
  <si>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</si>
  <si>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</si>
  <si>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</si>
  <si>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</si>
  <si>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</si>
  <si>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</si>
  <si>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</si>
  <si>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</si>
  <si>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</si>
  <si>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</si>
  <si>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</si>
  <si>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</si>
  <si>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</si>
  <si>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</si>
  <si>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</si>
  <si>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</si>
  <si>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</si>
  <si>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</si>
  <si>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</si>
  <si>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</si>
  <si>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</si>
  <si>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</si>
  <si>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</si>
  <si>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Precious Achiuwa\achiupr01</t>
  </si>
  <si>
    <t>C</t>
  </si>
  <si>
    <t>TOR</t>
  </si>
  <si>
    <t>Steven Adams\adamsst01</t>
  </si>
  <si>
    <t>MEM</t>
  </si>
  <si>
    <t>Bam Adebayo\adebaba01</t>
  </si>
  <si>
    <t>MIA</t>
  </si>
  <si>
    <t>Santi Aldama\aldamsa01</t>
  </si>
  <si>
    <t>LaMarcus Aldridge\aldrila01</t>
  </si>
  <si>
    <t>BRK</t>
  </si>
  <si>
    <t>Nickeil Alexander-Walker\alexani01</t>
  </si>
  <si>
    <t>SG</t>
  </si>
  <si>
    <t>TOT</t>
  </si>
  <si>
    <t>Grayson Allen\allengr01</t>
  </si>
  <si>
    <t>MIL</t>
  </si>
  <si>
    <t>Jarrett Allen\allenja01</t>
  </si>
  <si>
    <t>CLE</t>
  </si>
  <si>
    <t>Jose Alvarado\alvarjo01</t>
  </si>
  <si>
    <t>PG</t>
  </si>
  <si>
    <t>NOP</t>
  </si>
  <si>
    <t>Justin Anderson\anderju01</t>
  </si>
  <si>
    <t>SF</t>
  </si>
  <si>
    <t>Kyle Anderson\anderky01</t>
  </si>
  <si>
    <t>Giannis Antetokounmpo\antetgi01</t>
  </si>
  <si>
    <t>Thanasis Antetokounmpo\antetth01</t>
  </si>
  <si>
    <t>Carmelo Anthony\anthoca01</t>
  </si>
  <si>
    <t>LAL</t>
  </si>
  <si>
    <t>Cole Anthony\anthoco01</t>
  </si>
  <si>
    <t>ORL</t>
  </si>
  <si>
    <t>OG Anunoby\anunoog01</t>
  </si>
  <si>
    <t>Ryan Arcidiacono\arcidry01</t>
  </si>
  <si>
    <t>NYK</t>
  </si>
  <si>
    <t>Trevor Ariza\arizatr01</t>
  </si>
  <si>
    <t>D.J. Augustin\augusdj01</t>
  </si>
  <si>
    <t>Deni Avdija\avdijde01</t>
  </si>
  <si>
    <t>WAS</t>
  </si>
  <si>
    <t>Joel Ayayi\ayayijo01</t>
  </si>
  <si>
    <t>Deandre Ayton\aytonde01</t>
  </si>
  <si>
    <t>PHO</t>
  </si>
  <si>
    <t>Udoka Azubuike\azubuud01</t>
  </si>
  <si>
    <t>UTA</t>
  </si>
  <si>
    <t>Marvin Bagley III\baglema01</t>
  </si>
  <si>
    <t>LaMelo Ball\ballla01</t>
  </si>
  <si>
    <t>CHO</t>
  </si>
  <si>
    <t>Lonzo Ball\balllo01</t>
  </si>
  <si>
    <t>CHI</t>
  </si>
  <si>
    <t>Mo Bamba\bambamo01</t>
  </si>
  <si>
    <t>Desmond Bane\banede01</t>
  </si>
  <si>
    <t>Dalano Banton\bantoda01</t>
  </si>
  <si>
    <t>Cat Barber\barbeca01</t>
  </si>
  <si>
    <t>ATL</t>
  </si>
  <si>
    <t>Harrison Barnes\barneha02</t>
  </si>
  <si>
    <t>SAC</t>
  </si>
  <si>
    <t>Scottie Barnes\barnesc01</t>
  </si>
  <si>
    <t>RJ Barrett\barrerj01</t>
  </si>
  <si>
    <t>Will Barton\bartowi01</t>
  </si>
  <si>
    <t>DEN</t>
  </si>
  <si>
    <t>Paris Bass\basspa01</t>
  </si>
  <si>
    <t>Charles Bassey\bassech01</t>
  </si>
  <si>
    <t>PHI</t>
  </si>
  <si>
    <t>Keita Bates-Diop\bateske01</t>
  </si>
  <si>
    <t>SAS</t>
  </si>
  <si>
    <t>Nicolas Batum\batumni01</t>
  </si>
  <si>
    <t>LAC</t>
  </si>
  <si>
    <t>Kent Bazemore\bazemke01</t>
  </si>
  <si>
    <t>Darius Bazley\bazleda01</t>
  </si>
  <si>
    <t>OKC</t>
  </si>
  <si>
    <t>Bradley Beal\bealbr01</t>
  </si>
  <si>
    <t>Malik Beasley\beaslma01</t>
  </si>
  <si>
    <t>MIN</t>
  </si>
  <si>
    <t>Jordan Bell\belljo01</t>
  </si>
  <si>
    <t>DeAndre' Bembry\bembrde01</t>
  </si>
  <si>
    <t>Dāvis Bertāns\bertada01</t>
  </si>
  <si>
    <t>Patrick Beverley\beverpa01</t>
  </si>
  <si>
    <t>Saddiq Bey\beysa01</t>
  </si>
  <si>
    <t>DET</t>
  </si>
  <si>
    <t>Khem Birch\birchkh01</t>
  </si>
  <si>
    <t>Goga Bitadze\bitadgo01</t>
  </si>
  <si>
    <t>IND</t>
  </si>
  <si>
    <t>Bismack Biyombo\biyombi01</t>
  </si>
  <si>
    <t>Nemanja Bjelica\bjeline01</t>
  </si>
  <si>
    <t>GSW</t>
  </si>
  <si>
    <t>Eric Bledsoe\bledser01</t>
  </si>
  <si>
    <t>Keljin Blevins\blevike01</t>
  </si>
  <si>
    <t>POR</t>
  </si>
  <si>
    <t>Bogdan Bogdanović\bogdabo01</t>
  </si>
  <si>
    <t>Bojan Bogdanović\bogdabo02</t>
  </si>
  <si>
    <t>Bol Bol\bolbo01</t>
  </si>
  <si>
    <t>Leandro Bolmaro\bolmale01</t>
  </si>
  <si>
    <t>Isaac Bonga\bongais01</t>
  </si>
  <si>
    <t>Devin Booker\bookede01</t>
  </si>
  <si>
    <t>Brandon Boston Jr.\bostobr01</t>
  </si>
  <si>
    <t>Chris Boucher\bouchch01</t>
  </si>
  <si>
    <t>James Bouknight\bouknja01</t>
  </si>
  <si>
    <t>Avery Bradley\bradlav01</t>
  </si>
  <si>
    <t>Tony Bradley\bradlto01</t>
  </si>
  <si>
    <t>Ignas Brazdeikis\brazdig01</t>
  </si>
  <si>
    <t>Mikal Bridges\bridgmi01</t>
  </si>
  <si>
    <t>Miles Bridges\bridgmi02</t>
  </si>
  <si>
    <t>Oshae Brissett\brissos01</t>
  </si>
  <si>
    <t>Malcolm Brogdon\brogdma01</t>
  </si>
  <si>
    <t>Armoni Brooks\brookar01</t>
  </si>
  <si>
    <t>SG-PG</t>
  </si>
  <si>
    <t>Dillon Brooks\brookdi01</t>
  </si>
  <si>
    <t>Bruce Brown\brownbr01</t>
  </si>
  <si>
    <t>Charlie Brown Jr.\brownch02</t>
  </si>
  <si>
    <t>Chaundee Brown Jr.\brownch05</t>
  </si>
  <si>
    <t>SG-SF</t>
  </si>
  <si>
    <t>Greg Brown III\browngr01</t>
  </si>
  <si>
    <t>Jaylen Brown\brownja02</t>
  </si>
  <si>
    <t>BOS</t>
  </si>
  <si>
    <t>Moses Brown\brownmo01</t>
  </si>
  <si>
    <t>Sterling Brown\brownst02</t>
  </si>
  <si>
    <t>DAL</t>
  </si>
  <si>
    <t>Troy Brown Jr.\browntr01</t>
  </si>
  <si>
    <t>Jalen Brunson\brunsja01</t>
  </si>
  <si>
    <t>Thomas Bryant\bryanth01</t>
  </si>
  <si>
    <t>Shaq Buchanan\buchash01</t>
  </si>
  <si>
    <t>Reggie Bullock\bullore01</t>
  </si>
  <si>
    <t>Trey Burke\burketr01</t>
  </si>
  <si>
    <t>Alec Burks\burksal01</t>
  </si>
  <si>
    <t>Jared Butler\butleja02</t>
  </si>
  <si>
    <t>Jimmy Butler\butleji01</t>
  </si>
  <si>
    <t>Devontae Cacok\cacokde01</t>
  </si>
  <si>
    <t>Kentavious Caldwell-Pope\caldwke01</t>
  </si>
  <si>
    <t>Facundo Campazzo\campafa01</t>
  </si>
  <si>
    <t>Vlatko Čančar\cancavl01</t>
  </si>
  <si>
    <t>Devin Cannady\cannade01</t>
  </si>
  <si>
    <t>Clint Capela\capelca01</t>
  </si>
  <si>
    <t>Vernon Carey Jr.\careyve01</t>
  </si>
  <si>
    <t>Jevon Carter\carteje01</t>
  </si>
  <si>
    <t>Wendell Carter Jr.\cartewe01</t>
  </si>
  <si>
    <t>Alex Caruso\carusal01</t>
  </si>
  <si>
    <t>Willie Cauley-Stein\caulewi01</t>
  </si>
  <si>
    <t>Ahmad Caver\caverah01</t>
  </si>
  <si>
    <t>Justin Champagnie\champju01</t>
  </si>
  <si>
    <t>Zylan Cheatham\cheatzy01</t>
  </si>
  <si>
    <t>Chris Chiozza\chiozch01</t>
  </si>
  <si>
    <t>Marquese Chriss\chrisma01</t>
  </si>
  <si>
    <t>Josh Christopher\chrisjo01</t>
  </si>
  <si>
    <t>HOU</t>
  </si>
  <si>
    <t>Gary Clark\clarkga01</t>
  </si>
  <si>
    <t>Brandon Clarke\clarkbr01</t>
  </si>
  <si>
    <t>Jordan Clarkson\clarkjo01</t>
  </si>
  <si>
    <t>Nic Claxton\claxtni01</t>
  </si>
  <si>
    <t>Amir Coffey\coffeam01</t>
  </si>
  <si>
    <t>John Collins\collijo01</t>
  </si>
  <si>
    <t>Zach Collins\colliza01</t>
  </si>
  <si>
    <t>Darren Collison\collida01</t>
  </si>
  <si>
    <t>Mike Conley\conlemi01</t>
  </si>
  <si>
    <t>Pat Connaughton\connapa01</t>
  </si>
  <si>
    <t>Tyler Cook\cookty01</t>
  </si>
  <si>
    <t>Sharife Cooper\coopesh01</t>
  </si>
  <si>
    <t>Petr Cornelie\cornepe01</t>
  </si>
  <si>
    <t>DeMarcus Cousins\couside01</t>
  </si>
  <si>
    <t>Robert Covington\covinro01</t>
  </si>
  <si>
    <t>PF-SF</t>
  </si>
  <si>
    <t>Torrey Craig\craigto01</t>
  </si>
  <si>
    <t>Jae Crowder\crowdja01</t>
  </si>
  <si>
    <t>Jarrett Culver\culveja01</t>
  </si>
  <si>
    <t>Jarron Cumberland\cumbeja01</t>
  </si>
  <si>
    <t>Cade Cunningham\cunnica01</t>
  </si>
  <si>
    <t>Seth Curry\curryse01</t>
  </si>
  <si>
    <t>Stephen Curry\curryst01</t>
  </si>
  <si>
    <t>Anthony Davis\davisan02</t>
  </si>
  <si>
    <t>Ed Davis\davised01</t>
  </si>
  <si>
    <t>Terence Davis\daviste02</t>
  </si>
  <si>
    <t>Gabriel Deck\deckga01</t>
  </si>
  <si>
    <t>Dewayne Dedmon\dedmode01</t>
  </si>
  <si>
    <t>Sam Dekker\dekkesa01</t>
  </si>
  <si>
    <t>Javin DeLaurier\delauja01</t>
  </si>
  <si>
    <t>DeMar DeRozan\derozde01</t>
  </si>
  <si>
    <t>Mamadi Diakite\diakima01</t>
  </si>
  <si>
    <t>Cheick Diallo\diallch01</t>
  </si>
  <si>
    <t>Hamidou Diallo\diallha01</t>
  </si>
  <si>
    <t>Gorgui Dieng\dienggo01</t>
  </si>
  <si>
    <t>Spencer Dinwiddie\dinwisp01</t>
  </si>
  <si>
    <t>Donte DiVincenzo\divindo01</t>
  </si>
  <si>
    <t>Luka Dončić\doncilu01</t>
  </si>
  <si>
    <t>Luguentz Dort\dortlu01</t>
  </si>
  <si>
    <t>Ayo Dosunmu\dosunay01</t>
  </si>
  <si>
    <t>Damyean Dotson\dotsoda01</t>
  </si>
  <si>
    <t>Devon Dotson\dotsode01</t>
  </si>
  <si>
    <t>Sekou Doumbouya\doumbse01</t>
  </si>
  <si>
    <t>Jeff Dowtin\dowtije01</t>
  </si>
  <si>
    <t>PJ Dozier\doziepj01</t>
  </si>
  <si>
    <t>Goran Dragić\dragigo01</t>
  </si>
  <si>
    <t>Andre Drummond\drumman01</t>
  </si>
  <si>
    <t>Chris Duarte\duartch01</t>
  </si>
  <si>
    <t>David Duke Jr.\dukeda01</t>
  </si>
  <si>
    <t>Kris Dunn\dunnkr01</t>
  </si>
  <si>
    <t>Kevin Durant\duranke01</t>
  </si>
  <si>
    <t>Jaime Echenique\echenja01</t>
  </si>
  <si>
    <t>Anthony Edwards\edwaran01</t>
  </si>
  <si>
    <t>Carsen Edwards\edwarca01</t>
  </si>
  <si>
    <t>Kessler Edwards\edwarke02</t>
  </si>
  <si>
    <t>Rob Edwards\edwarro01</t>
  </si>
  <si>
    <t>CJ Elleby\ellebcj01</t>
  </si>
  <si>
    <t>Wayne Ellington\ellinwa01</t>
  </si>
  <si>
    <t>Joel Embiid\embiijo01</t>
  </si>
  <si>
    <t>James Ennis III\ennisja01</t>
  </si>
  <si>
    <t>Drew Eubanks\eubandr01</t>
  </si>
  <si>
    <t>Tacko Fall\fallta01</t>
  </si>
  <si>
    <t>Derrick Favors\favorde01</t>
  </si>
  <si>
    <t>Bruno Fernando\fernabr01</t>
  </si>
  <si>
    <t>Dorian Finney-Smith\finnedo01</t>
  </si>
  <si>
    <t>Malik Fitts\fittsma01</t>
  </si>
  <si>
    <t>Malachi Flynn\flynnma01</t>
  </si>
  <si>
    <t>Bryn Forbes\forbebr01</t>
  </si>
  <si>
    <t>Aleem Ford\fordal03</t>
  </si>
  <si>
    <t>Trent Forrest\forretr01</t>
  </si>
  <si>
    <t>Evan Fournier\fournev01</t>
  </si>
  <si>
    <t>De'Aaron Fox\foxde01</t>
  </si>
  <si>
    <t>Melvin Frazier\frazime01</t>
  </si>
  <si>
    <t>Tim Frazier\fraziti01</t>
  </si>
  <si>
    <t>Enes Freedom\kanteen01</t>
  </si>
  <si>
    <t>Markelle Fultz\fultzma01</t>
  </si>
  <si>
    <t>Wenyen Gabriel\gabriwe01</t>
  </si>
  <si>
    <t>Daniel Gafford\gaffoda01</t>
  </si>
  <si>
    <t>Danilo Gallinari\gallida01</t>
  </si>
  <si>
    <t>Langston Galloway\gallola01</t>
  </si>
  <si>
    <t>Darius Garland\garlada01</t>
  </si>
  <si>
    <t>Marcus Garrett\garrema01</t>
  </si>
  <si>
    <t>Usman Garuba\garubus01</t>
  </si>
  <si>
    <t>Luka Garza\garzalu01</t>
  </si>
  <si>
    <t>Rudy Gay\gayru01</t>
  </si>
  <si>
    <t>Paul George\georgpa01</t>
  </si>
  <si>
    <t>Taj Gibson\gibsota01</t>
  </si>
  <si>
    <t>Josh Giddey\giddejo01</t>
  </si>
  <si>
    <t>Shai Gilgeous-Alexander\gilgesh01</t>
  </si>
  <si>
    <t>Anthony Gill\gillan01</t>
  </si>
  <si>
    <t>Freddie Gillespie\gillefr01</t>
  </si>
  <si>
    <t>Rudy Gobert\goberru01</t>
  </si>
  <si>
    <t>Brandon Goodwin\goodwbr01</t>
  </si>
  <si>
    <t>Jordan Goodwin\goodwjo01</t>
  </si>
  <si>
    <t>Aaron Gordon\gordoaa01</t>
  </si>
  <si>
    <t>Eric Gordon\gordoer01</t>
  </si>
  <si>
    <t>Devonte' Graham\grahade01</t>
  </si>
  <si>
    <t>Jerami Grant\grantje01</t>
  </si>
  <si>
    <t>Hassani Gravett\graveha01</t>
  </si>
  <si>
    <t>Danny Green\greenda02</t>
  </si>
  <si>
    <t>Draymond Green\greendr01</t>
  </si>
  <si>
    <t>Jalen Green\greenja05</t>
  </si>
  <si>
    <t>JaMychal Green\greenja01</t>
  </si>
  <si>
    <t>Javonte Green\greenja02</t>
  </si>
  <si>
    <t>Jeff Green\greenje02</t>
  </si>
  <si>
    <t>Josh Green\greenjo02</t>
  </si>
  <si>
    <t>Blake Griffin\griffbl01</t>
  </si>
  <si>
    <t>Quentin Grimes\grimequ01</t>
  </si>
  <si>
    <t>Kyle Guy\guyky01</t>
  </si>
  <si>
    <t>Rui Hachimura\hachiru01</t>
  </si>
  <si>
    <t>Tyrese Haliburton\halibty01</t>
  </si>
  <si>
    <t>Tyler Hall\hallty01</t>
  </si>
  <si>
    <t>R.J. Hampton\hamptrj01</t>
  </si>
  <si>
    <t>Tim Hardaway Jr.\hardati02</t>
  </si>
  <si>
    <t>James Harden\hardeja01</t>
  </si>
  <si>
    <t>PG-SG</t>
  </si>
  <si>
    <t>Maurice Harkless\harklma01</t>
  </si>
  <si>
    <t>Jared Harper\harpeja01</t>
  </si>
  <si>
    <t>Montrezl Harrell\harremo01</t>
  </si>
  <si>
    <t>Gary Harris\harriga01</t>
  </si>
  <si>
    <t>Joe Harris\harrijo01</t>
  </si>
  <si>
    <t>Tobias Harris\harrito02</t>
  </si>
  <si>
    <t>Shaquille Harrison\harrish01</t>
  </si>
  <si>
    <t>Josh Hart\hartjo01</t>
  </si>
  <si>
    <t>Isaiah Hartenstein\harteis01</t>
  </si>
  <si>
    <t>Udonis Haslem\hasleud01</t>
  </si>
  <si>
    <t>Sam Hauser\hausesa01</t>
  </si>
  <si>
    <t>Jaxson Hayes\hayesja02</t>
  </si>
  <si>
    <t>Killian Hayes\hayeski01</t>
  </si>
  <si>
    <t>Gordon Hayward\haywago01</t>
  </si>
  <si>
    <t>Aaron Henry\henryaa01</t>
  </si>
  <si>
    <t>Juancho Hernangómez\hernaju01</t>
  </si>
  <si>
    <t>Willy Hernangómez\hernawi01</t>
  </si>
  <si>
    <t>Tyler Herro\herroty01</t>
  </si>
  <si>
    <t>Buddy Hield\hieldbu01</t>
  </si>
  <si>
    <t>Haywood Highsmith\highsha01</t>
  </si>
  <si>
    <t>George Hill\hillge01</t>
  </si>
  <si>
    <t>Malcolm Hill\hillma01</t>
  </si>
  <si>
    <t>SF-SG</t>
  </si>
  <si>
    <t>Solomon Hill\hillso01</t>
  </si>
  <si>
    <t>Nate Hinton\hintona01</t>
  </si>
  <si>
    <t>Jaylen Hoard\hoardja01</t>
  </si>
  <si>
    <t>Aaron Holiday\holidaa01</t>
  </si>
  <si>
    <t>Jrue Holiday\holidjr01</t>
  </si>
  <si>
    <t>Justin Holiday\holidju01</t>
  </si>
  <si>
    <t>Richaun Holmes\holmeri01</t>
  </si>
  <si>
    <t>Rodney Hood\hoodro01</t>
  </si>
  <si>
    <t>Scotty Hopson\hopsosc01</t>
  </si>
  <si>
    <t>Al Horford\horfoal01</t>
  </si>
  <si>
    <t>Talen Horton-Tucker\hortota01</t>
  </si>
  <si>
    <t>Danuel House Jr.\houseda01</t>
  </si>
  <si>
    <t>Dwight Howard\howardw01</t>
  </si>
  <si>
    <t>Markus Howard\howarma02</t>
  </si>
  <si>
    <t>Kevin Huerter\huertke01</t>
  </si>
  <si>
    <t>Jay Huff\huffja01</t>
  </si>
  <si>
    <t>Elijah Hughes\hugheel01</t>
  </si>
  <si>
    <t>Feron Hunt\huntfe01</t>
  </si>
  <si>
    <t>De'Andre Hunter\huntede01</t>
  </si>
  <si>
    <t>Chandler Hutchison\hutchch01</t>
  </si>
  <si>
    <t>Bones Hyland\hylanbo01</t>
  </si>
  <si>
    <t>Serge Ibaka\ibakase01</t>
  </si>
  <si>
    <t>C-PF</t>
  </si>
  <si>
    <t>Andre Iguodala\iguodan01</t>
  </si>
  <si>
    <t>Joe Ingles\inglejo01</t>
  </si>
  <si>
    <t>Brandon Ingram\ingrabr01</t>
  </si>
  <si>
    <t>Kyrie Irving\irvinky01</t>
  </si>
  <si>
    <t>Wes Iwundu\iwundwe01</t>
  </si>
  <si>
    <t>Frank Jackson\jacksfr01</t>
  </si>
  <si>
    <t>Isaiah Jackson\jacksis01</t>
  </si>
  <si>
    <t>Jaren Jackson Jr.\jacksja02</t>
  </si>
  <si>
    <t>Josh Jackson\jacksjo02</t>
  </si>
  <si>
    <t>Justin Jackson\jacksju01</t>
  </si>
  <si>
    <t>Reggie Jackson\jacksre01</t>
  </si>
  <si>
    <t>LeBron James\jamesle01</t>
  </si>
  <si>
    <t>DeJon Jarreau\jarrede01</t>
  </si>
  <si>
    <t>DaQuan Jeffries\jeffrda01</t>
  </si>
  <si>
    <t>Ty Jerome\jeromty01</t>
  </si>
  <si>
    <t>Isaiah Joe\joeis01</t>
  </si>
  <si>
    <t>Alize Johnson\johnsal02</t>
  </si>
  <si>
    <t>B.J. Johnson\johnsbj01</t>
  </si>
  <si>
    <t>Cameron Johnson\johnsca02</t>
  </si>
  <si>
    <t>David Johnson\johnsda08</t>
  </si>
  <si>
    <t>Jalen Johnson\johnsja05</t>
  </si>
  <si>
    <t>James Johnson\johnsja01</t>
  </si>
  <si>
    <t>Joe Johnson\johnsjo02</t>
  </si>
  <si>
    <t>Keldon Johnson\johnske04</t>
  </si>
  <si>
    <t>Keon Johnson\johnske07</t>
  </si>
  <si>
    <t>Stanley Johnson\johnsst04</t>
  </si>
  <si>
    <t>Tyler Johnson\johnsty01</t>
  </si>
  <si>
    <t>Nikola Jokić\jokicni01</t>
  </si>
  <si>
    <t>Carlik Jones\jonesca03</t>
  </si>
  <si>
    <t>Damian Jones\jonesda03</t>
  </si>
  <si>
    <t>Derrick Jones Jr.\jonesde02</t>
  </si>
  <si>
    <t>Herbert Jones\joneshe01</t>
  </si>
  <si>
    <t>Jemerrio Jones\jonesje01</t>
  </si>
  <si>
    <t>Kai Jones\joneska01</t>
  </si>
  <si>
    <t>Mason Jones\jonesma05</t>
  </si>
  <si>
    <t>Tre Jones\jonestr01</t>
  </si>
  <si>
    <t>Tyus Jones\jonesty01</t>
  </si>
  <si>
    <t>DeAndre Jordan\jordade01</t>
  </si>
  <si>
    <t>Cory Joseph\josepco01</t>
  </si>
  <si>
    <t>Georgios Kalaitzakis\kalaige01</t>
  </si>
  <si>
    <t>Frank Kaminsky\kaminfr01</t>
  </si>
  <si>
    <t>Luke Kennard\kennalu01</t>
  </si>
  <si>
    <t>Braxton Key\keybr01</t>
  </si>
  <si>
    <t>George King\kingge03</t>
  </si>
  <si>
    <t>Louis King\kinglo02</t>
  </si>
  <si>
    <t>Corey Kispert\kispeco01</t>
  </si>
  <si>
    <t>Maxi Kleber\klebima01</t>
  </si>
  <si>
    <t>Brandon Knight\knighbr03</t>
  </si>
  <si>
    <t>Nathan Knight\knighna01</t>
  </si>
  <si>
    <t>Kevin Knox\knoxke01</t>
  </si>
  <si>
    <t>John Konchar\konchjo01</t>
  </si>
  <si>
    <t>Furkan Korkmaz\korkmfu01</t>
  </si>
  <si>
    <t>Luke Kornet\kornelu01</t>
  </si>
  <si>
    <t>Vit Krejci\krejcvi01</t>
  </si>
  <si>
    <t>Arnoldas Kulboka\kulboar01</t>
  </si>
  <si>
    <t>Jonathan Kuminga\kuminjo01</t>
  </si>
  <si>
    <t>Kyle Kuzma\kuzmaky01</t>
  </si>
  <si>
    <t>Anthony Lamb\lamban01</t>
  </si>
  <si>
    <t>Jeremy Lamb\lambje01</t>
  </si>
  <si>
    <t>Jock Landale\landajo01</t>
  </si>
  <si>
    <t>Romeo Langford\langfro01</t>
  </si>
  <si>
    <t>Zach LaVine\lavinza01</t>
  </si>
  <si>
    <t>Jake Layman\laymaja01</t>
  </si>
  <si>
    <t>Damion Lee\leeda03</t>
  </si>
  <si>
    <t>Saben Lee\leesa01</t>
  </si>
  <si>
    <t>Alex Len\lenal01</t>
  </si>
  <si>
    <t>Caris LeVert\leverca01</t>
  </si>
  <si>
    <t>Kira Lewis Jr.\lewiski01</t>
  </si>
  <si>
    <t>Scottie Lewis\lewissc01</t>
  </si>
  <si>
    <t>Damian Lillard\lillada01</t>
  </si>
  <si>
    <t>Nassir Little\littlna01</t>
  </si>
  <si>
    <t>Isaiah Livers\liveris01</t>
  </si>
  <si>
    <t>Kevon Looney\looneke01</t>
  </si>
  <si>
    <t>Brook Lopez\lopezbr01</t>
  </si>
  <si>
    <t>Robin Lopez\lopezro01</t>
  </si>
  <si>
    <t>Didi Louzada\louzama01</t>
  </si>
  <si>
    <t>Kevin Love\loveke01</t>
  </si>
  <si>
    <t>Kyle Lowry\lowryky01</t>
  </si>
  <si>
    <t>Gabriel Lundberg\lundbga01</t>
  </si>
  <si>
    <t>Timothé Luwawu-Cabarrot\luwawti01</t>
  </si>
  <si>
    <t>Trey Lyles\lylestr01</t>
  </si>
  <si>
    <t>Théo Maledon\maledth01</t>
  </si>
  <si>
    <t>Sandro Mamukelashvili\mamuksa01</t>
  </si>
  <si>
    <t>Terance Mann\mannte01</t>
  </si>
  <si>
    <t>Tre Mann\manntr01</t>
  </si>
  <si>
    <t>Boban Marjanović\marjabo01</t>
  </si>
  <si>
    <t>Lauri Markkanen\markkla01</t>
  </si>
  <si>
    <t>Naji Marshall\marshna01</t>
  </si>
  <si>
    <t>Caleb Martin\martica02</t>
  </si>
  <si>
    <t>Cody Martin\martico01</t>
  </si>
  <si>
    <t>Kelan Martin\martike03</t>
  </si>
  <si>
    <t>Kenyon Martin Jr.\martike04</t>
  </si>
  <si>
    <t>Garrison Mathews\mathega01</t>
  </si>
  <si>
    <t>Dakota Mathias\mathida01</t>
  </si>
  <si>
    <t>Wesley Matthews\matthwe02</t>
  </si>
  <si>
    <t>Tyrese Maxey\maxeyty01</t>
  </si>
  <si>
    <t>Skylar Mays\mayssk01</t>
  </si>
  <si>
    <t>Miles McBride\mcbrimi01</t>
  </si>
  <si>
    <t>Mac McClung\mccluma01</t>
  </si>
  <si>
    <t>CJ McCollum\mccolcj01</t>
  </si>
  <si>
    <t>T.J. McConnell\mccontj01</t>
  </si>
  <si>
    <t>Jaden McDaniels\mcdanja02</t>
  </si>
  <si>
    <t>Jalen McDaniels\mcdanja01</t>
  </si>
  <si>
    <t>Doug McDermott\mcderdo01</t>
  </si>
  <si>
    <t>JaVale McGee\mcgeeja01</t>
  </si>
  <si>
    <t>Cameron McGriff\mcgrica01</t>
  </si>
  <si>
    <t>Rodney McGruder\mcgruro01</t>
  </si>
  <si>
    <t>Alfonzo McKinnie\mckinal01</t>
  </si>
  <si>
    <t>JaQuori McLaughlin\mclauja01</t>
  </si>
  <si>
    <t>Jordan McLaughlin\mclaujo01</t>
  </si>
  <si>
    <t>Ben McLemore\mclembe01</t>
  </si>
  <si>
    <t>De'Anthony Melton\meltode01</t>
  </si>
  <si>
    <t>Sam Merrill\merrisa01</t>
  </si>
  <si>
    <t>Chimezie Metu\metuch01</t>
  </si>
  <si>
    <t>Khris Middleton\middlkh01</t>
  </si>
  <si>
    <t>C.J. Miles\milescj01</t>
  </si>
  <si>
    <t>Patty Mills\millspa02</t>
  </si>
  <si>
    <t>Paul Millsap\millspa01</t>
  </si>
  <si>
    <t>Shake Milton\miltosh01</t>
  </si>
  <si>
    <t>Davion Mitchell\mitchda01</t>
  </si>
  <si>
    <t>Donovan Mitchell\mitchdo01</t>
  </si>
  <si>
    <t>Evan Mobley\mobleev01</t>
  </si>
  <si>
    <t>Malik Monk\monkma01</t>
  </si>
  <si>
    <t>Greg Monroe\monrogr01</t>
  </si>
  <si>
    <t>Moses Moody\moodymo01</t>
  </si>
  <si>
    <t>Xavier Moon\moonxa01</t>
  </si>
  <si>
    <t>Matt Mooney\moonema01</t>
  </si>
  <si>
    <t>Ja Morant\moranja01</t>
  </si>
  <si>
    <t>Juwan Morgan\morgaju01</t>
  </si>
  <si>
    <t>Jaylen Morris\morrija01</t>
  </si>
  <si>
    <t>Marcus Morris\morrima03</t>
  </si>
  <si>
    <t>Markieff Morris\morrima02</t>
  </si>
  <si>
    <t>Monte Morris\morrimo01</t>
  </si>
  <si>
    <t>Emmanuel Mudiay\mudiaem01</t>
  </si>
  <si>
    <t>Mychal Mulder\muldemy01</t>
  </si>
  <si>
    <t>Ade Murkey\murkead01</t>
  </si>
  <si>
    <t>Trey Murphy III\murphtr02</t>
  </si>
  <si>
    <t>Dejounte Murray\murrade01</t>
  </si>
  <si>
    <t>Mike Muscala\muscami01</t>
  </si>
  <si>
    <t>Svi Mykhailiuk\mykhasv01</t>
  </si>
  <si>
    <t>Abdel Nader\naderab01</t>
  </si>
  <si>
    <t>Larry Nance Jr.\nancela02</t>
  </si>
  <si>
    <t>RJ Nembhard Jr.\nembhrj01</t>
  </si>
  <si>
    <t>Aaron Nesmith\nesmiaa01</t>
  </si>
  <si>
    <t>Raul Neto\netora01</t>
  </si>
  <si>
    <t>Malik Newman\newmama01</t>
  </si>
  <si>
    <t>Georges Niang\niangge01</t>
  </si>
  <si>
    <t>Daishen Nix\nixda01</t>
  </si>
  <si>
    <t>Zeke Nnaji\nnajize01</t>
  </si>
  <si>
    <t>Nerlens Noel\noelne01</t>
  </si>
  <si>
    <t>Jaylen Nowell\nowelja01</t>
  </si>
  <si>
    <t>Frank Ntilikina\ntilila01</t>
  </si>
  <si>
    <t>Jusuf Nurkić\nurkiju01</t>
  </si>
  <si>
    <t>David Nwaba\nwabada01</t>
  </si>
  <si>
    <t>Jordan Nwora\nworajo01</t>
  </si>
  <si>
    <t>Royce O'Neale\onealro01</t>
  </si>
  <si>
    <t>Semi Ojeleye\ojelese01</t>
  </si>
  <si>
    <t>Chuma Okeke\okekech01</t>
  </si>
  <si>
    <t>Josh Okogie\okogijo01</t>
  </si>
  <si>
    <t>Onyeka Okongwu\okongon01</t>
  </si>
  <si>
    <t>Isaac Okoro\okorois01</t>
  </si>
  <si>
    <t>KZ Okpala\okpalkz01</t>
  </si>
  <si>
    <t>Victor Oladipo\oladivi01</t>
  </si>
  <si>
    <t>Cameron Oliver\oliveca01</t>
  </si>
  <si>
    <t>Kelly Olynyk\olynyke01</t>
  </si>
  <si>
    <t>Eugene Omoruyi\omorueu01</t>
  </si>
  <si>
    <t>Miye Oni\onimi01</t>
  </si>
  <si>
    <t>Cedi Osman\osmande01</t>
  </si>
  <si>
    <t>Daniel Oturu\oturuda01</t>
  </si>
  <si>
    <t>Kelly Oubre Jr.\oubreke01</t>
  </si>
  <si>
    <t>Jaysean Paige\paigeja01</t>
  </si>
  <si>
    <t>Trayvon Palmer\palmetr01</t>
  </si>
  <si>
    <t>Kevin Pangos\pangoke01</t>
  </si>
  <si>
    <t>Jabari Parker\parkeja01</t>
  </si>
  <si>
    <t>Eric Paschall\pascher01</t>
  </si>
  <si>
    <t>Chris Paul\paulch01</t>
  </si>
  <si>
    <t>Cameron Payne\payneca01</t>
  </si>
  <si>
    <t>Elfrid Payton\paytoel01</t>
  </si>
  <si>
    <t>Gary Payton II\paytoga02</t>
  </si>
  <si>
    <t>Norvel Pelle\pelleno01</t>
  </si>
  <si>
    <t>Reggie Perry\perryre01</t>
  </si>
  <si>
    <t>Jamorko Pickett\pickeja01</t>
  </si>
  <si>
    <t>Theo Pinson\pinsoth01</t>
  </si>
  <si>
    <t>Mason Plumlee\plumlma01</t>
  </si>
  <si>
    <t>Jakob Poeltl\poeltja01</t>
  </si>
  <si>
    <t>Aleksej Pokusevski\pokusal01</t>
  </si>
  <si>
    <t>Yves Pons\ponsyv01</t>
  </si>
  <si>
    <t>Jordan Poole\poolejo01</t>
  </si>
  <si>
    <t>Kevin Porter Jr.\porteke02</t>
  </si>
  <si>
    <t>Michael Porter Jr.\portemi01</t>
  </si>
  <si>
    <t>Otto Porter Jr.\porteot01</t>
  </si>
  <si>
    <t>Bobby Portis\portibo01</t>
  </si>
  <si>
    <t>Kristaps Porziņģis\porzikr01</t>
  </si>
  <si>
    <t>Micah Potter\pottemi01</t>
  </si>
  <si>
    <t>Dwight Powell\poweldw01</t>
  </si>
  <si>
    <t>Myles Powell\powelmy01</t>
  </si>
  <si>
    <t>Norman Powell\powelno01</t>
  </si>
  <si>
    <t>Joshua Primo\primojo01</t>
  </si>
  <si>
    <t>Taurean Prince\princta02</t>
  </si>
  <si>
    <t>Payton Pritchard\pritcpa01</t>
  </si>
  <si>
    <t>Trevelin Queen\queentr01</t>
  </si>
  <si>
    <t>Neemias Queta\quetane01</t>
  </si>
  <si>
    <t>Immanuel Quickley\quickim01</t>
  </si>
  <si>
    <t>Jahmi'us Ramsey\ramseja01</t>
  </si>
  <si>
    <t>Julius Randle\randlju01</t>
  </si>
  <si>
    <t>Austin Reaves\reaveau01</t>
  </si>
  <si>
    <t>Cam Reddish\reddica01</t>
  </si>
  <si>
    <t>Davon Reed\reedda01</t>
  </si>
  <si>
    <t>Paul Reed\reedpa01</t>
  </si>
  <si>
    <t>Naz Reid\reidna01</t>
  </si>
  <si>
    <t>Nick Richards\richani01</t>
  </si>
  <si>
    <t>Josh Richardson\richajo01</t>
  </si>
  <si>
    <t>Austin Rivers\riverau01</t>
  </si>
  <si>
    <t>Duncan Robinson\robindu01</t>
  </si>
  <si>
    <t>Justin Robinson\robinju01</t>
  </si>
  <si>
    <t>Mitchell Robinson\robinmi01</t>
  </si>
  <si>
    <t>Jeremiah Robinson-Earl\robinje02</t>
  </si>
  <si>
    <t>Isaiah Roby\robyis01</t>
  </si>
  <si>
    <t>Rajon Rondo\rondora01</t>
  </si>
  <si>
    <t>Derrick Rose\rosede01</t>
  </si>
  <si>
    <t>Terrence Ross\rosste01</t>
  </si>
  <si>
    <t>Terry Rozier\roziete01</t>
  </si>
  <si>
    <t>Ricky Rubio\rubiori01</t>
  </si>
  <si>
    <t>D'Angelo Russell\russeda01</t>
  </si>
  <si>
    <t>Matt Ryan\ryanma01</t>
  </si>
  <si>
    <t>Domantas Sabonis\sabondo01</t>
  </si>
  <si>
    <t>Olivier Sarr\sarrol01</t>
  </si>
  <si>
    <t>Tomáš Satoranský\satorto01</t>
  </si>
  <si>
    <t>Jordan Schakel\schakjo01</t>
  </si>
  <si>
    <t>Admiral Schofield\schofad01</t>
  </si>
  <si>
    <t>Dennis Schröder\schrode01</t>
  </si>
  <si>
    <t>Tre Scott\scotttr01</t>
  </si>
  <si>
    <t>Jay Scrubb\scrubja01</t>
  </si>
  <si>
    <t>Wayne Selden\seldewa01</t>
  </si>
  <si>
    <t>Alperen Şengün\sengual01</t>
  </si>
  <si>
    <t>Collin Sexton\sextoco01</t>
  </si>
  <si>
    <t>Landry Shamet\shamela01</t>
  </si>
  <si>
    <t>Day'Ron Sharpe\sharpda01</t>
  </si>
  <si>
    <t>Pascal Siakam\siakapa01</t>
  </si>
  <si>
    <t>Chris Silva\silvach01</t>
  </si>
  <si>
    <t>Marko Simonovic\simonma01</t>
  </si>
  <si>
    <t>Anfernee Simons\simonan01</t>
  </si>
  <si>
    <t>Zavier Simpson\simpsza01</t>
  </si>
  <si>
    <t>Jericho Sims\simsje01</t>
  </si>
  <si>
    <t>Deividas Sirvydis\sirvyde01</t>
  </si>
  <si>
    <t>Javonte Smart\smartja01</t>
  </si>
  <si>
    <t>Marcus Smart\smartma01</t>
  </si>
  <si>
    <t>Dennis Smith Jr.\smithde03</t>
  </si>
  <si>
    <t>Ish Smith\smithis01</t>
  </si>
  <si>
    <t>Jalen Smith\smithja04</t>
  </si>
  <si>
    <t>Xavier Sneed\sneedxa01</t>
  </si>
  <si>
    <t>Tony Snell\snellto01</t>
  </si>
  <si>
    <t>Jaden Springer\sprinja01</t>
  </si>
  <si>
    <t>Cassius Stanley\stanlca01</t>
  </si>
  <si>
    <t>Nik Stauskas\stausni01</t>
  </si>
  <si>
    <t>Lance Stephenson\stephla01</t>
  </si>
  <si>
    <t>Lamar Stevens\stevela01</t>
  </si>
  <si>
    <t>Isaiah Stewart\stewais01</t>
  </si>
  <si>
    <t>Max Strus\strusma01</t>
  </si>
  <si>
    <t>Jalen Suggs\suggsja01</t>
  </si>
  <si>
    <t>Craig Sword\swordcr01</t>
  </si>
  <si>
    <t>Keifer Sykes\sykeske01</t>
  </si>
  <si>
    <t>Jae'Sean Tate\tateja01</t>
  </si>
  <si>
    <t>Jayson Tatum\tatumja01</t>
  </si>
  <si>
    <t>Terry Taylor\taylote01</t>
  </si>
  <si>
    <t>Garrett Temple\templga01</t>
  </si>
  <si>
    <t>Emanuel Terry\terryem01</t>
  </si>
  <si>
    <t>Tyrell Terry\terryty01</t>
  </si>
  <si>
    <t>Jon Teske\teskejo01</t>
  </si>
  <si>
    <t>Daniel Theis\theisda01</t>
  </si>
  <si>
    <t>Brodric Thomas\thomabr01</t>
  </si>
  <si>
    <t>Cam Thomas\thomaca02</t>
  </si>
  <si>
    <t>Isaiah Thomas\thomais02</t>
  </si>
  <si>
    <t>Matt Thomas\thomama02</t>
  </si>
  <si>
    <t>Klay Thompson\thompkl01</t>
  </si>
  <si>
    <t>Tristan Thompson\thomptr01</t>
  </si>
  <si>
    <t>JT Thor\thorjt01</t>
  </si>
  <si>
    <t>Matisse Thybulle\thybuma01</t>
  </si>
  <si>
    <t>Killian Tillie\tilliki02</t>
  </si>
  <si>
    <t>Xavier Tillman Sr.\tillmxa01</t>
  </si>
  <si>
    <t>Isaiah Todd\toddis01</t>
  </si>
  <si>
    <t>Obi Toppin\toppiob01</t>
  </si>
  <si>
    <t>Juan Toscano-Anderson\toscaju01</t>
  </si>
  <si>
    <t>Karl-Anthony Towns\townska01</t>
  </si>
  <si>
    <t>Gary Trent Jr.\trentga02</t>
  </si>
  <si>
    <t>P.J. Tucker\tuckepj01</t>
  </si>
  <si>
    <t>Rayjon Tucker\tuckera01</t>
  </si>
  <si>
    <t>Myles Turner\turnemy01</t>
  </si>
  <si>
    <t>Jonas Valančiūnas\valanjo01</t>
  </si>
  <si>
    <t>Denzel Valentine\valende01</t>
  </si>
  <si>
    <t>Jarred Vanderbilt\vandeja01</t>
  </si>
  <si>
    <t>Fred VanVleet\vanvlfr01</t>
  </si>
  <si>
    <t>Devin Vassell\vassede01</t>
  </si>
  <si>
    <t>Gabe Vincent\vincega01</t>
  </si>
  <si>
    <t>Nikola Vučević\vucevni01</t>
  </si>
  <si>
    <t>Dean Wade\wadede01</t>
  </si>
  <si>
    <t>Franz Wagner\wagnefr01</t>
  </si>
  <si>
    <t>Moritz Wagner\wagnemo01</t>
  </si>
  <si>
    <t>Ish Wainright\wainris01</t>
  </si>
  <si>
    <t>Kemba Walker\walkeke02</t>
  </si>
  <si>
    <t>Lonnie Walker IV\walkelo01</t>
  </si>
  <si>
    <t>M.J. Walker\walkemj01</t>
  </si>
  <si>
    <t>Tyrone Wallace\wallaty01</t>
  </si>
  <si>
    <t>Derrick Walton\waltode01</t>
  </si>
  <si>
    <t>Brad Wanamaker\wanambr01</t>
  </si>
  <si>
    <t>Duane Washington Jr.\washidu02</t>
  </si>
  <si>
    <t>P.J. Washington\washipj01</t>
  </si>
  <si>
    <t>Yuta Watanabe\watanyu01</t>
  </si>
  <si>
    <t>Lindy Waters III\waterli01</t>
  </si>
  <si>
    <t>Tremont Waters\watertr01</t>
  </si>
  <si>
    <t>Trendon Watford\watfotr01</t>
  </si>
  <si>
    <t>Paul Watson\watsopa01</t>
  </si>
  <si>
    <t>Quinndary Weatherspoon\weathqu01</t>
  </si>
  <si>
    <t>Russell Westbrook\westbru01</t>
  </si>
  <si>
    <t>Coby White\whiteco01</t>
  </si>
  <si>
    <t>Derrick White\whitede01</t>
  </si>
  <si>
    <t>Hassan Whiteside\whiteha01</t>
  </si>
  <si>
    <t>Joe Wieskamp\wieskjo01</t>
  </si>
  <si>
    <t>Aaron Wiggins\wiggiaa01</t>
  </si>
  <si>
    <t>Andrew Wiggins\wiggian01</t>
  </si>
  <si>
    <t>Lindell Wigginton\wiggili01</t>
  </si>
  <si>
    <t>Brandon Williams\willibr03</t>
  </si>
  <si>
    <t>Grant Williams\willigr01</t>
  </si>
  <si>
    <t>Kenrich Williams\willike04</t>
  </si>
  <si>
    <t>Lou Williams\willilo02</t>
  </si>
  <si>
    <t>Patrick Williams\willipa01</t>
  </si>
  <si>
    <t>Robert Williams\williro04</t>
  </si>
  <si>
    <t>Ziaire Williams\willizi02</t>
  </si>
  <si>
    <t>D.J. Wilson\wilsodj01</t>
  </si>
  <si>
    <t>Dylan Windler\windldy01</t>
  </si>
  <si>
    <t>Justise Winslow\winslju01</t>
  </si>
  <si>
    <t>Cassius Winston\winstca01</t>
  </si>
  <si>
    <t>Christian Wood\woodch01</t>
  </si>
  <si>
    <t>Robert Woodard II\woodaro01</t>
  </si>
  <si>
    <t>Delon Wright\wrighde01</t>
  </si>
  <si>
    <t>McKinley Wright IV\wrighmc01</t>
  </si>
  <si>
    <t>Moses Wright\wrighmo01</t>
  </si>
  <si>
    <t>Gabe York\yorkga01</t>
  </si>
  <si>
    <t>Thaddeus Young\youngth01</t>
  </si>
  <si>
    <t>Trae Young\youngtr01</t>
  </si>
  <si>
    <t>Omer Yurtseven\yurtsom01</t>
  </si>
  <si>
    <t>Cody Zeller\zelleco01</t>
  </si>
  <si>
    <t>Ivica Zubac\zubaciv01</t>
  </si>
  <si>
    <t>Points</t>
  </si>
  <si>
    <t>Rebounds</t>
  </si>
  <si>
    <t>Assists</t>
  </si>
  <si>
    <t>Steals</t>
  </si>
  <si>
    <t>Blocks</t>
  </si>
  <si>
    <t>Tov</t>
  </si>
  <si>
    <t>Column1</t>
  </si>
  <si>
    <t>Similarity</t>
  </si>
  <si>
    <t>Most Avg</t>
  </si>
  <si>
    <t>Least Avg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</si>
  <si>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</si>
  <si>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</si>
  <si>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</si>
  <si>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</si>
  <si>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</si>
  <si>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</si>
  <si>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</si>
  <si>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</si>
  <si>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</si>
  <si>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</si>
  <si>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</si>
  <si>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</si>
  <si>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</si>
  <si>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</si>
  <si>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</si>
  <si>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</si>
  <si>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_1</t>
  </si>
  <si>
    <t>OBPM</t>
  </si>
  <si>
    <t>DBPM</t>
  </si>
  <si>
    <t>BPM</t>
  </si>
  <si>
    <t>VORP</t>
  </si>
  <si>
    <t/>
  </si>
  <si>
    <t>Point Guards</t>
  </si>
  <si>
    <t>Shooting Guards</t>
  </si>
  <si>
    <t>Qualified?</t>
  </si>
  <si>
    <t>Qualifies if MP &gt;=1000 OR GP &gt;=58 (70% of 82 game season)</t>
  </si>
  <si>
    <t>TS% Used to factor in free throw attempts</t>
  </si>
  <si>
    <t>Average NBA player</t>
  </si>
  <si>
    <t>No win shares/BPM/VORP to remove bias based on games played, team success</t>
  </si>
  <si>
    <t>used stat% to indicate roles of players/Playstyles</t>
  </si>
  <si>
    <t>TS% is for efficiency based on shot types, 3PAr/FTr is for proportion of shot types</t>
  </si>
  <si>
    <t>AVG PG</t>
  </si>
  <si>
    <t>AVG SG</t>
  </si>
  <si>
    <t>AVG SF</t>
  </si>
  <si>
    <t>AVG PF</t>
  </si>
  <si>
    <t>AVG C</t>
  </si>
  <si>
    <t>L.AVG PG</t>
  </si>
  <si>
    <t>L.AVG SG</t>
  </si>
  <si>
    <t>L.AVG SF</t>
  </si>
  <si>
    <t>L.AVG PF</t>
  </si>
  <si>
    <t>L.AVG C</t>
  </si>
  <si>
    <t>Small Forwards</t>
  </si>
  <si>
    <t>SORTED THROUGH PLAYER POSITIONS, EDITED DUAL POSITIONS EG: SG-SF -&gt; SF</t>
  </si>
  <si>
    <t>Power Forwards</t>
  </si>
  <si>
    <t>Centers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</si>
</sst>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206489-49B9-4EEB-BBAD-3D505F42E58F}" autoFormatId="16" applyNumberFormats="0" applyBorderFormats="0" applyFontFormats="0" applyPatternFormats="0" applyAlignmentFormats="0" applyWidthHeightFormats="0">
  <queryTableRefresh nextId="33" unboundColumnsRight="2">
    <queryTableFields count="32">
      <queryTableField id="1" name="Rk" tableColumnId="1"/>
      <queryTableField id="2" name="Player" tableColumnId="2"/>
      <queryTableField id="3" name="Pos" tableColumnId="3"/>
      <queryTableField id="4" name="Age" tableColumnId="4"/>
      <queryTableField id="5" name="Tm" tableColumnId="5"/>
      <queryTableField id="6" name="G" tableColumnId="6"/>
      <queryTableField id="7" name="GS" tableColumnId="7"/>
      <queryTableField id="8" name="MP" tableColumnId="8"/>
      <queryTableField id="9" name="FG" tableColumnId="9"/>
      <queryTableField id="10" name="FGA" tableColumnId="10"/>
      <queryTableField id="11" name="FG%" tableColumnId="11"/>
      <queryTableField id="12" name="3P" tableColumnId="12"/>
      <queryTableField id="13" name="3PA" tableColumnId="13"/>
      <queryTableField id="14" name="3P%" tableColumnId="14"/>
      <queryTableField id="15" name="2P" tableColumnId="15"/>
      <queryTableField id="16" name="2PA" tableColumnId="16"/>
      <queryTableField id="17" name="2P%" tableColumnId="17"/>
      <queryTableField id="18" name="eFG%" tableColumnId="18"/>
      <queryTableField id="19" name="FT" tableColumnId="19"/>
      <queryTableField id="20" name="FTA" tableColumnId="20"/>
      <queryTableField id="21" name="FT%" tableColumnId="21"/>
      <queryTableField id="22" name="ORB" tableColumnId="22"/>
      <queryTableField id="23" name="DRB" tableColumnId="23"/>
      <queryTableField id="24" name="TRB" tableColumnId="24"/>
      <queryTableField id="25" name="AST" tableColumnId="25"/>
      <queryTableField id="26" name="STL" tableColumnId="26"/>
      <queryTableField id="27" name="BLK" tableColumnId="27"/>
      <queryTableField id="28" name="TOV" tableColumnId="28"/>
      <queryTableField id="29" name="PF" tableColumnId="29"/>
      <queryTableField id="30" name="PTS" tableColumnId="30"/>
      <queryTableField id="32" dataBound="0" tableColumnId="33"/>
      <queryTableField id="31" dataBound="0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90A5B1F-6F6C-44CE-8A05-5E7C017341E9}" autoFormatId="16" applyNumberFormats="0" applyBorderFormats="0" applyFontFormats="0" applyPatternFormats="0" applyAlignmentFormats="0" applyWidthHeightFormats="0">
  <queryTableRefresh nextId="30">
    <queryTableFields count="29">
      <queryTableField id="1" name="Rk" tableColumnId="1"/>
      <queryTableField id="2" name="Player" tableColumnId="2"/>
      <queryTableField id="3" name="Pos" tableColumnId="3"/>
      <queryTableField id="4" name="Age" tableColumnId="4"/>
      <queryTableField id="5" name="Tm" tableColumnId="5"/>
      <queryTableField id="6" name="G" tableColumnId="6"/>
      <queryTableField id="7" name="MP" tableColumnId="7"/>
      <queryTableField id="8" name="PER" tableColumnId="8"/>
      <queryTableField id="9" name="TS%" tableColumnId="9"/>
      <queryTableField id="10" name="3PAr" tableColumnId="10"/>
      <queryTableField id="11" name="FTr" tableColumnId="11"/>
      <queryTableField id="12" name="ORB%" tableColumnId="12"/>
      <queryTableField id="13" name="DRB%" tableColumnId="13"/>
      <queryTableField id="14" name="TRB%" tableColumnId="14"/>
      <queryTableField id="15" name="AST%" tableColumnId="15"/>
      <queryTableField id="16" name="STL%" tableColumnId="16"/>
      <queryTableField id="17" name="BLK%" tableColumnId="17"/>
      <queryTableField id="18" name="TOV%" tableColumnId="18"/>
      <queryTableField id="19" name="USG%" tableColumnId="19"/>
      <queryTableField id="20" name="Column1" tableColumnId="20"/>
      <queryTableField id="21" name="OWS" tableColumnId="21"/>
      <queryTableField id="22" name="DWS" tableColumnId="22"/>
      <queryTableField id="23" name="WS" tableColumnId="23"/>
      <queryTableField id="24" name="WS/48" tableColumnId="24"/>
      <queryTableField id="25" name="_1" tableColumnId="25"/>
      <queryTableField id="26" name="OBPM" tableColumnId="26"/>
      <queryTableField id="27" name="DBPM" tableColumnId="27"/>
      <queryTableField id="28" name="BPM" tableColumnId="28"/>
      <queryTableField id="29" name="VORP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4DE020-D771-4408-B862-9DBEF8832D4B}" name="_nba2122" displayName="_nba2122" ref="A1:AF606" tableType="queryTable" totalsRowShown="0">
  <autoFilter ref="A1:AF606" xr:uid="{AF4DE020-D771-4408-B862-9DBEF8832D4B}"/>
  <tableColumns count="32">
    <tableColumn id="1" xr3:uid="{FABE4E74-349B-4966-9A2B-D003E19A9F18}" uniqueName="1" name="Rk" queryTableFieldId="1"/>
    <tableColumn id="2" xr3:uid="{EDCFAF97-6C58-41D1-8E34-61241B5DA07A}" uniqueName="2" name="Player" queryTableFieldId="2" dataDxfId="9"/>
    <tableColumn id="3" xr3:uid="{7262FB46-BF29-44BB-A073-089978B39197}" uniqueName="3" name="Pos" queryTableFieldId="3" dataDxfId="8"/>
    <tableColumn id="4" xr3:uid="{7BFFB26F-EBA1-4C8D-B8DD-7DB622D0FEFC}" uniqueName="4" name="Age" queryTableFieldId="4"/>
    <tableColumn id="5" xr3:uid="{E909E6F6-9903-4EBF-80ED-C2E102FF95F4}" uniqueName="5" name="Tm" queryTableFieldId="5" dataDxfId="7"/>
    <tableColumn id="6" xr3:uid="{4319D977-9FB0-462A-A6D7-F9D7A1BC01CE}" uniqueName="6" name="G" queryTableFieldId="6"/>
    <tableColumn id="7" xr3:uid="{738B26CD-1264-402A-B43E-FF8E1A08EAB9}" uniqueName="7" name="GS" queryTableFieldId="7"/>
    <tableColumn id="8" xr3:uid="{1595A6E5-1778-4472-91A8-F612EC3AFC6A}" uniqueName="8" name="MP" queryTableFieldId="8"/>
    <tableColumn id="9" xr3:uid="{1C302B65-6CF1-4C82-A7CE-622A85FE9B85}" uniqueName="9" name="FG" queryTableFieldId="9"/>
    <tableColumn id="10" xr3:uid="{33894C30-D33C-4399-A749-0ACE8E6327E2}" uniqueName="10" name="FGA" queryTableFieldId="10"/>
    <tableColumn id="11" xr3:uid="{5FB04DD9-5264-4333-BA68-1E0E517C4B3B}" uniqueName="11" name="FG%" queryTableFieldId="11"/>
    <tableColumn id="12" xr3:uid="{BE5DE864-0621-41B0-A200-24E5A89684F0}" uniqueName="12" name="3P" queryTableFieldId="12"/>
    <tableColumn id="13" xr3:uid="{BF4CAD58-7BB7-4AFB-846A-22C31F7FA1C1}" uniqueName="13" name="3PA" queryTableFieldId="13"/>
    <tableColumn id="14" xr3:uid="{02CB29AF-08A3-444E-BCFC-61EF9ABF2877}" uniqueName="14" name="3P%" queryTableFieldId="14"/>
    <tableColumn id="15" xr3:uid="{B56449FE-2734-4E08-8DAA-C455D5ADE143}" uniqueName="15" name="2P" queryTableFieldId="15"/>
    <tableColumn id="16" xr3:uid="{7583BB62-5B3C-44F7-B96F-4DBA7E65D736}" uniqueName="16" name="2PA" queryTableFieldId="16"/>
    <tableColumn id="17" xr3:uid="{BDAA9B03-B511-469F-82C2-9CA80D0EA5EB}" uniqueName="17" name="2P%" queryTableFieldId="17"/>
    <tableColumn id="18" xr3:uid="{5BC9C543-8B13-4782-9F2A-D06C000CF38A}" uniqueName="18" name="eFG%" queryTableFieldId="18"/>
    <tableColumn id="19" xr3:uid="{5B371D47-171C-481C-83EB-342347C308B6}" uniqueName="19" name="FT" queryTableFieldId="19"/>
    <tableColumn id="20" xr3:uid="{28BBB39B-FAB3-479A-8D52-9F2271CC1EE8}" uniqueName="20" name="FTA" queryTableFieldId="20"/>
    <tableColumn id="21" xr3:uid="{8447A74D-7966-4CE1-B8B4-CE5E447EDB68}" uniqueName="21" name="FT%" queryTableFieldId="21"/>
    <tableColumn id="22" xr3:uid="{FE29AEC4-05C1-4F51-9102-BD72A310B591}" uniqueName="22" name="ORB" queryTableFieldId="22"/>
    <tableColumn id="23" xr3:uid="{75B3FA9C-16E3-4B31-A38A-059FA49D1B24}" uniqueName="23" name="DRB" queryTableFieldId="23"/>
    <tableColumn id="24" xr3:uid="{60D2462E-B889-4F33-9762-7C12B0EC6395}" uniqueName="24" name="TRB" queryTableFieldId="24"/>
    <tableColumn id="25" xr3:uid="{C9707C6C-8379-43A0-A095-FBF289CADC13}" uniqueName="25" name="AST" queryTableFieldId="25"/>
    <tableColumn id="26" xr3:uid="{2B17DD5E-195F-46A4-A5C2-B33FAD49ECF7}" uniqueName="26" name="STL" queryTableFieldId="26"/>
    <tableColumn id="27" xr3:uid="{9BF1C0F5-8A26-486C-A419-F9EE66E855A4}" uniqueName="27" name="BLK" queryTableFieldId="27"/>
    <tableColumn id="28" xr3:uid="{F97D48F5-E618-4196-B109-100A81AD3112}" uniqueName="28" name="TOV" queryTableFieldId="28"/>
    <tableColumn id="29" xr3:uid="{FCD4CE5E-AC9A-45F8-8359-2CE6ACB5B378}" uniqueName="29" name="PF" queryTableFieldId="29"/>
    <tableColumn id="30" xr3:uid="{B0505FFE-973A-40A5-A61A-31C7F99D7B71}" uniqueName="30" name="PTS" queryTableFieldId="30"/>
    <tableColumn id="33" xr3:uid="{BF7C8904-B758-4FDB-BA97-407D0E38D5A4}" uniqueName="33" name="Qualified?" queryTableFieldId="32" dataDxfId="6">
      <calculatedColumnFormula>IF(OR(_nba2122[[#This Row],[G]]&gt;=58,nba2122_advanced[[#This Row],[MP]]&gt;=1000),"Y","N")</calculatedColumnFormula>
    </tableColumn>
    <tableColumn id="31" xr3:uid="{55A4F265-9192-4C0F-8244-F639AE0DAF03}" uniqueName="31" name="Similarity" queryTableFieldId="31" dataDxfId="5">
      <calculatedColumnFormula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FB96E8-AB21-4080-9678-555D9416ABDB}" name="nba2122_advanced" displayName="nba2122_advanced" ref="A1:AC606" tableType="queryTable" totalsRowShown="0">
  <autoFilter ref="A1:AC606" xr:uid="{2DFB96E8-AB21-4080-9678-555D9416ABDB}"/>
  <tableColumns count="29">
    <tableColumn id="1" xr3:uid="{A8385F5E-17D7-453C-9866-AA2213370D58}" uniqueName="1" name="Rk" queryTableFieldId="1"/>
    <tableColumn id="2" xr3:uid="{43CE365B-B60E-4B4A-83B3-E2EE2671305F}" uniqueName="2" name="Player" queryTableFieldId="2" dataDxfId="4"/>
    <tableColumn id="3" xr3:uid="{2404F1A8-066F-4EAF-99DE-7902B57A320F}" uniqueName="3" name="Pos" queryTableFieldId="3" dataDxfId="3"/>
    <tableColumn id="4" xr3:uid="{536BA762-DE9F-485D-8910-286029180455}" uniqueName="4" name="Age" queryTableFieldId="4"/>
    <tableColumn id="5" xr3:uid="{5C0A34EA-8A10-4A16-9AB6-DB7369DDBCA6}" uniqueName="5" name="Tm" queryTableFieldId="5" dataDxfId="2"/>
    <tableColumn id="6" xr3:uid="{000E229A-DF94-4E9D-B877-51FC3146272D}" uniqueName="6" name="G" queryTableFieldId="6"/>
    <tableColumn id="7" xr3:uid="{89281C79-1947-44E5-8F25-F016FE4C4F5E}" uniqueName="7" name="MP" queryTableFieldId="7"/>
    <tableColumn id="8" xr3:uid="{2F75AFE2-0617-4313-BAFE-8D1F4549D605}" uniqueName="8" name="PER" queryTableFieldId="8"/>
    <tableColumn id="9" xr3:uid="{A9412C30-8F25-4207-AC77-4F3B353BFCB7}" uniqueName="9" name="TS%" queryTableFieldId="9"/>
    <tableColumn id="10" xr3:uid="{791111C7-0D0A-44D6-9FB0-029CE3C569DF}" uniqueName="10" name="3PAr" queryTableFieldId="10"/>
    <tableColumn id="11" xr3:uid="{B368F06A-C65D-47E3-A01B-F880CEB75105}" uniqueName="11" name="FTr" queryTableFieldId="11"/>
    <tableColumn id="12" xr3:uid="{C243C175-7A63-4432-8EAA-6644D3EEAE80}" uniqueName="12" name="ORB%" queryTableFieldId="12"/>
    <tableColumn id="13" xr3:uid="{3B5A6E8F-67FE-402D-ACC9-B1868EBC460B}" uniqueName="13" name="DRB%" queryTableFieldId="13"/>
    <tableColumn id="14" xr3:uid="{847CB678-69C0-4D29-B6E6-093252560CC0}" uniqueName="14" name="TRB%" queryTableFieldId="14"/>
    <tableColumn id="15" xr3:uid="{4A781B14-B1AB-49D2-BCEF-8C045D2E86E5}" uniqueName="15" name="AST%" queryTableFieldId="15"/>
    <tableColumn id="16" xr3:uid="{2DEDC850-34EF-4EFA-8AB7-1AE672DED10C}" uniqueName="16" name="STL%" queryTableFieldId="16"/>
    <tableColumn id="17" xr3:uid="{9680ACDA-8CDC-4E11-A16D-EC7D2276C18D}" uniqueName="17" name="BLK%" queryTableFieldId="17"/>
    <tableColumn id="18" xr3:uid="{93D39AEA-5972-4700-BF31-E3F50BD90AEE}" uniqueName="18" name="TOV%" queryTableFieldId="18"/>
    <tableColumn id="19" xr3:uid="{D7F014E8-94F8-4DAE-9189-71AB13109B59}" uniqueName="19" name="USG%" queryTableFieldId="19"/>
    <tableColumn id="20" xr3:uid="{3D541C65-F9ED-4A04-8619-919D6ACDE523}" uniqueName="20" name="Column1" queryTableFieldId="20" dataDxfId="1"/>
    <tableColumn id="21" xr3:uid="{12B2A33D-C13F-4ECF-AF98-3A520F4D0514}" uniqueName="21" name="OWS" queryTableFieldId="21"/>
    <tableColumn id="22" xr3:uid="{55AA5D64-15E5-48BA-BC71-4EAA18516B3D}" uniqueName="22" name="DWS" queryTableFieldId="22"/>
    <tableColumn id="23" xr3:uid="{A4CB845F-12C9-4BCA-AE2A-797E11F52EB3}" uniqueName="23" name="WS" queryTableFieldId="23"/>
    <tableColumn id="24" xr3:uid="{66A2E80A-85B1-402D-A797-A4454D572DDC}" uniqueName="24" name="WS/48" queryTableFieldId="24"/>
    <tableColumn id="25" xr3:uid="{AC883AEC-5CEB-41F1-BC53-6B8A062FAD8A}" uniqueName="25" name="_1" queryTableFieldId="25" dataDxfId="0"/>
    <tableColumn id="26" xr3:uid="{86B018C2-23BF-46AF-A968-F509382B7259}" uniqueName="26" name="OBPM" queryTableFieldId="26"/>
    <tableColumn id="27" xr3:uid="{6F13B509-EFD2-4BBF-BBA2-117B7BA7B729}" uniqueName="27" name="DBPM" queryTableFieldId="27"/>
    <tableColumn id="28" xr3:uid="{9176B8C0-0280-491C-806D-97FDADCE68BC}" uniqueName="28" name="BPM" queryTableFieldId="28"/>
    <tableColumn id="29" xr3:uid="{321AE691-D916-40DE-BC22-8CC619DB7EA3}" uniqueName="29" name="VORP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CFF7B-707D-4A0B-9B0B-409B2A484157}">
  <dimension ref="A1:BA606"/>
  <sheetViews>
    <sheetView tabSelected="1" topLeftCell="AL1" workbookViewId="0">
      <selection activeCell="AW16" sqref="AW16"/>
    </sheetView>
  </sheetViews>
  <sheetFormatPr defaultRowHeight="14.5" x14ac:dyDescent="0.35"/>
  <cols>
    <col min="1" max="1" width="5.1796875" bestFit="1" customWidth="1"/>
    <col min="2" max="2" width="33.1796875" bestFit="1" customWidth="1"/>
    <col min="3" max="3" width="6.08984375" bestFit="1" customWidth="1"/>
    <col min="4" max="4" width="6.1796875" bestFit="1" customWidth="1"/>
    <col min="5" max="5" width="5.7265625" bestFit="1" customWidth="1"/>
    <col min="6" max="6" width="4.36328125" bestFit="1" customWidth="1"/>
    <col min="7" max="7" width="5.26953125" bestFit="1" customWidth="1"/>
    <col min="8" max="8" width="5.90625" bestFit="1" customWidth="1"/>
    <col min="9" max="9" width="5.26953125" bestFit="1" customWidth="1"/>
    <col min="10" max="10" width="6.453125" bestFit="1" customWidth="1"/>
    <col min="11" max="11" width="6.7265625" bestFit="1" customWidth="1"/>
    <col min="12" max="12" width="5.1796875" bestFit="1" customWidth="1"/>
    <col min="13" max="13" width="6.36328125" bestFit="1" customWidth="1"/>
    <col min="14" max="14" width="6.6328125" bestFit="1" customWidth="1"/>
    <col min="15" max="15" width="5.1796875" bestFit="1" customWidth="1"/>
    <col min="16" max="16" width="6.36328125" bestFit="1" customWidth="1"/>
    <col min="17" max="17" width="6.6328125" bestFit="1" customWidth="1"/>
    <col min="18" max="18" width="7.7265625" bestFit="1" customWidth="1"/>
    <col min="19" max="19" width="5" bestFit="1" customWidth="1"/>
    <col min="20" max="20" width="6.1796875" bestFit="1" customWidth="1"/>
    <col min="21" max="21" width="6.453125" bestFit="1" customWidth="1"/>
    <col min="22" max="22" width="6.6328125" bestFit="1" customWidth="1"/>
    <col min="23" max="23" width="6.54296875" bestFit="1" customWidth="1"/>
    <col min="24" max="24" width="6.26953125" bestFit="1" customWidth="1"/>
    <col min="25" max="25" width="6.1796875" bestFit="1" customWidth="1"/>
    <col min="26" max="26" width="5.81640625" bestFit="1" customWidth="1"/>
    <col min="27" max="27" width="6.08984375" bestFit="1" customWidth="1"/>
    <col min="28" max="28" width="6.6328125" bestFit="1" customWidth="1"/>
    <col min="29" max="29" width="5.08984375" bestFit="1" customWidth="1"/>
    <col min="30" max="30" width="6.08984375" bestFit="1" customWidth="1"/>
    <col min="46" max="46" width="11.36328125" customWidth="1"/>
  </cols>
  <sheetData>
    <row r="1" spans="1:5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710</v>
      </c>
      <c r="AF1" t="s">
        <v>683</v>
      </c>
    </row>
    <row r="2" spans="1:53" x14ac:dyDescent="0.35">
      <c r="A2">
        <v>1</v>
      </c>
      <c r="B2" s="1" t="s">
        <v>30</v>
      </c>
      <c r="C2" s="1" t="s">
        <v>31</v>
      </c>
      <c r="D2">
        <v>22</v>
      </c>
      <c r="E2" s="1" t="s">
        <v>32</v>
      </c>
      <c r="F2">
        <v>73</v>
      </c>
      <c r="G2">
        <v>28</v>
      </c>
      <c r="H2">
        <v>23.6</v>
      </c>
      <c r="I2">
        <v>3.6</v>
      </c>
      <c r="J2">
        <v>8.3000000000000007</v>
      </c>
      <c r="K2">
        <v>0.439</v>
      </c>
      <c r="L2">
        <v>0.8</v>
      </c>
      <c r="M2">
        <v>2.1</v>
      </c>
      <c r="N2">
        <v>0.35899999999999999</v>
      </c>
      <c r="O2">
        <v>2.9</v>
      </c>
      <c r="P2">
        <v>6.1</v>
      </c>
      <c r="Q2">
        <v>0.46800000000000003</v>
      </c>
      <c r="R2">
        <v>0.48599999999999999</v>
      </c>
      <c r="S2">
        <v>1.1000000000000001</v>
      </c>
      <c r="T2">
        <v>1.8</v>
      </c>
      <c r="U2">
        <v>0.59499999999999997</v>
      </c>
      <c r="V2">
        <v>2</v>
      </c>
      <c r="W2">
        <v>4.5</v>
      </c>
      <c r="X2">
        <v>6.5</v>
      </c>
      <c r="Y2">
        <v>1.1000000000000001</v>
      </c>
      <c r="Z2">
        <v>0.5</v>
      </c>
      <c r="AA2">
        <v>0.6</v>
      </c>
      <c r="AB2">
        <v>1.2</v>
      </c>
      <c r="AC2">
        <v>2.1</v>
      </c>
      <c r="AD2">
        <v>9.1</v>
      </c>
      <c r="AE2" t="str">
        <f>IF(OR(_nba2122[[#This Row],[G]]&gt;=58,nba2122_advanced[[#This Row],[MP]]&gt;=1000),"Y","N")</f>
        <v>Y</v>
      </c>
      <c r="AF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4.8391927987131877</v>
      </c>
      <c r="AI2" s="3" t="s">
        <v>713</v>
      </c>
      <c r="AS2" t="s">
        <v>684</v>
      </c>
      <c r="AT2">
        <f>_xlfn.MINIFS(_nba2122[Similarity],_nba2122[Qualified?],"Y")</f>
        <v>1.9986105005144819</v>
      </c>
      <c r="AU2" t="str">
        <f>_xlfn.XLOOKUP(AT2,_nba2122[Similarity],_nba2122[Player])</f>
        <v>Franz Wagner\wagnefr01</v>
      </c>
      <c r="AY2" t="s">
        <v>685</v>
      </c>
      <c r="AZ2">
        <f>_xlfn.MAXIFS(_nba2122[Similarity],_nba2122[Qualified?],"Y")</f>
        <v>17.885754989144306</v>
      </c>
      <c r="BA2" t="str">
        <f>_xlfn.XLOOKUP(AZ2,_nba2122[Similarity],_nba2122[Player])</f>
        <v>Rudy Gobert\goberru01</v>
      </c>
    </row>
    <row r="3" spans="1:53" x14ac:dyDescent="0.35">
      <c r="A3">
        <v>2</v>
      </c>
      <c r="B3" s="1" t="s">
        <v>33</v>
      </c>
      <c r="C3" s="1" t="s">
        <v>31</v>
      </c>
      <c r="D3">
        <v>28</v>
      </c>
      <c r="E3" s="1" t="s">
        <v>34</v>
      </c>
      <c r="F3">
        <v>76</v>
      </c>
      <c r="G3">
        <v>75</v>
      </c>
      <c r="H3">
        <v>26.3</v>
      </c>
      <c r="I3">
        <v>2.8</v>
      </c>
      <c r="J3">
        <v>5.0999999999999996</v>
      </c>
      <c r="K3">
        <v>0.54700000000000004</v>
      </c>
      <c r="L3">
        <v>0</v>
      </c>
      <c r="M3">
        <v>0</v>
      </c>
      <c r="N3">
        <v>0</v>
      </c>
      <c r="O3">
        <v>2.8</v>
      </c>
      <c r="P3">
        <v>5</v>
      </c>
      <c r="Q3">
        <v>0.54800000000000004</v>
      </c>
      <c r="R3">
        <v>0.54700000000000004</v>
      </c>
      <c r="S3">
        <v>1.4</v>
      </c>
      <c r="T3">
        <v>2.6</v>
      </c>
      <c r="U3">
        <v>0.54300000000000004</v>
      </c>
      <c r="V3">
        <v>4.5999999999999996</v>
      </c>
      <c r="W3">
        <v>5.4</v>
      </c>
      <c r="X3">
        <v>10</v>
      </c>
      <c r="Y3">
        <v>3.4</v>
      </c>
      <c r="Z3">
        <v>0.9</v>
      </c>
      <c r="AA3">
        <v>0.8</v>
      </c>
      <c r="AB3">
        <v>1.5</v>
      </c>
      <c r="AC3">
        <v>2</v>
      </c>
      <c r="AD3">
        <v>6.9</v>
      </c>
      <c r="AE3" t="str">
        <f>IF(OR(_nba2122[[#This Row],[G]]&gt;=58,nba2122_advanced[[#This Row],[MP]]&gt;=1000),"Y","N")</f>
        <v>Y</v>
      </c>
      <c r="AF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8.8135072155270482</v>
      </c>
      <c r="AI3" t="s">
        <v>676</v>
      </c>
      <c r="AJ3" t="s">
        <v>677</v>
      </c>
      <c r="AK3" t="s">
        <v>678</v>
      </c>
      <c r="AL3" t="s">
        <v>679</v>
      </c>
      <c r="AM3" t="s">
        <v>680</v>
      </c>
      <c r="AN3" t="s">
        <v>681</v>
      </c>
      <c r="AO3" t="s">
        <v>28</v>
      </c>
    </row>
    <row r="4" spans="1:53" x14ac:dyDescent="0.35">
      <c r="A4">
        <v>3</v>
      </c>
      <c r="B4" s="1" t="s">
        <v>35</v>
      </c>
      <c r="C4" s="1" t="s">
        <v>31</v>
      </c>
      <c r="D4">
        <v>24</v>
      </c>
      <c r="E4" s="1" t="s">
        <v>36</v>
      </c>
      <c r="F4">
        <v>56</v>
      </c>
      <c r="G4">
        <v>56</v>
      </c>
      <c r="H4">
        <v>32.6</v>
      </c>
      <c r="I4">
        <v>7.3</v>
      </c>
      <c r="J4">
        <v>13</v>
      </c>
      <c r="K4">
        <v>0.55700000000000005</v>
      </c>
      <c r="L4">
        <v>0</v>
      </c>
      <c r="M4">
        <v>0.1</v>
      </c>
      <c r="N4">
        <v>0</v>
      </c>
      <c r="O4">
        <v>7.3</v>
      </c>
      <c r="P4">
        <v>12.9</v>
      </c>
      <c r="Q4">
        <v>0.56200000000000006</v>
      </c>
      <c r="R4">
        <v>0.55700000000000005</v>
      </c>
      <c r="S4">
        <v>4.5999999999999996</v>
      </c>
      <c r="T4">
        <v>6.1</v>
      </c>
      <c r="U4">
        <v>0.753</v>
      </c>
      <c r="V4">
        <v>2.4</v>
      </c>
      <c r="W4">
        <v>7.6</v>
      </c>
      <c r="X4">
        <v>10.1</v>
      </c>
      <c r="Y4">
        <v>3.4</v>
      </c>
      <c r="Z4">
        <v>1.4</v>
      </c>
      <c r="AA4">
        <v>0.8</v>
      </c>
      <c r="AB4">
        <v>2.6</v>
      </c>
      <c r="AC4">
        <v>3.1</v>
      </c>
      <c r="AD4">
        <v>19.100000000000001</v>
      </c>
      <c r="AE4" t="str">
        <f>IF(OR(_nba2122[[#This Row],[G]]&gt;=58,nba2122_advanced[[#This Row],[MP]]&gt;=1000),"Y","N")</f>
        <v>Y</v>
      </c>
      <c r="AF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10.159215980935867</v>
      </c>
      <c r="AI4">
        <f>AVERAGEIF(_nba2122[Qualified?],"Y",_nba2122[PTS])</f>
        <v>12.670422535211273</v>
      </c>
      <c r="AJ4">
        <f>AVERAGEIF(_nba2122[Qualified?],"Y",_nba2122[TRB])</f>
        <v>4.8232394366197191</v>
      </c>
      <c r="AK4">
        <f>AVERAGEIF(_nba2122[Qualified?],"Y",_nba2122[AST])</f>
        <v>2.8401408450704229</v>
      </c>
      <c r="AL4">
        <f>AVERAGEIF(_nba2122[Qualified?],"Y",_nba2122[STL])</f>
        <v>0.84190140845070438</v>
      </c>
      <c r="AM4">
        <f>AVERAGEIF(_nba2122[Qualified?],"Y",_nba2122[BLK])</f>
        <v>0.50774647887323887</v>
      </c>
      <c r="AN4">
        <f>AVERAGEIF(_nba2122[Qualified?],"Y",_nba2122[TOV])</f>
        <v>1.4802816901408455</v>
      </c>
      <c r="AO4">
        <f>AVERAGEIF(_nba2122[Qualified?],"Y",_nba2122[PF])</f>
        <v>2.051408450704225</v>
      </c>
      <c r="AS4" t="s">
        <v>717</v>
      </c>
      <c r="AT4">
        <f>_xlfn.MINIFS(_nba2122[Similarity],_nba2122[Qualified?],"Y",_nba2122[Pos],"PG")</f>
        <v>3.6718321776442173</v>
      </c>
      <c r="AU4" t="str">
        <f>_xlfn.XLOOKUP(AT4,_nba2122[Similarity],_nba2122[Player])</f>
        <v>Bones Hyland\hylanbo01</v>
      </c>
      <c r="AY4" t="s">
        <v>722</v>
      </c>
      <c r="AZ4">
        <f>_xlfn.MAXIFS(_nba2122[Similarity],_nba2122[Qualified?],"Y",_nba2122[Pos],"PG")</f>
        <v>12.504769946573619</v>
      </c>
      <c r="BA4" t="str">
        <f>_xlfn.XLOOKUP(AZ4,_nba2122[Similarity],_nba2122[Player])</f>
        <v>Trae Young\youngtr01</v>
      </c>
    </row>
    <row r="5" spans="1:53" x14ac:dyDescent="0.35">
      <c r="A5">
        <v>4</v>
      </c>
      <c r="B5" s="1" t="s">
        <v>37</v>
      </c>
      <c r="C5" s="1" t="s">
        <v>28</v>
      </c>
      <c r="D5">
        <v>21</v>
      </c>
      <c r="E5" s="1" t="s">
        <v>34</v>
      </c>
      <c r="F5">
        <v>32</v>
      </c>
      <c r="G5">
        <v>0</v>
      </c>
      <c r="H5">
        <v>11.3</v>
      </c>
      <c r="I5">
        <v>1.7</v>
      </c>
      <c r="J5">
        <v>4.0999999999999996</v>
      </c>
      <c r="K5">
        <v>0.40200000000000002</v>
      </c>
      <c r="L5">
        <v>0.2</v>
      </c>
      <c r="M5">
        <v>1.5</v>
      </c>
      <c r="N5">
        <v>0.125</v>
      </c>
      <c r="O5">
        <v>1.5</v>
      </c>
      <c r="P5">
        <v>2.6</v>
      </c>
      <c r="Q5">
        <v>0.56000000000000005</v>
      </c>
      <c r="R5">
        <v>0.42399999999999999</v>
      </c>
      <c r="S5">
        <v>0.6</v>
      </c>
      <c r="T5">
        <v>1</v>
      </c>
      <c r="U5">
        <v>0.625</v>
      </c>
      <c r="V5">
        <v>1</v>
      </c>
      <c r="W5">
        <v>1.7</v>
      </c>
      <c r="X5">
        <v>2.7</v>
      </c>
      <c r="Y5">
        <v>0.7</v>
      </c>
      <c r="Z5">
        <v>0.2</v>
      </c>
      <c r="AA5">
        <v>0.3</v>
      </c>
      <c r="AB5">
        <v>0.5</v>
      </c>
      <c r="AC5">
        <v>1.1000000000000001</v>
      </c>
      <c r="AD5">
        <v>4.0999999999999996</v>
      </c>
      <c r="AE5" t="str">
        <f>IF(OR(_nba2122[[#This Row],[G]]&gt;=58,nba2122_advanced[[#This Row],[MP]]&gt;=1000),"Y","N")</f>
        <v>N</v>
      </c>
      <c r="AF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7.6865214491715825</v>
      </c>
      <c r="AS5" t="s">
        <v>718</v>
      </c>
      <c r="AT5">
        <f>_xlfn.MINIFS(_nba2122[Similarity],_nba2122[Qualified?],"Y",_nba2122[Pos],"SG")</f>
        <v>2.7143310894257113</v>
      </c>
      <c r="AU5" t="str">
        <f>_xlfn.XLOOKUP(AT5,_nba2122[Similarity],_nba2122[Player])</f>
        <v>Malik Monk\monkma01</v>
      </c>
      <c r="AY5" t="s">
        <v>723</v>
      </c>
      <c r="AZ5">
        <f>_xlfn.MAXIFS(_nba2122[Similarity],_nba2122[Qualified?],"Y",_nba2122[Pos],"SG")</f>
        <v>9.7724933361132855</v>
      </c>
      <c r="BA5" t="str">
        <f>_xlfn.XLOOKUP(AZ5,_nba2122[Similarity],_nba2122[Player])</f>
        <v>Matisse Thybulle\thybuma01</v>
      </c>
    </row>
    <row r="6" spans="1:53" x14ac:dyDescent="0.35">
      <c r="A6">
        <v>5</v>
      </c>
      <c r="B6" s="1" t="s">
        <v>38</v>
      </c>
      <c r="C6" s="1" t="s">
        <v>31</v>
      </c>
      <c r="D6">
        <v>36</v>
      </c>
      <c r="E6" s="1" t="s">
        <v>39</v>
      </c>
      <c r="F6">
        <v>47</v>
      </c>
      <c r="G6">
        <v>12</v>
      </c>
      <c r="H6">
        <v>22.3</v>
      </c>
      <c r="I6">
        <v>5.4</v>
      </c>
      <c r="J6">
        <v>9.6999999999999993</v>
      </c>
      <c r="K6">
        <v>0.55000000000000004</v>
      </c>
      <c r="L6">
        <v>0.3</v>
      </c>
      <c r="M6">
        <v>1</v>
      </c>
      <c r="N6">
        <v>0.30399999999999999</v>
      </c>
      <c r="O6">
        <v>5.0999999999999996</v>
      </c>
      <c r="P6">
        <v>8.8000000000000007</v>
      </c>
      <c r="Q6">
        <v>0.57799999999999996</v>
      </c>
      <c r="R6">
        <v>0.56599999999999995</v>
      </c>
      <c r="S6">
        <v>1.9</v>
      </c>
      <c r="T6">
        <v>2.2000000000000002</v>
      </c>
      <c r="U6">
        <v>0.873</v>
      </c>
      <c r="V6">
        <v>1.6</v>
      </c>
      <c r="W6">
        <v>3.9</v>
      </c>
      <c r="X6">
        <v>5.5</v>
      </c>
      <c r="Y6">
        <v>0.9</v>
      </c>
      <c r="Z6">
        <v>0.3</v>
      </c>
      <c r="AA6">
        <v>1</v>
      </c>
      <c r="AB6">
        <v>0.9</v>
      </c>
      <c r="AC6">
        <v>1.7</v>
      </c>
      <c r="AD6">
        <v>12.9</v>
      </c>
      <c r="AE6" t="str">
        <f>IF(OR(_nba2122[[#This Row],[G]]&gt;=58,nba2122_advanced[[#This Row],[MP]]&gt;=1000),"Y","N")</f>
        <v>Y</v>
      </c>
      <c r="AF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7.897316823541825</v>
      </c>
      <c r="AI6" t="s">
        <v>10</v>
      </c>
      <c r="AJ6" t="s">
        <v>13</v>
      </c>
      <c r="AK6" t="s">
        <v>20</v>
      </c>
      <c r="AL6" t="s">
        <v>687</v>
      </c>
      <c r="AM6" t="s">
        <v>686</v>
      </c>
      <c r="AN6" t="s">
        <v>688</v>
      </c>
      <c r="AO6" t="s">
        <v>689</v>
      </c>
      <c r="AS6" t="s">
        <v>719</v>
      </c>
      <c r="AT6">
        <f>_xlfn.MINIFS(_nba2122[Similarity],_nba2122[Qualified?],"Y",_nba2122[Pos],"SF")</f>
        <v>1.9986105005144819</v>
      </c>
      <c r="AU6" t="str">
        <f>_xlfn.XLOOKUP(AT6,_nba2122[Similarity],_nba2122[Player])</f>
        <v>Franz Wagner\wagnefr01</v>
      </c>
      <c r="AY6" t="s">
        <v>724</v>
      </c>
      <c r="AZ6">
        <f>_xlfn.MAXIFS(_nba2122[Similarity],_nba2122[Qualified?],"Y",_nba2122[Pos],"SF")</f>
        <v>9.9495749981530324</v>
      </c>
      <c r="BA6" t="str">
        <f>_xlfn.XLOOKUP(AZ6,_nba2122[Similarity],_nba2122[Player])</f>
        <v>LeBron James\jamesle01</v>
      </c>
    </row>
    <row r="7" spans="1:53" x14ac:dyDescent="0.35">
      <c r="A7">
        <v>6</v>
      </c>
      <c r="B7" s="1" t="s">
        <v>40</v>
      </c>
      <c r="C7" s="1" t="s">
        <v>41</v>
      </c>
      <c r="D7">
        <v>23</v>
      </c>
      <c r="E7" s="1" t="s">
        <v>42</v>
      </c>
      <c r="F7">
        <v>65</v>
      </c>
      <c r="G7">
        <v>21</v>
      </c>
      <c r="H7">
        <v>22.6</v>
      </c>
      <c r="I7">
        <v>3.9</v>
      </c>
      <c r="J7">
        <v>10.5</v>
      </c>
      <c r="K7">
        <v>0.372</v>
      </c>
      <c r="L7">
        <v>1.6</v>
      </c>
      <c r="M7">
        <v>5.2</v>
      </c>
      <c r="N7">
        <v>0.311</v>
      </c>
      <c r="O7">
        <v>2.2999999999999998</v>
      </c>
      <c r="P7">
        <v>5.3</v>
      </c>
      <c r="Q7">
        <v>0.433</v>
      </c>
      <c r="R7">
        <v>0.44900000000000001</v>
      </c>
      <c r="S7">
        <v>1.2</v>
      </c>
      <c r="T7">
        <v>1.7</v>
      </c>
      <c r="U7">
        <v>0.74299999999999999</v>
      </c>
      <c r="V7">
        <v>0.6</v>
      </c>
      <c r="W7">
        <v>2.2999999999999998</v>
      </c>
      <c r="X7">
        <v>2.9</v>
      </c>
      <c r="Y7">
        <v>2.4</v>
      </c>
      <c r="Z7">
        <v>0.7</v>
      </c>
      <c r="AA7">
        <v>0.4</v>
      </c>
      <c r="AB7">
        <v>1.4</v>
      </c>
      <c r="AC7">
        <v>1.6</v>
      </c>
      <c r="AD7">
        <v>10.6</v>
      </c>
      <c r="AE7" t="str">
        <f>IF(OR(_nba2122[[#This Row],[G]]&gt;=58,nba2122_advanced[[#This Row],[MP]]&gt;=1000),"Y","N")</f>
        <v>Y</v>
      </c>
      <c r="AF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3.5983031659347646</v>
      </c>
      <c r="AI7">
        <f>SUMIF(_nba2122[Qualified?],"Y",_nba2122[FG])/SUMIF(_nba2122[Qualified?],"Y",_nba2122[FGA])</f>
        <v>0.46406795192612665</v>
      </c>
      <c r="AJ7">
        <f>SUMIF(_nba2122[Qualified?],"Y",_nba2122[3P])/SUMIF(_nba2122[Qualified?],"Y",_nba2122[3PA])</f>
        <v>0.35692744367571355</v>
      </c>
      <c r="AK7">
        <f>SUMIF(_nba2122[Qualified?],"Y",_nba2122[FT])/SUMIF(_nba2122[Qualified?],"Y",_nba2122[FTA])</f>
        <v>0.78546519737759835</v>
      </c>
      <c r="AL7">
        <f>AVERAGEIF(_nba2122[Qualified?],"Y",nba2122_advanced[TS%])</f>
        <v>0.57163732394366173</v>
      </c>
      <c r="AM7">
        <f>AVERAGEIF(_nba2122[Qualified?],"Y",nba2122_advanced[PER])</f>
        <v>15.18697183098592</v>
      </c>
      <c r="AN7">
        <f>AVERAGEIF(_nba2122[Qualified?],"Y",nba2122_advanced[3PAr])</f>
        <v>0.40018661971830977</v>
      </c>
      <c r="AO7">
        <f>AVERAGEIF(_nba2122[Qualified?],"Y",nba2122_advanced[FTr])</f>
        <v>0.24737323943661985</v>
      </c>
      <c r="AS7" t="s">
        <v>720</v>
      </c>
      <c r="AT7">
        <f>_xlfn.MINIFS(_nba2122[Similarity],_nba2122[Qualified?],"Y",_nba2122[Pos],"PF")</f>
        <v>2.6999344472993294</v>
      </c>
      <c r="AU7" t="str">
        <f>_xlfn.XLOOKUP(AT7,_nba2122[Similarity],_nba2122[Player])</f>
        <v>Aaron Gordon\gordoaa01</v>
      </c>
      <c r="AY7" t="s">
        <v>725</v>
      </c>
      <c r="AZ7">
        <f>_xlfn.MAXIFS(_nba2122[Similarity],_nba2122[Qualified?],"Y",_nba2122[Pos],"PF")</f>
        <v>15.332180125162122</v>
      </c>
      <c r="BA7" t="str">
        <f>_xlfn.XLOOKUP(AZ7,_nba2122[Similarity],_nba2122[Player])</f>
        <v>Giannis Antetokounmpo\antetgi01</v>
      </c>
    </row>
    <row r="8" spans="1:53" x14ac:dyDescent="0.35">
      <c r="A8">
        <v>7</v>
      </c>
      <c r="B8" s="1" t="s">
        <v>43</v>
      </c>
      <c r="C8" s="1" t="s">
        <v>41</v>
      </c>
      <c r="D8">
        <v>26</v>
      </c>
      <c r="E8" s="1" t="s">
        <v>44</v>
      </c>
      <c r="F8">
        <v>66</v>
      </c>
      <c r="G8">
        <v>61</v>
      </c>
      <c r="H8">
        <v>27.3</v>
      </c>
      <c r="I8">
        <v>3.9</v>
      </c>
      <c r="J8">
        <v>8.6</v>
      </c>
      <c r="K8">
        <v>0.44800000000000001</v>
      </c>
      <c r="L8">
        <v>2.4</v>
      </c>
      <c r="M8">
        <v>5.9</v>
      </c>
      <c r="N8">
        <v>0.40899999999999997</v>
      </c>
      <c r="O8">
        <v>1.5</v>
      </c>
      <c r="P8">
        <v>2.7</v>
      </c>
      <c r="Q8">
        <v>0.53300000000000003</v>
      </c>
      <c r="R8">
        <v>0.58799999999999997</v>
      </c>
      <c r="S8">
        <v>1</v>
      </c>
      <c r="T8">
        <v>1.1000000000000001</v>
      </c>
      <c r="U8">
        <v>0.86499999999999999</v>
      </c>
      <c r="V8">
        <v>0.5</v>
      </c>
      <c r="W8">
        <v>2.9</v>
      </c>
      <c r="X8">
        <v>3.4</v>
      </c>
      <c r="Y8">
        <v>1.5</v>
      </c>
      <c r="Z8">
        <v>0.7</v>
      </c>
      <c r="AA8">
        <v>0.3</v>
      </c>
      <c r="AB8">
        <v>0.7</v>
      </c>
      <c r="AC8">
        <v>1.5</v>
      </c>
      <c r="AD8">
        <v>11.1</v>
      </c>
      <c r="AE8" t="str">
        <f>IF(OR(_nba2122[[#This Row],[G]]&gt;=58,nba2122_advanced[[#This Row],[MP]]&gt;=1000),"Y","N")</f>
        <v>Y</v>
      </c>
      <c r="AF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6.1449376980697599</v>
      </c>
      <c r="AS8" t="s">
        <v>721</v>
      </c>
      <c r="AT8">
        <f>_xlfn.MINIFS(_nba2122[Similarity],_nba2122[Qualified?],"Y",_nba2122[Pos],"C")</f>
        <v>3.7873156436666178</v>
      </c>
      <c r="AU8" t="str">
        <f>_xlfn.XLOOKUP(AT8,_nba2122[Similarity],_nba2122[Player])</f>
        <v>Nemanja Bjelica\bjeline01</v>
      </c>
      <c r="AY8" t="s">
        <v>726</v>
      </c>
      <c r="AZ8">
        <f>_xlfn.MAXIFS(_nba2122[Similarity],_nba2122[Qualified?],"Y",_nba2122[Pos],"C")</f>
        <v>17.885754989144306</v>
      </c>
      <c r="BA8" t="str">
        <f>_xlfn.XLOOKUP(AZ8,_nba2122[Similarity],_nba2122[Player])</f>
        <v>Rudy Gobert\goberru01</v>
      </c>
    </row>
    <row r="9" spans="1:53" x14ac:dyDescent="0.35">
      <c r="A9">
        <v>8</v>
      </c>
      <c r="B9" s="1" t="s">
        <v>45</v>
      </c>
      <c r="C9" s="1" t="s">
        <v>31</v>
      </c>
      <c r="D9">
        <v>23</v>
      </c>
      <c r="E9" s="1" t="s">
        <v>46</v>
      </c>
      <c r="F9">
        <v>56</v>
      </c>
      <c r="G9">
        <v>56</v>
      </c>
      <c r="H9">
        <v>32.299999999999997</v>
      </c>
      <c r="I9">
        <v>6.6</v>
      </c>
      <c r="J9">
        <v>9.6999999999999993</v>
      </c>
      <c r="K9">
        <v>0.67700000000000005</v>
      </c>
      <c r="L9">
        <v>0</v>
      </c>
      <c r="M9">
        <v>0.2</v>
      </c>
      <c r="N9">
        <v>0.1</v>
      </c>
      <c r="O9">
        <v>6.6</v>
      </c>
      <c r="P9">
        <v>9.6</v>
      </c>
      <c r="Q9">
        <v>0.68799999999999994</v>
      </c>
      <c r="R9">
        <v>0.67800000000000005</v>
      </c>
      <c r="S9">
        <v>2.9</v>
      </c>
      <c r="T9">
        <v>4.2</v>
      </c>
      <c r="U9">
        <v>0.70799999999999996</v>
      </c>
      <c r="V9">
        <v>3.4</v>
      </c>
      <c r="W9">
        <v>7.3</v>
      </c>
      <c r="X9">
        <v>10.8</v>
      </c>
      <c r="Y9">
        <v>1.6</v>
      </c>
      <c r="Z9">
        <v>0.8</v>
      </c>
      <c r="AA9">
        <v>1.3</v>
      </c>
      <c r="AB9">
        <v>1.7</v>
      </c>
      <c r="AC9">
        <v>1.7</v>
      </c>
      <c r="AD9">
        <v>16.100000000000001</v>
      </c>
      <c r="AE9" t="str">
        <f>IF(OR(_nba2122[[#This Row],[G]]&gt;=58,nba2122_advanced[[#This Row],[MP]]&gt;=1000),"Y","N")</f>
        <v>Y</v>
      </c>
      <c r="AF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10.367645307671195</v>
      </c>
      <c r="AI9" t="s">
        <v>692</v>
      </c>
      <c r="AJ9" t="s">
        <v>693</v>
      </c>
      <c r="AK9" t="s">
        <v>694</v>
      </c>
      <c r="AL9" t="s">
        <v>695</v>
      </c>
      <c r="AM9" t="s">
        <v>696</v>
      </c>
      <c r="AN9" t="s">
        <v>697</v>
      </c>
    </row>
    <row r="10" spans="1:53" x14ac:dyDescent="0.35">
      <c r="A10">
        <v>9</v>
      </c>
      <c r="B10" s="1" t="s">
        <v>47</v>
      </c>
      <c r="C10" s="1" t="s">
        <v>48</v>
      </c>
      <c r="D10">
        <v>23</v>
      </c>
      <c r="E10" s="1" t="s">
        <v>49</v>
      </c>
      <c r="F10">
        <v>54</v>
      </c>
      <c r="G10">
        <v>1</v>
      </c>
      <c r="H10">
        <v>15.4</v>
      </c>
      <c r="I10">
        <v>2.4</v>
      </c>
      <c r="J10">
        <v>5.4</v>
      </c>
      <c r="K10">
        <v>0.44600000000000001</v>
      </c>
      <c r="L10">
        <v>0.6</v>
      </c>
      <c r="M10">
        <v>2</v>
      </c>
      <c r="N10">
        <v>0.29099999999999998</v>
      </c>
      <c r="O10">
        <v>1.8</v>
      </c>
      <c r="P10">
        <v>3.4</v>
      </c>
      <c r="Q10">
        <v>0.53800000000000003</v>
      </c>
      <c r="R10">
        <v>0.5</v>
      </c>
      <c r="S10">
        <v>0.7</v>
      </c>
      <c r="T10">
        <v>1</v>
      </c>
      <c r="U10">
        <v>0.67900000000000005</v>
      </c>
      <c r="V10">
        <v>0.5</v>
      </c>
      <c r="W10">
        <v>1.4</v>
      </c>
      <c r="X10">
        <v>1.9</v>
      </c>
      <c r="Y10">
        <v>2.8</v>
      </c>
      <c r="Z10">
        <v>1.3</v>
      </c>
      <c r="AA10">
        <v>0.1</v>
      </c>
      <c r="AB10">
        <v>0.7</v>
      </c>
      <c r="AC10">
        <v>1.4</v>
      </c>
      <c r="AD10">
        <v>6.1</v>
      </c>
      <c r="AE10" t="str">
        <f>IF(OR(_nba2122[[#This Row],[G]]&gt;=58,nba2122_advanced[[#This Row],[MP]]&gt;=1000),"Y","N")</f>
        <v>N</v>
      </c>
      <c r="AF1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7.6404533160028496</v>
      </c>
      <c r="AI10">
        <f>AVERAGEIF(_nba2122[Qualified?],"Y",nba2122_advanced[TRB%])</f>
        <v>9.9517605633802848</v>
      </c>
      <c r="AJ10">
        <f>AVERAGEIF(_nba2122[Qualified?],"Y",nba2122_advanced[AST%])</f>
        <v>15.464084507042228</v>
      </c>
      <c r="AK10">
        <f>AVERAGEIF(_nba2122[Qualified?],"Y",nba2122_advanced[STL%])</f>
        <v>1.5563380281690125</v>
      </c>
      <c r="AL10">
        <f>AVERAGEIF(_nba2122[Qualified?],"Y",nba2122_advanced[BLK%])</f>
        <v>1.7855633802816919</v>
      </c>
      <c r="AM10">
        <f>AVERAGEIF(_nba2122[Qualified?],"Y",nba2122_advanced[TOV%])</f>
        <v>11.700352112676049</v>
      </c>
      <c r="AN10">
        <f>AVERAGEIF(_nba2122[Qualified?],"Y",nba2122_advanced[USG%])</f>
        <v>19.848591549295801</v>
      </c>
      <c r="AS10" t="s">
        <v>711</v>
      </c>
    </row>
    <row r="11" spans="1:53" x14ac:dyDescent="0.35">
      <c r="A11">
        <v>10</v>
      </c>
      <c r="B11" s="1" t="s">
        <v>50</v>
      </c>
      <c r="C11" s="1" t="s">
        <v>51</v>
      </c>
      <c r="D11">
        <v>28</v>
      </c>
      <c r="E11" s="1" t="s">
        <v>42</v>
      </c>
      <c r="F11">
        <v>16</v>
      </c>
      <c r="G11">
        <v>6</v>
      </c>
      <c r="H11">
        <v>19.8</v>
      </c>
      <c r="I11">
        <v>2.2999999999999998</v>
      </c>
      <c r="J11">
        <v>5.9</v>
      </c>
      <c r="K11">
        <v>0.379</v>
      </c>
      <c r="L11">
        <v>0.9</v>
      </c>
      <c r="M11">
        <v>3.7</v>
      </c>
      <c r="N11">
        <v>0.254</v>
      </c>
      <c r="O11">
        <v>1.3</v>
      </c>
      <c r="P11">
        <v>2.2999999999999998</v>
      </c>
      <c r="Q11">
        <v>0.58299999999999996</v>
      </c>
      <c r="R11">
        <v>0.45800000000000002</v>
      </c>
      <c r="S11">
        <v>0.9</v>
      </c>
      <c r="T11">
        <v>1.2</v>
      </c>
      <c r="U11">
        <v>0.78900000000000003</v>
      </c>
      <c r="V11">
        <v>0.3</v>
      </c>
      <c r="W11">
        <v>2.6</v>
      </c>
      <c r="X11">
        <v>2.9</v>
      </c>
      <c r="Y11">
        <v>2.1</v>
      </c>
      <c r="Z11">
        <v>0.5</v>
      </c>
      <c r="AA11">
        <v>0.4</v>
      </c>
      <c r="AB11">
        <v>0.5</v>
      </c>
      <c r="AC11">
        <v>1.4</v>
      </c>
      <c r="AD11">
        <v>6.4</v>
      </c>
      <c r="AE11" t="str">
        <f>IF(OR(_nba2122[[#This Row],[G]]&gt;=58,nba2122_advanced[[#This Row],[MP]]&gt;=1000),"Y","N")</f>
        <v>N</v>
      </c>
      <c r="AF1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5.5931103959982185</v>
      </c>
      <c r="AS11" t="s">
        <v>712</v>
      </c>
    </row>
    <row r="12" spans="1:53" x14ac:dyDescent="0.35">
      <c r="A12">
        <v>11</v>
      </c>
      <c r="B12" s="1" t="s">
        <v>52</v>
      </c>
      <c r="C12" s="1" t="s">
        <v>28</v>
      </c>
      <c r="D12">
        <v>28</v>
      </c>
      <c r="E12" s="1" t="s">
        <v>34</v>
      </c>
      <c r="F12">
        <v>69</v>
      </c>
      <c r="G12">
        <v>11</v>
      </c>
      <c r="H12">
        <v>21.5</v>
      </c>
      <c r="I12">
        <v>3</v>
      </c>
      <c r="J12">
        <v>6.8</v>
      </c>
      <c r="K12">
        <v>0.44600000000000001</v>
      </c>
      <c r="L12">
        <v>0.5</v>
      </c>
      <c r="M12">
        <v>1.6</v>
      </c>
      <c r="N12">
        <v>0.33</v>
      </c>
      <c r="O12">
        <v>2.5</v>
      </c>
      <c r="P12">
        <v>5.2</v>
      </c>
      <c r="Q12">
        <v>0.48099999999999998</v>
      </c>
      <c r="R12">
        <v>0.48399999999999999</v>
      </c>
      <c r="S12">
        <v>1</v>
      </c>
      <c r="T12">
        <v>1.5</v>
      </c>
      <c r="U12">
        <v>0.63800000000000001</v>
      </c>
      <c r="V12">
        <v>1</v>
      </c>
      <c r="W12">
        <v>4.3</v>
      </c>
      <c r="X12">
        <v>5.3</v>
      </c>
      <c r="Y12">
        <v>2.7</v>
      </c>
      <c r="Z12">
        <v>1.1000000000000001</v>
      </c>
      <c r="AA12">
        <v>0.7</v>
      </c>
      <c r="AB12">
        <v>1</v>
      </c>
      <c r="AC12">
        <v>1.6</v>
      </c>
      <c r="AD12">
        <v>7.6</v>
      </c>
      <c r="AE12" t="str">
        <f>IF(OR(_nba2122[[#This Row],[G]]&gt;=58,nba2122_advanced[[#This Row],[MP]]&gt;=1000),"Y","N")</f>
        <v>Y</v>
      </c>
      <c r="AF1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4.4519234222839934</v>
      </c>
      <c r="AI12" s="3" t="s">
        <v>708</v>
      </c>
      <c r="AS12" t="s">
        <v>714</v>
      </c>
    </row>
    <row r="13" spans="1:53" x14ac:dyDescent="0.35">
      <c r="A13">
        <v>12</v>
      </c>
      <c r="B13" s="1" t="s">
        <v>53</v>
      </c>
      <c r="C13" s="1" t="s">
        <v>28</v>
      </c>
      <c r="D13">
        <v>27</v>
      </c>
      <c r="E13" s="1" t="s">
        <v>44</v>
      </c>
      <c r="F13">
        <v>67</v>
      </c>
      <c r="G13">
        <v>67</v>
      </c>
      <c r="H13">
        <v>32.9</v>
      </c>
      <c r="I13">
        <v>10.3</v>
      </c>
      <c r="J13">
        <v>18.600000000000001</v>
      </c>
      <c r="K13">
        <v>0.55300000000000005</v>
      </c>
      <c r="L13">
        <v>1.1000000000000001</v>
      </c>
      <c r="M13">
        <v>3.6</v>
      </c>
      <c r="N13">
        <v>0.29299999999999998</v>
      </c>
      <c r="O13">
        <v>9.1999999999999993</v>
      </c>
      <c r="P13">
        <v>15</v>
      </c>
      <c r="Q13">
        <v>0.61599999999999999</v>
      </c>
      <c r="R13">
        <v>0.58199999999999996</v>
      </c>
      <c r="S13">
        <v>8.3000000000000007</v>
      </c>
      <c r="T13">
        <v>11.4</v>
      </c>
      <c r="U13">
        <v>0.72199999999999998</v>
      </c>
      <c r="V13">
        <v>2</v>
      </c>
      <c r="W13">
        <v>9.6</v>
      </c>
      <c r="X13">
        <v>11.6</v>
      </c>
      <c r="Y13">
        <v>5.8</v>
      </c>
      <c r="Z13">
        <v>1.1000000000000001</v>
      </c>
      <c r="AA13">
        <v>1.4</v>
      </c>
      <c r="AB13">
        <v>3.3</v>
      </c>
      <c r="AC13">
        <v>3.2</v>
      </c>
      <c r="AD13">
        <v>29.9</v>
      </c>
      <c r="AE13" t="str">
        <f>IF(OR(_nba2122[[#This Row],[G]]&gt;=58,nba2122_advanced[[#This Row],[MP]]&gt;=1000),"Y","N")</f>
        <v>Y</v>
      </c>
      <c r="AF1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15.332180125162122</v>
      </c>
      <c r="AI13" t="s">
        <v>676</v>
      </c>
      <c r="AJ13" t="s">
        <v>677</v>
      </c>
      <c r="AK13" t="s">
        <v>678</v>
      </c>
      <c r="AL13" t="s">
        <v>679</v>
      </c>
      <c r="AM13" t="s">
        <v>680</v>
      </c>
      <c r="AN13" t="s">
        <v>681</v>
      </c>
      <c r="AO13" t="s">
        <v>28</v>
      </c>
      <c r="AS13" t="s">
        <v>715</v>
      </c>
    </row>
    <row r="14" spans="1:53" x14ac:dyDescent="0.35">
      <c r="A14">
        <v>13</v>
      </c>
      <c r="B14" s="1" t="s">
        <v>54</v>
      </c>
      <c r="C14" s="1" t="s">
        <v>51</v>
      </c>
      <c r="D14">
        <v>29</v>
      </c>
      <c r="E14" s="1" t="s">
        <v>44</v>
      </c>
      <c r="F14">
        <v>48</v>
      </c>
      <c r="G14">
        <v>6</v>
      </c>
      <c r="H14">
        <v>9.9</v>
      </c>
      <c r="I14">
        <v>1.5</v>
      </c>
      <c r="J14">
        <v>2.7</v>
      </c>
      <c r="K14">
        <v>0.54700000000000004</v>
      </c>
      <c r="L14">
        <v>0</v>
      </c>
      <c r="M14">
        <v>0.3</v>
      </c>
      <c r="N14">
        <v>0.14299999999999999</v>
      </c>
      <c r="O14">
        <v>1.4</v>
      </c>
      <c r="P14">
        <v>2.4</v>
      </c>
      <c r="Q14">
        <v>0.59599999999999997</v>
      </c>
      <c r="R14">
        <v>0.55500000000000005</v>
      </c>
      <c r="S14">
        <v>0.6</v>
      </c>
      <c r="T14">
        <v>1</v>
      </c>
      <c r="U14">
        <v>0.63</v>
      </c>
      <c r="V14">
        <v>0.8</v>
      </c>
      <c r="W14">
        <v>1.3</v>
      </c>
      <c r="X14">
        <v>2.1</v>
      </c>
      <c r="Y14">
        <v>0.5</v>
      </c>
      <c r="Z14">
        <v>0.3</v>
      </c>
      <c r="AA14">
        <v>0.3</v>
      </c>
      <c r="AB14">
        <v>0.5</v>
      </c>
      <c r="AC14">
        <v>1.4</v>
      </c>
      <c r="AD14">
        <v>3.6</v>
      </c>
      <c r="AE14" t="str">
        <f>IF(OR(_nba2122[[#This Row],[G]]&gt;=58,nba2122_advanced[[#This Row],[MP]]&gt;=1000),"Y","N")</f>
        <v>N</v>
      </c>
      <c r="AF1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8.0479900393241071</v>
      </c>
      <c r="AI14">
        <f>AVERAGEIFS(_nba2122[PTS],_nba2122[Qualified?],"Y",_nba2122[Pos],"PG")</f>
        <v>13.917543859649122</v>
      </c>
      <c r="AJ14">
        <f>AVERAGEIFS(_nba2122[TRB],_nba2122[Qualified?],"Y",_nba2122[Pos],"PG")</f>
        <v>3.7000000000000006</v>
      </c>
      <c r="AK14">
        <f>AVERAGEIFS(_nba2122[AST],_nba2122[Qualified?],"Y",_nba2122[Pos],"PG")</f>
        <v>4.9175438596491228</v>
      </c>
      <c r="AL14">
        <f>AVERAGEIFS(_nba2122[STL],_nba2122[Qualified?],"Y",_nba2122[Pos],"PG")</f>
        <v>0.99649122807017576</v>
      </c>
      <c r="AM14">
        <f>AVERAGEIFS(_nba2122[BLK],_nba2122[Qualified?],"Y",_nba2122[Pos],"PG")</f>
        <v>0.32105263157894737</v>
      </c>
      <c r="AN14">
        <f>AVERAGEIFS(_nba2122[TOV],_nba2122[Qualified?],"Y",_nba2122[Pos],"PG")</f>
        <v>1.9649122807017541</v>
      </c>
      <c r="AO14">
        <f>AVERAGEIFS(_nba2122[PF],_nba2122[Qualified?],"Y",_nba2122[Pos],"PG")</f>
        <v>1.9754385964912278</v>
      </c>
      <c r="AS14" t="s">
        <v>716</v>
      </c>
    </row>
    <row r="15" spans="1:53" x14ac:dyDescent="0.35">
      <c r="A15">
        <v>14</v>
      </c>
      <c r="B15" s="1" t="s">
        <v>55</v>
      </c>
      <c r="C15" s="1" t="s">
        <v>28</v>
      </c>
      <c r="D15">
        <v>37</v>
      </c>
      <c r="E15" s="1" t="s">
        <v>56</v>
      </c>
      <c r="F15">
        <v>69</v>
      </c>
      <c r="G15">
        <v>3</v>
      </c>
      <c r="H15">
        <v>26</v>
      </c>
      <c r="I15">
        <v>4.5999999999999996</v>
      </c>
      <c r="J15">
        <v>10.5</v>
      </c>
      <c r="K15">
        <v>0.441</v>
      </c>
      <c r="L15">
        <v>2.2000000000000002</v>
      </c>
      <c r="M15">
        <v>5.8</v>
      </c>
      <c r="N15">
        <v>0.375</v>
      </c>
      <c r="O15">
        <v>2.5</v>
      </c>
      <c r="P15">
        <v>4.7</v>
      </c>
      <c r="Q15">
        <v>0.52100000000000002</v>
      </c>
      <c r="R15">
        <v>0.54400000000000004</v>
      </c>
      <c r="S15">
        <v>1.9</v>
      </c>
      <c r="T15">
        <v>2.2999999999999998</v>
      </c>
      <c r="U15">
        <v>0.83</v>
      </c>
      <c r="V15">
        <v>0.9</v>
      </c>
      <c r="W15">
        <v>3.3</v>
      </c>
      <c r="X15">
        <v>4.2</v>
      </c>
      <c r="Y15">
        <v>1</v>
      </c>
      <c r="Z15">
        <v>0.7</v>
      </c>
      <c r="AA15">
        <v>0.8</v>
      </c>
      <c r="AB15">
        <v>0.9</v>
      </c>
      <c r="AC15">
        <v>2.4</v>
      </c>
      <c r="AD15">
        <v>13.3</v>
      </c>
      <c r="AE15" t="str">
        <f>IF(OR(_nba2122[[#This Row],[G]]&gt;=58,nba2122_advanced[[#This Row],[MP]]&gt;=1000),"Y","N")</f>
        <v>Y</v>
      </c>
      <c r="AF1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4.6433854238250012</v>
      </c>
      <c r="AS15" t="s">
        <v>728</v>
      </c>
    </row>
    <row r="16" spans="1:53" x14ac:dyDescent="0.35">
      <c r="A16">
        <v>15</v>
      </c>
      <c r="B16" s="1" t="s">
        <v>57</v>
      </c>
      <c r="C16" s="1" t="s">
        <v>48</v>
      </c>
      <c r="D16">
        <v>21</v>
      </c>
      <c r="E16" s="1" t="s">
        <v>58</v>
      </c>
      <c r="F16">
        <v>65</v>
      </c>
      <c r="G16">
        <v>65</v>
      </c>
      <c r="H16">
        <v>31.7</v>
      </c>
      <c r="I16">
        <v>5.5</v>
      </c>
      <c r="J16">
        <v>14</v>
      </c>
      <c r="K16">
        <v>0.39100000000000001</v>
      </c>
      <c r="L16">
        <v>2</v>
      </c>
      <c r="M16">
        <v>6</v>
      </c>
      <c r="N16">
        <v>0.33800000000000002</v>
      </c>
      <c r="O16">
        <v>3.5</v>
      </c>
      <c r="P16">
        <v>8</v>
      </c>
      <c r="Q16">
        <v>0.432</v>
      </c>
      <c r="R16">
        <v>0.46400000000000002</v>
      </c>
      <c r="S16">
        <v>3.3</v>
      </c>
      <c r="T16">
        <v>3.9</v>
      </c>
      <c r="U16">
        <v>0.85399999999999998</v>
      </c>
      <c r="V16">
        <v>0.5</v>
      </c>
      <c r="W16">
        <v>4.9000000000000004</v>
      </c>
      <c r="X16">
        <v>5.4</v>
      </c>
      <c r="Y16">
        <v>5.7</v>
      </c>
      <c r="Z16">
        <v>0.7</v>
      </c>
      <c r="AA16">
        <v>0.3</v>
      </c>
      <c r="AB16">
        <v>2.6</v>
      </c>
      <c r="AC16">
        <v>2.6</v>
      </c>
      <c r="AD16">
        <v>16.3</v>
      </c>
      <c r="AE16" t="str">
        <f>IF(OR(_nba2122[[#This Row],[G]]&gt;=58,nba2122_advanced[[#This Row],[MP]]&gt;=1000),"Y","N")</f>
        <v>Y</v>
      </c>
      <c r="AF1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6.005109856960515</v>
      </c>
      <c r="AI16" t="s">
        <v>10</v>
      </c>
      <c r="AJ16" t="s">
        <v>13</v>
      </c>
      <c r="AK16" t="s">
        <v>20</v>
      </c>
      <c r="AL16" t="s">
        <v>687</v>
      </c>
      <c r="AM16" t="s">
        <v>686</v>
      </c>
      <c r="AN16" t="s">
        <v>688</v>
      </c>
      <c r="AO16" t="s">
        <v>689</v>
      </c>
    </row>
    <row r="17" spans="1:49" x14ac:dyDescent="0.35">
      <c r="A17">
        <v>16</v>
      </c>
      <c r="B17" s="1" t="s">
        <v>59</v>
      </c>
      <c r="C17" s="1" t="s">
        <v>51</v>
      </c>
      <c r="D17">
        <v>24</v>
      </c>
      <c r="E17" s="1" t="s">
        <v>32</v>
      </c>
      <c r="F17">
        <v>48</v>
      </c>
      <c r="G17">
        <v>48</v>
      </c>
      <c r="H17">
        <v>36</v>
      </c>
      <c r="I17">
        <v>6.4</v>
      </c>
      <c r="J17">
        <v>14.5</v>
      </c>
      <c r="K17">
        <v>0.443</v>
      </c>
      <c r="L17">
        <v>2.4</v>
      </c>
      <c r="M17">
        <v>6.6</v>
      </c>
      <c r="N17">
        <v>0.36299999999999999</v>
      </c>
      <c r="O17">
        <v>4</v>
      </c>
      <c r="P17">
        <v>7.9</v>
      </c>
      <c r="Q17">
        <v>0.51100000000000001</v>
      </c>
      <c r="R17">
        <v>0.52600000000000002</v>
      </c>
      <c r="S17">
        <v>1.9</v>
      </c>
      <c r="T17">
        <v>2.5</v>
      </c>
      <c r="U17">
        <v>0.754</v>
      </c>
      <c r="V17">
        <v>1.5</v>
      </c>
      <c r="W17">
        <v>4</v>
      </c>
      <c r="X17">
        <v>5.5</v>
      </c>
      <c r="Y17">
        <v>2.6</v>
      </c>
      <c r="Z17">
        <v>1.5</v>
      </c>
      <c r="AA17">
        <v>0.5</v>
      </c>
      <c r="AB17">
        <v>1.7</v>
      </c>
      <c r="AC17">
        <v>2.7</v>
      </c>
      <c r="AD17">
        <v>17.100000000000001</v>
      </c>
      <c r="AE17" t="str">
        <f>IF(OR(_nba2122[[#This Row],[G]]&gt;=58,nba2122_advanced[[#This Row],[MP]]&gt;=1000),"Y","N")</f>
        <v>Y</v>
      </c>
      <c r="AF1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3.6810355295849537</v>
      </c>
      <c r="AI17">
        <f>SUMIFS(_nba2122[FG],_nba2122[Qualified?],"Y",_nba2122[Pos],"PG")/SUMIFS(_nba2122[FGA],_nba2122[Qualified?],"Y",_nba2122[Pos],"PG")</f>
        <v>0.43759630200308164</v>
      </c>
      <c r="AJ17">
        <f>SUMIFS(_nba2122[3P],_nba2122[Qualified?],"Y",_nba2122[Pos],"PG")/SUMIFS(_nba2122[3PA],_nba2122[Qualified?],"Y",_nba2122[Pos],"PG")</f>
        <v>0.35437430786267998</v>
      </c>
      <c r="AK17">
        <f>SUMIFS(_nba2122[FT],_nba2122[Qualified?],"Y",_nba2122[Pos],"PG")/SUMIFS(_nba2122[FTA],_nba2122[Qualified?],"Y",_nba2122[Pos],"PG")</f>
        <v>0.81622306717363746</v>
      </c>
      <c r="AL17">
        <f>AVERAGEIFS(nba2122_advanced[TS%],_nba2122[Qualified?],"Y",_nba2122[Pos],"PG")</f>
        <v>0.54594736842105263</v>
      </c>
      <c r="AM17">
        <f>AVERAGEIFS(nba2122_advanced[PER],_nba2122[Qualified?],"Y",_nba2122[Pos],"PG")</f>
        <v>15.226315789473677</v>
      </c>
      <c r="AN17">
        <f>AVERAGEIFS(nba2122_advanced[3PAr],_nba2122[Qualified?],"Y",_nba2122[Pos],"PG")</f>
        <v>0.42163157894736825</v>
      </c>
      <c r="AO17">
        <f>AVERAGEIFS(nba2122_advanced[FTr],_nba2122[Qualified?],"Y",_nba2122[Pos],"PG")</f>
        <v>0.22677192982456137</v>
      </c>
    </row>
    <row r="18" spans="1:49" x14ac:dyDescent="0.35">
      <c r="A18">
        <v>17</v>
      </c>
      <c r="B18" s="1" t="s">
        <v>60</v>
      </c>
      <c r="C18" s="1" t="s">
        <v>48</v>
      </c>
      <c r="D18">
        <v>27</v>
      </c>
      <c r="E18" s="1" t="s">
        <v>61</v>
      </c>
      <c r="F18">
        <v>10</v>
      </c>
      <c r="G18">
        <v>0</v>
      </c>
      <c r="H18">
        <v>7.6</v>
      </c>
      <c r="I18">
        <v>0.6</v>
      </c>
      <c r="J18">
        <v>1.2</v>
      </c>
      <c r="K18">
        <v>0.5</v>
      </c>
      <c r="L18">
        <v>0.4</v>
      </c>
      <c r="M18">
        <v>0.9</v>
      </c>
      <c r="N18">
        <v>0.44400000000000001</v>
      </c>
      <c r="O18">
        <v>0.2</v>
      </c>
      <c r="P18">
        <v>0.3</v>
      </c>
      <c r="Q18">
        <v>0.66700000000000004</v>
      </c>
      <c r="R18">
        <v>0.66700000000000004</v>
      </c>
      <c r="S18">
        <v>0</v>
      </c>
      <c r="T18">
        <v>0</v>
      </c>
      <c r="V18">
        <v>0</v>
      </c>
      <c r="W18">
        <v>0.8</v>
      </c>
      <c r="X18">
        <v>0.8</v>
      </c>
      <c r="Y18">
        <v>0.4</v>
      </c>
      <c r="Z18">
        <v>0.1</v>
      </c>
      <c r="AA18">
        <v>0</v>
      </c>
      <c r="AB18">
        <v>0.3</v>
      </c>
      <c r="AC18">
        <v>0.5</v>
      </c>
      <c r="AD18">
        <v>1.6</v>
      </c>
      <c r="AE18" t="str">
        <f>IF(OR(_nba2122[[#This Row],[G]]&gt;=58,nba2122_advanced[[#This Row],[MP]]&gt;=1000),"Y","N")</f>
        <v>N</v>
      </c>
      <c r="AF1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13.731048758644263</v>
      </c>
    </row>
    <row r="19" spans="1:49" x14ac:dyDescent="0.35">
      <c r="A19">
        <v>18</v>
      </c>
      <c r="B19" s="1" t="s">
        <v>62</v>
      </c>
      <c r="C19" s="1" t="s">
        <v>51</v>
      </c>
      <c r="D19">
        <v>36</v>
      </c>
      <c r="E19" s="1" t="s">
        <v>56</v>
      </c>
      <c r="F19">
        <v>24</v>
      </c>
      <c r="G19">
        <v>11</v>
      </c>
      <c r="H19">
        <v>19.3</v>
      </c>
      <c r="I19">
        <v>1.4</v>
      </c>
      <c r="J19">
        <v>4.0999999999999996</v>
      </c>
      <c r="K19">
        <v>0.33300000000000002</v>
      </c>
      <c r="L19">
        <v>0.8</v>
      </c>
      <c r="M19">
        <v>3.1</v>
      </c>
      <c r="N19">
        <v>0.27</v>
      </c>
      <c r="O19">
        <v>0.5</v>
      </c>
      <c r="P19">
        <v>1</v>
      </c>
      <c r="Q19">
        <v>0.52</v>
      </c>
      <c r="R19">
        <v>0.434</v>
      </c>
      <c r="S19">
        <v>0.4</v>
      </c>
      <c r="T19">
        <v>0.8</v>
      </c>
      <c r="U19">
        <v>0.55600000000000005</v>
      </c>
      <c r="V19">
        <v>0.4</v>
      </c>
      <c r="W19">
        <v>3</v>
      </c>
      <c r="X19">
        <v>3.4</v>
      </c>
      <c r="Y19">
        <v>1.1000000000000001</v>
      </c>
      <c r="Z19">
        <v>0.5</v>
      </c>
      <c r="AA19">
        <v>0.3</v>
      </c>
      <c r="AB19">
        <v>0.5</v>
      </c>
      <c r="AC19">
        <v>0.8</v>
      </c>
      <c r="AD19">
        <v>4</v>
      </c>
      <c r="AE19" t="str">
        <f>IF(OR(_nba2122[[#This Row],[G]]&gt;=58,nba2122_advanced[[#This Row],[MP]]&gt;=1000),"Y","N")</f>
        <v>N</v>
      </c>
      <c r="AF1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8.0862256149893508</v>
      </c>
      <c r="AI19" t="s">
        <v>692</v>
      </c>
      <c r="AJ19" t="s">
        <v>693</v>
      </c>
      <c r="AK19" t="s">
        <v>694</v>
      </c>
      <c r="AL19" t="s">
        <v>695</v>
      </c>
      <c r="AM19" t="s">
        <v>696</v>
      </c>
      <c r="AN19" t="s">
        <v>697</v>
      </c>
    </row>
    <row r="20" spans="1:49" x14ac:dyDescent="0.35">
      <c r="A20">
        <v>19</v>
      </c>
      <c r="B20" s="1" t="s">
        <v>63</v>
      </c>
      <c r="C20" s="1" t="s">
        <v>48</v>
      </c>
      <c r="D20">
        <v>34</v>
      </c>
      <c r="E20" s="1" t="s">
        <v>42</v>
      </c>
      <c r="F20">
        <v>55</v>
      </c>
      <c r="G20">
        <v>2</v>
      </c>
      <c r="H20">
        <v>16.100000000000001</v>
      </c>
      <c r="I20">
        <v>1.7</v>
      </c>
      <c r="J20">
        <v>4</v>
      </c>
      <c r="K20">
        <v>0.42299999999999999</v>
      </c>
      <c r="L20">
        <v>1.2</v>
      </c>
      <c r="M20">
        <v>3</v>
      </c>
      <c r="N20">
        <v>0.41499999999999998</v>
      </c>
      <c r="O20">
        <v>0.5</v>
      </c>
      <c r="P20">
        <v>1.1000000000000001</v>
      </c>
      <c r="Q20">
        <v>0.44800000000000001</v>
      </c>
      <c r="R20">
        <v>0.57699999999999996</v>
      </c>
      <c r="S20">
        <v>0.7</v>
      </c>
      <c r="T20">
        <v>0.8</v>
      </c>
      <c r="U20">
        <v>0.88400000000000001</v>
      </c>
      <c r="V20">
        <v>0.2</v>
      </c>
      <c r="W20">
        <v>1</v>
      </c>
      <c r="X20">
        <v>1.2</v>
      </c>
      <c r="Y20">
        <v>1.9</v>
      </c>
      <c r="Z20">
        <v>0.3</v>
      </c>
      <c r="AA20">
        <v>0</v>
      </c>
      <c r="AB20">
        <v>1</v>
      </c>
      <c r="AC20">
        <v>0.7</v>
      </c>
      <c r="AD20">
        <v>5.3</v>
      </c>
      <c r="AE20" t="str">
        <f>IF(OR(_nba2122[[#This Row],[G]]&gt;=58,nba2122_advanced[[#This Row],[MP]]&gt;=1000),"Y","N")</f>
        <v>N</v>
      </c>
      <c r="AF2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9.0832110553171894</v>
      </c>
      <c r="AI20">
        <f>AVERAGEIFS(nba2122_advanced[TRB%],_nba2122[Qualified?],"Y",_nba2122[Pos],"PG")</f>
        <v>7.2140350877192985</v>
      </c>
      <c r="AJ20">
        <f>AVERAGEIFS(nba2122_advanced[AST%],_nba2122[Qualified?],"Y",_nba2122[Pos],"PG")</f>
        <v>26.071929824561408</v>
      </c>
      <c r="AK20">
        <f>AVERAGEIFS(nba2122_advanced[STL%],_nba2122[Qualified?],"Y",_nba2122[Pos],"PG")</f>
        <v>1.807017543859649</v>
      </c>
      <c r="AL20">
        <f>AVERAGEIFS(nba2122_advanced[BLK%],_nba2122[Qualified?],"Y",_nba2122[Pos],"PG")</f>
        <v>1.0508771929824563</v>
      </c>
      <c r="AM20">
        <f>AVERAGEIFS(nba2122_advanced[TOV%],_nba2122[Qualified?],"Y",_nba2122[Pos],"PG")</f>
        <v>13.498245614035085</v>
      </c>
      <c r="AN20">
        <f>AVERAGEIFS(nba2122_advanced[USG%],_nba2122[Qualified?],"Y",_nba2122[Pos],"PG")</f>
        <v>21.9438596491228</v>
      </c>
    </row>
    <row r="21" spans="1:49" x14ac:dyDescent="0.35">
      <c r="A21">
        <v>20</v>
      </c>
      <c r="B21" s="1" t="s">
        <v>64</v>
      </c>
      <c r="C21" s="1" t="s">
        <v>51</v>
      </c>
      <c r="D21">
        <v>21</v>
      </c>
      <c r="E21" s="1" t="s">
        <v>65</v>
      </c>
      <c r="F21">
        <v>82</v>
      </c>
      <c r="G21">
        <v>8</v>
      </c>
      <c r="H21">
        <v>24.2</v>
      </c>
      <c r="I21">
        <v>3</v>
      </c>
      <c r="J21">
        <v>7.1</v>
      </c>
      <c r="K21">
        <v>0.432</v>
      </c>
      <c r="L21">
        <v>1</v>
      </c>
      <c r="M21">
        <v>3.2</v>
      </c>
      <c r="N21">
        <v>0.317</v>
      </c>
      <c r="O21">
        <v>2</v>
      </c>
      <c r="P21">
        <v>3.9</v>
      </c>
      <c r="Q21">
        <v>0.52500000000000002</v>
      </c>
      <c r="R21">
        <v>0.503</v>
      </c>
      <c r="S21">
        <v>1.3</v>
      </c>
      <c r="T21">
        <v>1.7</v>
      </c>
      <c r="U21">
        <v>0.75700000000000001</v>
      </c>
      <c r="V21">
        <v>0.6</v>
      </c>
      <c r="W21">
        <v>4.5</v>
      </c>
      <c r="X21">
        <v>5.2</v>
      </c>
      <c r="Y21">
        <v>2</v>
      </c>
      <c r="Z21">
        <v>0.7</v>
      </c>
      <c r="AA21">
        <v>0.5</v>
      </c>
      <c r="AB21">
        <v>1.1000000000000001</v>
      </c>
      <c r="AC21">
        <v>2.2999999999999998</v>
      </c>
      <c r="AD21">
        <v>8.4</v>
      </c>
      <c r="AE21" t="str">
        <f>IF(OR(_nba2122[[#This Row],[G]]&gt;=58,nba2122_advanced[[#This Row],[MP]]&gt;=1000),"Y","N")</f>
        <v>Y</v>
      </c>
      <c r="AF2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2.6929718075882212</v>
      </c>
    </row>
    <row r="22" spans="1:49" x14ac:dyDescent="0.35">
      <c r="A22">
        <v>21</v>
      </c>
      <c r="B22" s="1" t="s">
        <v>66</v>
      </c>
      <c r="C22" s="1" t="s">
        <v>41</v>
      </c>
      <c r="D22">
        <v>21</v>
      </c>
      <c r="E22" s="1" t="s">
        <v>65</v>
      </c>
      <c r="F22">
        <v>7</v>
      </c>
      <c r="G22">
        <v>0</v>
      </c>
      <c r="H22">
        <v>2.9</v>
      </c>
      <c r="I22">
        <v>0.1</v>
      </c>
      <c r="J22">
        <v>0.9</v>
      </c>
      <c r="K22">
        <v>0.16700000000000001</v>
      </c>
      <c r="L22">
        <v>0</v>
      </c>
      <c r="M22">
        <v>0.1</v>
      </c>
      <c r="N22">
        <v>0</v>
      </c>
      <c r="O22">
        <v>0.1</v>
      </c>
      <c r="P22">
        <v>0.7</v>
      </c>
      <c r="Q22">
        <v>0.2</v>
      </c>
      <c r="R22">
        <v>0.16700000000000001</v>
      </c>
      <c r="S22">
        <v>0</v>
      </c>
      <c r="T22">
        <v>0</v>
      </c>
      <c r="V22">
        <v>0.1</v>
      </c>
      <c r="W22">
        <v>0.3</v>
      </c>
      <c r="X22">
        <v>0.4</v>
      </c>
      <c r="Y22">
        <v>0.6</v>
      </c>
      <c r="Z22">
        <v>0</v>
      </c>
      <c r="AA22">
        <v>0</v>
      </c>
      <c r="AB22">
        <v>0</v>
      </c>
      <c r="AC22">
        <v>0</v>
      </c>
      <c r="AD22">
        <v>0.3</v>
      </c>
      <c r="AE22" t="str">
        <f>IF(OR(_nba2122[[#This Row],[G]]&gt;=58,nba2122_advanced[[#This Row],[MP]]&gt;=1000),"Y","N")</f>
        <v>N</v>
      </c>
      <c r="AF2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16.527367676640733</v>
      </c>
      <c r="AI22" s="3" t="s">
        <v>709</v>
      </c>
      <c r="AQ22" s="3" t="s">
        <v>729</v>
      </c>
    </row>
    <row r="23" spans="1:49" x14ac:dyDescent="0.35">
      <c r="A23">
        <v>22</v>
      </c>
      <c r="B23" s="1" t="s">
        <v>67</v>
      </c>
      <c r="C23" s="1" t="s">
        <v>31</v>
      </c>
      <c r="D23">
        <v>23</v>
      </c>
      <c r="E23" s="1" t="s">
        <v>68</v>
      </c>
      <c r="F23">
        <v>58</v>
      </c>
      <c r="G23">
        <v>58</v>
      </c>
      <c r="H23">
        <v>29.5</v>
      </c>
      <c r="I23">
        <v>7.6</v>
      </c>
      <c r="J23">
        <v>12</v>
      </c>
      <c r="K23">
        <v>0.63400000000000001</v>
      </c>
      <c r="L23">
        <v>0.1</v>
      </c>
      <c r="M23">
        <v>0.3</v>
      </c>
      <c r="N23">
        <v>0.36799999999999999</v>
      </c>
      <c r="O23">
        <v>7.5</v>
      </c>
      <c r="P23">
        <v>11.7</v>
      </c>
      <c r="Q23">
        <v>0.64200000000000002</v>
      </c>
      <c r="R23">
        <v>0.63900000000000001</v>
      </c>
      <c r="S23">
        <v>1.8</v>
      </c>
      <c r="T23">
        <v>2.4</v>
      </c>
      <c r="U23">
        <v>0.746</v>
      </c>
      <c r="V23">
        <v>2.6</v>
      </c>
      <c r="W23">
        <v>7.7</v>
      </c>
      <c r="X23">
        <v>10.199999999999999</v>
      </c>
      <c r="Y23">
        <v>1.4</v>
      </c>
      <c r="Z23">
        <v>0.7</v>
      </c>
      <c r="AA23">
        <v>0.7</v>
      </c>
      <c r="AB23">
        <v>1.6</v>
      </c>
      <c r="AC23">
        <v>2.4</v>
      </c>
      <c r="AD23">
        <v>17.2</v>
      </c>
      <c r="AE23" t="str">
        <f>IF(OR(_nba2122[[#This Row],[G]]&gt;=58,nba2122_advanced[[#This Row],[MP]]&gt;=1000),"Y","N")</f>
        <v>Y</v>
      </c>
      <c r="AF2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6.9327578244662735</v>
      </c>
      <c r="AI23" t="s">
        <v>676</v>
      </c>
      <c r="AJ23" t="s">
        <v>677</v>
      </c>
      <c r="AK23" t="s">
        <v>678</v>
      </c>
      <c r="AL23" t="s">
        <v>679</v>
      </c>
      <c r="AM23" t="s">
        <v>680</v>
      </c>
      <c r="AN23" t="s">
        <v>681</v>
      </c>
      <c r="AO23" t="s">
        <v>28</v>
      </c>
      <c r="AQ23" t="s">
        <v>676</v>
      </c>
      <c r="AR23" t="s">
        <v>677</v>
      </c>
      <c r="AS23" t="s">
        <v>678</v>
      </c>
      <c r="AT23" t="s">
        <v>679</v>
      </c>
      <c r="AU23" t="s">
        <v>680</v>
      </c>
      <c r="AV23" t="s">
        <v>681</v>
      </c>
      <c r="AW23" t="s">
        <v>28</v>
      </c>
    </row>
    <row r="24" spans="1:49" x14ac:dyDescent="0.35">
      <c r="A24">
        <v>23</v>
      </c>
      <c r="B24" s="1" t="s">
        <v>69</v>
      </c>
      <c r="C24" s="1" t="s">
        <v>31</v>
      </c>
      <c r="D24">
        <v>22</v>
      </c>
      <c r="E24" s="1" t="s">
        <v>70</v>
      </c>
      <c r="F24">
        <v>17</v>
      </c>
      <c r="G24">
        <v>6</v>
      </c>
      <c r="H24">
        <v>11.5</v>
      </c>
      <c r="I24">
        <v>2.2000000000000002</v>
      </c>
      <c r="J24">
        <v>2.9</v>
      </c>
      <c r="K24">
        <v>0.755</v>
      </c>
      <c r="L24">
        <v>0</v>
      </c>
      <c r="M24">
        <v>0</v>
      </c>
      <c r="O24">
        <v>2.2000000000000002</v>
      </c>
      <c r="P24">
        <v>2.9</v>
      </c>
      <c r="Q24">
        <v>0.755</v>
      </c>
      <c r="R24">
        <v>0.755</v>
      </c>
      <c r="S24">
        <v>0.4</v>
      </c>
      <c r="T24">
        <v>0.6</v>
      </c>
      <c r="U24">
        <v>0.54500000000000004</v>
      </c>
      <c r="V24">
        <v>1.1000000000000001</v>
      </c>
      <c r="W24">
        <v>3.1</v>
      </c>
      <c r="X24">
        <v>4.2</v>
      </c>
      <c r="Y24">
        <v>0</v>
      </c>
      <c r="Z24">
        <v>0.1</v>
      </c>
      <c r="AA24">
        <v>0.6</v>
      </c>
      <c r="AB24">
        <v>0.7</v>
      </c>
      <c r="AC24">
        <v>1.5</v>
      </c>
      <c r="AD24">
        <v>4.7</v>
      </c>
      <c r="AE24" t="str">
        <f>IF(OR(_nba2122[[#This Row],[G]]&gt;=58,nba2122_advanced[[#This Row],[MP]]&gt;=1000),"Y","N")</f>
        <v>N</v>
      </c>
      <c r="AF2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12.525332921995052</v>
      </c>
      <c r="AI24">
        <f>AVERAGEIFS(_nba2122[PTS],_nba2122[Qualified?],"Y",_nba2122[Pos],"SG")</f>
        <v>12.1</v>
      </c>
      <c r="AJ24">
        <f>AVERAGEIFS(_nba2122[TRB],_nba2122[Qualified?],"Y",_nba2122[Pos],"SG")</f>
        <v>3.3585714285714285</v>
      </c>
      <c r="AK24">
        <f>AVERAGEIFS(_nba2122[AST],_nba2122[Qualified?],"Y",_nba2122[Pos],"SG")</f>
        <v>2.6985714285714288</v>
      </c>
      <c r="AL24">
        <f>AVERAGEIFS(_nba2122[STL],_nba2122[Qualified?],"Y",_nba2122[Pos],"SG")</f>
        <v>0.8571428571428571</v>
      </c>
      <c r="AM24">
        <f>AVERAGEIFS(_nba2122[BLK],_nba2122[Qualified?],"Y",_nba2122[Pos],"SG")</f>
        <v>0.28000000000000003</v>
      </c>
      <c r="AN24">
        <f>AVERAGEIFS(_nba2122[TOV],_nba2122[Qualified?],"Y",_nba2122[Pos],"SG")</f>
        <v>1.3442857142857139</v>
      </c>
      <c r="AO24">
        <f>AVERAGEIFS(_nba2122[PF],_nba2122[Qualified?],"Y",_nba2122[Pos],"SG")</f>
        <v>1.8128571428571429</v>
      </c>
      <c r="AQ24">
        <f>AVERAGEIFS(_nba2122[PTS],_nba2122[Qualified?],"Y",_nba2122[Pos],"PF")</f>
        <v>12.507272727272726</v>
      </c>
      <c r="AR24">
        <f>AVERAGEIFS(_nba2122[TRB],_nba2122[Qualified?],"Y",_nba2122[Pos],"PF")</f>
        <v>5.5218181818181806</v>
      </c>
      <c r="AS24">
        <f>AVERAGEIFS(_nba2122[AST],_nba2122[Qualified?],"Y",_nba2122[Pos],"PF")</f>
        <v>2.1727272727272715</v>
      </c>
      <c r="AT24">
        <f>AVERAGEIFS(_nba2122[STL],_nba2122[Qualified?],"Y",_nba2122[Pos],"PF")</f>
        <v>0.78181818181818186</v>
      </c>
      <c r="AU24">
        <f>AVERAGEIFS(_nba2122[BLK],_nba2122[Qualified?],"Y",_nba2122[Pos],"PF")</f>
        <v>0.65272727272727293</v>
      </c>
      <c r="AV24">
        <f>AVERAGEIFS(_nba2122[TOV],_nba2122[Qualified?],"Y",_nba2122[Pos],"PF")</f>
        <v>1.3145454545454545</v>
      </c>
      <c r="AW24">
        <f>AVERAGEIFS(_nba2122[PF],_nba2122[Qualified?],"Y",_nba2122[Pos],"PF")</f>
        <v>2.1309090909090909</v>
      </c>
    </row>
    <row r="25" spans="1:49" x14ac:dyDescent="0.35">
      <c r="A25">
        <v>24</v>
      </c>
      <c r="B25" s="1" t="s">
        <v>71</v>
      </c>
      <c r="C25" s="1" t="s">
        <v>28</v>
      </c>
      <c r="D25">
        <v>22</v>
      </c>
      <c r="E25" s="1" t="s">
        <v>42</v>
      </c>
      <c r="F25">
        <v>48</v>
      </c>
      <c r="G25">
        <v>25</v>
      </c>
      <c r="H25">
        <v>23.9</v>
      </c>
      <c r="I25">
        <v>4.7</v>
      </c>
      <c r="J25">
        <v>9.3000000000000007</v>
      </c>
      <c r="K25">
        <v>0.504</v>
      </c>
      <c r="L25">
        <v>0.5</v>
      </c>
      <c r="M25">
        <v>2</v>
      </c>
      <c r="N25">
        <v>0.23699999999999999</v>
      </c>
      <c r="O25">
        <v>4.2</v>
      </c>
      <c r="P25">
        <v>7.3</v>
      </c>
      <c r="Q25">
        <v>0.57899999999999996</v>
      </c>
      <c r="R25">
        <v>0.53</v>
      </c>
      <c r="S25">
        <v>1.4</v>
      </c>
      <c r="T25">
        <v>2.1</v>
      </c>
      <c r="U25">
        <v>0.66300000000000003</v>
      </c>
      <c r="V25">
        <v>2.2000000000000002</v>
      </c>
      <c r="W25">
        <v>4.9000000000000004</v>
      </c>
      <c r="X25">
        <v>7</v>
      </c>
      <c r="Y25">
        <v>0.8</v>
      </c>
      <c r="Z25">
        <v>0.5</v>
      </c>
      <c r="AA25">
        <v>0.4</v>
      </c>
      <c r="AB25">
        <v>0.8</v>
      </c>
      <c r="AC25">
        <v>1.9</v>
      </c>
      <c r="AD25">
        <v>11.3</v>
      </c>
      <c r="AE25" t="str">
        <f>IF(OR(_nba2122[[#This Row],[G]]&gt;=58,nba2122_advanced[[#This Row],[MP]]&gt;=1000),"Y","N")</f>
        <v>Y</v>
      </c>
      <c r="AF2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5.9006033327972647</v>
      </c>
    </row>
    <row r="26" spans="1:49" x14ac:dyDescent="0.35">
      <c r="A26">
        <v>25</v>
      </c>
      <c r="B26" s="1" t="s">
        <v>72</v>
      </c>
      <c r="C26" s="1" t="s">
        <v>48</v>
      </c>
      <c r="D26">
        <v>20</v>
      </c>
      <c r="E26" s="1" t="s">
        <v>73</v>
      </c>
      <c r="F26">
        <v>75</v>
      </c>
      <c r="G26">
        <v>75</v>
      </c>
      <c r="H26">
        <v>32.299999999999997</v>
      </c>
      <c r="I26">
        <v>7.2</v>
      </c>
      <c r="J26">
        <v>16.7</v>
      </c>
      <c r="K26">
        <v>0.42899999999999999</v>
      </c>
      <c r="L26">
        <v>2.9</v>
      </c>
      <c r="M26">
        <v>7.5</v>
      </c>
      <c r="N26">
        <v>0.38900000000000001</v>
      </c>
      <c r="O26">
        <v>4.2</v>
      </c>
      <c r="P26">
        <v>9.1999999999999993</v>
      </c>
      <c r="Q26">
        <v>0.46200000000000002</v>
      </c>
      <c r="R26">
        <v>0.51700000000000002</v>
      </c>
      <c r="S26">
        <v>2.8</v>
      </c>
      <c r="T26">
        <v>3.2</v>
      </c>
      <c r="U26">
        <v>0.872</v>
      </c>
      <c r="V26">
        <v>1.4</v>
      </c>
      <c r="W26">
        <v>5.2</v>
      </c>
      <c r="X26">
        <v>6.7</v>
      </c>
      <c r="Y26">
        <v>7.6</v>
      </c>
      <c r="Z26">
        <v>1.6</v>
      </c>
      <c r="AA26">
        <v>0.4</v>
      </c>
      <c r="AB26">
        <v>3.3</v>
      </c>
      <c r="AC26">
        <v>3.2</v>
      </c>
      <c r="AD26">
        <v>20.100000000000001</v>
      </c>
      <c r="AE26" t="str">
        <f>IF(OR(_nba2122[[#This Row],[G]]&gt;=58,nba2122_advanced[[#This Row],[MP]]&gt;=1000),"Y","N")</f>
        <v>Y</v>
      </c>
      <c r="AF2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9.5119649091001648</v>
      </c>
      <c r="AI26" t="s">
        <v>10</v>
      </c>
      <c r="AJ26" t="s">
        <v>13</v>
      </c>
      <c r="AK26" t="s">
        <v>20</v>
      </c>
      <c r="AL26" t="s">
        <v>687</v>
      </c>
      <c r="AM26" t="s">
        <v>686</v>
      </c>
      <c r="AN26" t="s">
        <v>688</v>
      </c>
      <c r="AO26" t="s">
        <v>689</v>
      </c>
      <c r="AQ26" t="s">
        <v>10</v>
      </c>
      <c r="AR26" t="s">
        <v>13</v>
      </c>
      <c r="AS26" t="s">
        <v>20</v>
      </c>
      <c r="AT26" t="s">
        <v>687</v>
      </c>
      <c r="AU26" t="s">
        <v>686</v>
      </c>
      <c r="AV26" t="s">
        <v>688</v>
      </c>
      <c r="AW26" t="s">
        <v>689</v>
      </c>
    </row>
    <row r="27" spans="1:49" x14ac:dyDescent="0.35">
      <c r="A27">
        <v>26</v>
      </c>
      <c r="B27" s="1" t="s">
        <v>74</v>
      </c>
      <c r="C27" s="1" t="s">
        <v>48</v>
      </c>
      <c r="D27">
        <v>24</v>
      </c>
      <c r="E27" s="1" t="s">
        <v>75</v>
      </c>
      <c r="F27">
        <v>35</v>
      </c>
      <c r="G27">
        <v>35</v>
      </c>
      <c r="H27">
        <v>34.6</v>
      </c>
      <c r="I27">
        <v>4.5999999999999996</v>
      </c>
      <c r="J27">
        <v>10.9</v>
      </c>
      <c r="K27">
        <v>0.42299999999999999</v>
      </c>
      <c r="L27">
        <v>3.1</v>
      </c>
      <c r="M27">
        <v>7.4</v>
      </c>
      <c r="N27">
        <v>0.42299999999999999</v>
      </c>
      <c r="O27">
        <v>1.5</v>
      </c>
      <c r="P27">
        <v>3.5</v>
      </c>
      <c r="Q27">
        <v>0.42299999999999999</v>
      </c>
      <c r="R27">
        <v>0.56699999999999995</v>
      </c>
      <c r="S27">
        <v>0.6</v>
      </c>
      <c r="T27">
        <v>0.8</v>
      </c>
      <c r="U27">
        <v>0.75</v>
      </c>
      <c r="V27">
        <v>1</v>
      </c>
      <c r="W27">
        <v>4.4000000000000004</v>
      </c>
      <c r="X27">
        <v>5.4</v>
      </c>
      <c r="Y27">
        <v>5.0999999999999996</v>
      </c>
      <c r="Z27">
        <v>1.8</v>
      </c>
      <c r="AA27">
        <v>0.9</v>
      </c>
      <c r="AB27">
        <v>2.2999999999999998</v>
      </c>
      <c r="AC27">
        <v>2.4</v>
      </c>
      <c r="AD27">
        <v>13</v>
      </c>
      <c r="AE27" t="str">
        <f>IF(OR(_nba2122[[#This Row],[G]]&gt;=58,nba2122_advanced[[#This Row],[MP]]&gt;=1000),"Y","N")</f>
        <v>Y</v>
      </c>
      <c r="AF2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7.2521561882524468</v>
      </c>
      <c r="AI27">
        <f>SUMIFS(_nba2122[FG],_nba2122[Qualified?],"Y",_nba2122[Pos],"SG")/SUMIFS(_nba2122[FGA],_nba2122[Qualified?],"Y",_nba2122[Pos],"SG")</f>
        <v>0.43447981807845343</v>
      </c>
      <c r="AJ27">
        <f>SUMIFS(_nba2122[3P],_nba2122[Qualified?],"Y",_nba2122[Pos],"SG")/SUMIFS(_nba2122[3PA],_nba2122[Qualified?],"Y",_nba2122[Pos],"SG")</f>
        <v>0.36134212790364206</v>
      </c>
      <c r="AK27">
        <f>SUMIFS(_nba2122[FT],_nba2122[Qualified?],"Y",_nba2122[Pos],"SG")/SUMIFS(_nba2122[FTA],_nba2122[Qualified?],"Y",_nba2122[Pos],"SG")</f>
        <v>0.81328413284132839</v>
      </c>
      <c r="AL27">
        <f>AVERAGEIFS(nba2122_advanced[TS%],_nba2122[Qualified?],"Y",_nba2122[Pos],"SG")</f>
        <v>0.55672857142857135</v>
      </c>
      <c r="AM27">
        <f>AVERAGEIFS(nba2122_advanced[PER],_nba2122[Qualified?],"Y",_nba2122[Pos],"SG")</f>
        <v>13.044285714285715</v>
      </c>
      <c r="AN27">
        <f>AVERAGEIFS(nba2122_advanced[3PAr],_nba2122[Qualified?],"Y",_nba2122[Pos],"SG")</f>
        <v>0.50898571428571426</v>
      </c>
      <c r="AO27">
        <f>AVERAGEIFS(nba2122_advanced[FTr],_nba2122[Qualified?],"Y",_nba2122[Pos],"SG")</f>
        <v>0.1915571428571429</v>
      </c>
      <c r="AQ27">
        <f>SUMIFS(_nba2122[FG],_nba2122[Qualified?],"Y",_nba2122[Pos],"PF")/SUMIFS(_nba2122[FGA],_nba2122[Qualified?],"Y",_nba2122[Pos],"PF")</f>
        <v>0.47053303303303301</v>
      </c>
      <c r="AR27">
        <f>SUMIFS(_nba2122[3P],_nba2122[Qualified?],"Y",_nba2122[Pos],"PF")/SUMIFS(_nba2122[3PA],_nba2122[Qualified?],"Y",_nba2122[Pos],"PF")</f>
        <v>0.35233415233415233</v>
      </c>
      <c r="AS27">
        <f>SUMIFS(_nba2122[FT],_nba2122[Qualified?],"Y",_nba2122[Pos],"PF")/SUMIFS(_nba2122[FTA],_nba2122[Qualified?],"Y",_nba2122[Pos],"PF")</f>
        <v>0.7888583218707016</v>
      </c>
      <c r="AT27">
        <f>AVERAGEIFS(nba2122_advanced[TS%],_nba2122[Qualified?],"Y",_nba2122[Pos],"PF")</f>
        <v>0.5753090909090911</v>
      </c>
      <c r="AU27">
        <f>AVERAGEIFS(nba2122_advanced[PER],_nba2122[Qualified?],"Y",_nba2122[Pos],"PF")</f>
        <v>15.32</v>
      </c>
      <c r="AV27">
        <f>AVERAGEIFS(nba2122_advanced[3PAr],_nba2122[Qualified?],"Y",_nba2122[Pos],"PF")</f>
        <v>0.40541818181818184</v>
      </c>
      <c r="AW27">
        <f>AVERAGEIFS(nba2122_advanced[FTr],_nba2122[Qualified?],"Y",_nba2122[Pos],"PF")</f>
        <v>0.25412727272727276</v>
      </c>
    </row>
    <row r="28" spans="1:49" x14ac:dyDescent="0.35">
      <c r="A28">
        <v>27</v>
      </c>
      <c r="B28" s="1" t="s">
        <v>76</v>
      </c>
      <c r="C28" s="1" t="s">
        <v>31</v>
      </c>
      <c r="D28">
        <v>23</v>
      </c>
      <c r="E28" s="1" t="s">
        <v>58</v>
      </c>
      <c r="F28">
        <v>71</v>
      </c>
      <c r="G28">
        <v>69</v>
      </c>
      <c r="H28">
        <v>25.7</v>
      </c>
      <c r="I28">
        <v>4.2</v>
      </c>
      <c r="J28">
        <v>8.6999999999999993</v>
      </c>
      <c r="K28">
        <v>0.48</v>
      </c>
      <c r="L28">
        <v>1.5</v>
      </c>
      <c r="M28">
        <v>4</v>
      </c>
      <c r="N28">
        <v>0.38100000000000001</v>
      </c>
      <c r="O28">
        <v>2.7</v>
      </c>
      <c r="P28">
        <v>4.7</v>
      </c>
      <c r="Q28">
        <v>0.56299999999999994</v>
      </c>
      <c r="R28">
        <v>0.56599999999999995</v>
      </c>
      <c r="S28">
        <v>0.8</v>
      </c>
      <c r="T28">
        <v>1</v>
      </c>
      <c r="U28">
        <v>0.78100000000000003</v>
      </c>
      <c r="V28">
        <v>2.1</v>
      </c>
      <c r="W28">
        <v>6</v>
      </c>
      <c r="X28">
        <v>8.1</v>
      </c>
      <c r="Y28">
        <v>1.2</v>
      </c>
      <c r="Z28">
        <v>0.5</v>
      </c>
      <c r="AA28">
        <v>1.7</v>
      </c>
      <c r="AB28">
        <v>1.1000000000000001</v>
      </c>
      <c r="AC28">
        <v>2.6</v>
      </c>
      <c r="AD28">
        <v>10.6</v>
      </c>
      <c r="AE28" t="str">
        <f>IF(OR(_nba2122[[#This Row],[G]]&gt;=58,nba2122_advanced[[#This Row],[MP]]&gt;=1000),"Y","N")</f>
        <v>Y</v>
      </c>
      <c r="AF2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9.6395172912580911</v>
      </c>
    </row>
    <row r="29" spans="1:49" x14ac:dyDescent="0.35">
      <c r="A29">
        <v>28</v>
      </c>
      <c r="B29" s="1" t="s">
        <v>77</v>
      </c>
      <c r="C29" s="1" t="s">
        <v>51</v>
      </c>
      <c r="D29">
        <v>23</v>
      </c>
      <c r="E29" s="1" t="s">
        <v>34</v>
      </c>
      <c r="F29">
        <v>76</v>
      </c>
      <c r="G29">
        <v>76</v>
      </c>
      <c r="H29">
        <v>29.8</v>
      </c>
      <c r="I29">
        <v>6.7</v>
      </c>
      <c r="J29">
        <v>14.5</v>
      </c>
      <c r="K29">
        <v>0.46100000000000002</v>
      </c>
      <c r="L29">
        <v>3</v>
      </c>
      <c r="M29">
        <v>6.9</v>
      </c>
      <c r="N29">
        <v>0.436</v>
      </c>
      <c r="O29">
        <v>3.7</v>
      </c>
      <c r="P29">
        <v>7.6</v>
      </c>
      <c r="Q29">
        <v>0.48399999999999999</v>
      </c>
      <c r="R29">
        <v>0.56499999999999995</v>
      </c>
      <c r="S29">
        <v>1.8</v>
      </c>
      <c r="T29">
        <v>2</v>
      </c>
      <c r="U29">
        <v>0.90300000000000002</v>
      </c>
      <c r="V29">
        <v>0.6</v>
      </c>
      <c r="W29">
        <v>3.8</v>
      </c>
      <c r="X29">
        <v>4.4000000000000004</v>
      </c>
      <c r="Y29">
        <v>2.7</v>
      </c>
      <c r="Z29">
        <v>1.2</v>
      </c>
      <c r="AA29">
        <v>0.4</v>
      </c>
      <c r="AB29">
        <v>1.5</v>
      </c>
      <c r="AC29">
        <v>2.6</v>
      </c>
      <c r="AD29">
        <v>18.2</v>
      </c>
      <c r="AE29" t="str">
        <f>IF(OR(_nba2122[[#This Row],[G]]&gt;=58,nba2122_advanced[[#This Row],[MP]]&gt;=1000),"Y","N")</f>
        <v>Y</v>
      </c>
      <c r="AF2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4.0593365869089544</v>
      </c>
      <c r="AI29" t="s">
        <v>692</v>
      </c>
      <c r="AJ29" t="s">
        <v>693</v>
      </c>
      <c r="AK29" t="s">
        <v>694</v>
      </c>
      <c r="AL29" t="s">
        <v>695</v>
      </c>
      <c r="AM29" t="s">
        <v>696</v>
      </c>
      <c r="AN29" t="s">
        <v>697</v>
      </c>
      <c r="AQ29" t="s">
        <v>692</v>
      </c>
      <c r="AR29" t="s">
        <v>693</v>
      </c>
      <c r="AS29" t="s">
        <v>694</v>
      </c>
      <c r="AT29" t="s">
        <v>695</v>
      </c>
      <c r="AU29" t="s">
        <v>696</v>
      </c>
      <c r="AV29" t="s">
        <v>697</v>
      </c>
    </row>
    <row r="30" spans="1:49" x14ac:dyDescent="0.35">
      <c r="A30">
        <v>29</v>
      </c>
      <c r="B30" s="1" t="s">
        <v>78</v>
      </c>
      <c r="C30" s="1" t="s">
        <v>48</v>
      </c>
      <c r="D30">
        <v>22</v>
      </c>
      <c r="E30" s="1" t="s">
        <v>32</v>
      </c>
      <c r="F30">
        <v>64</v>
      </c>
      <c r="G30">
        <v>1</v>
      </c>
      <c r="H30">
        <v>10.9</v>
      </c>
      <c r="I30">
        <v>1.3</v>
      </c>
      <c r="J30">
        <v>3.2</v>
      </c>
      <c r="K30">
        <v>0.41099999999999998</v>
      </c>
      <c r="L30">
        <v>0.2</v>
      </c>
      <c r="M30">
        <v>0.8</v>
      </c>
      <c r="N30">
        <v>0.255</v>
      </c>
      <c r="O30">
        <v>1.1000000000000001</v>
      </c>
      <c r="P30">
        <v>2.4</v>
      </c>
      <c r="Q30">
        <v>0.46400000000000002</v>
      </c>
      <c r="R30">
        <v>0.443</v>
      </c>
      <c r="S30">
        <v>0.4</v>
      </c>
      <c r="T30">
        <v>0.7</v>
      </c>
      <c r="U30">
        <v>0.59099999999999997</v>
      </c>
      <c r="V30">
        <v>0.6</v>
      </c>
      <c r="W30">
        <v>1.3</v>
      </c>
      <c r="X30">
        <v>1.9</v>
      </c>
      <c r="Y30">
        <v>1.5</v>
      </c>
      <c r="Z30">
        <v>0.4</v>
      </c>
      <c r="AA30">
        <v>0.2</v>
      </c>
      <c r="AB30">
        <v>0.8</v>
      </c>
      <c r="AC30">
        <v>1.1000000000000001</v>
      </c>
      <c r="AD30">
        <v>3.2</v>
      </c>
      <c r="AE30" t="str">
        <f>IF(OR(_nba2122[[#This Row],[G]]&gt;=58,nba2122_advanced[[#This Row],[MP]]&gt;=1000),"Y","N")</f>
        <v>Y</v>
      </c>
      <c r="AF3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7.1525941422945891</v>
      </c>
      <c r="AI30">
        <f>AVERAGEIFS(nba2122_advanced[TRB%],_nba2122[Qualified?],"Y",_nba2122[Pos],"SG")</f>
        <v>6.9485714285714266</v>
      </c>
      <c r="AJ30">
        <f>AVERAGEIFS(nba2122_advanced[AST%],_nba2122[Qualified?],"Y",_nba2122[Pos],"SG")</f>
        <v>14.762857142857147</v>
      </c>
      <c r="AK30">
        <f>AVERAGEIFS(nba2122_advanced[STL%],_nba2122[Qualified?],"Y",_nba2122[Pos],"SG")</f>
        <v>1.5928571428571436</v>
      </c>
      <c r="AL30">
        <f>AVERAGEIFS(nba2122_advanced[BLK%],_nba2122[Qualified?],"Y",_nba2122[Pos],"SG")</f>
        <v>0.97428571428571409</v>
      </c>
      <c r="AM30">
        <f>AVERAGEIFS(nba2122_advanced[TOV%],_nba2122[Qualified?],"Y",_nba2122[Pos],"SG")</f>
        <v>10.834285714285718</v>
      </c>
      <c r="AN30">
        <f>AVERAGEIFS(nba2122_advanced[USG%],_nba2122[Qualified?],"Y",_nba2122[Pos],"SG")</f>
        <v>19.577142857142849</v>
      </c>
      <c r="AQ30">
        <f>AVERAGEIFS(nba2122_advanced[TRB%],_nba2122[Qualified?],"Y",_nba2122[Pos],"PF")</f>
        <v>11.24909090909091</v>
      </c>
      <c r="AR30">
        <f>AVERAGEIFS(nba2122_advanced[AST%],_nba2122[Qualified?],"Y",_nba2122[Pos],"PF")</f>
        <v>11.670909090909099</v>
      </c>
      <c r="AS30">
        <f>AVERAGEIFS(nba2122_advanced[STL%],_nba2122[Qualified?],"Y",_nba2122[Pos],"PF")</f>
        <v>1.44</v>
      </c>
      <c r="AT30">
        <f>AVERAGEIFS(nba2122_advanced[BLK%],_nba2122[Qualified?],"Y",_nba2122[Pos],"PF")</f>
        <v>2.2690909090909095</v>
      </c>
      <c r="AU30">
        <f>AVERAGEIFS(nba2122_advanced[TOV%],_nba2122[Qualified?],"Y",_nba2122[Pos],"PF")</f>
        <v>10.767272727272726</v>
      </c>
      <c r="AV30">
        <f>AVERAGEIFS(nba2122_advanced[USG%],_nba2122[Qualified?],"Y",_nba2122[Pos],"PF")</f>
        <v>19.189090909090908</v>
      </c>
    </row>
    <row r="31" spans="1:49" x14ac:dyDescent="0.35">
      <c r="A31">
        <v>30</v>
      </c>
      <c r="B31" s="1" t="s">
        <v>79</v>
      </c>
      <c r="C31" s="1" t="s">
        <v>48</v>
      </c>
      <c r="D31">
        <v>27</v>
      </c>
      <c r="E31" s="1" t="s">
        <v>80</v>
      </c>
      <c r="F31">
        <v>3</v>
      </c>
      <c r="G31">
        <v>0</v>
      </c>
      <c r="H31">
        <v>4.3</v>
      </c>
      <c r="I31">
        <v>0</v>
      </c>
      <c r="J31">
        <v>1.3</v>
      </c>
      <c r="K31">
        <v>0</v>
      </c>
      <c r="L31">
        <v>0</v>
      </c>
      <c r="M31">
        <v>0</v>
      </c>
      <c r="O31">
        <v>0</v>
      </c>
      <c r="P31">
        <v>1.3</v>
      </c>
      <c r="Q31">
        <v>0</v>
      </c>
      <c r="R31">
        <v>0</v>
      </c>
      <c r="S31">
        <v>0</v>
      </c>
      <c r="T31">
        <v>1.3</v>
      </c>
      <c r="U31">
        <v>0</v>
      </c>
      <c r="V31">
        <v>0.3</v>
      </c>
      <c r="W31">
        <v>0.7</v>
      </c>
      <c r="X31">
        <v>1</v>
      </c>
      <c r="Y31">
        <v>1</v>
      </c>
      <c r="Z31">
        <v>0</v>
      </c>
      <c r="AA31">
        <v>0</v>
      </c>
      <c r="AB31">
        <v>0.3</v>
      </c>
      <c r="AC31">
        <v>0.3</v>
      </c>
      <c r="AD31">
        <v>0</v>
      </c>
      <c r="AE31" t="str">
        <f>IF(OR(_nba2122[[#This Row],[G]]&gt;=58,nba2122_advanced[[#This Row],[MP]]&gt;=1000),"Y","N")</f>
        <v>N</v>
      </c>
      <c r="AF3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19.272884945865865</v>
      </c>
    </row>
    <row r="32" spans="1:49" x14ac:dyDescent="0.35">
      <c r="A32">
        <v>31</v>
      </c>
      <c r="B32" s="1" t="s">
        <v>81</v>
      </c>
      <c r="C32" s="1" t="s">
        <v>28</v>
      </c>
      <c r="D32">
        <v>29</v>
      </c>
      <c r="E32" s="1" t="s">
        <v>82</v>
      </c>
      <c r="F32">
        <v>77</v>
      </c>
      <c r="G32">
        <v>77</v>
      </c>
      <c r="H32">
        <v>33.6</v>
      </c>
      <c r="I32">
        <v>5.0999999999999996</v>
      </c>
      <c r="J32">
        <v>10.8</v>
      </c>
      <c r="K32">
        <v>0.46899999999999997</v>
      </c>
      <c r="L32">
        <v>1.8</v>
      </c>
      <c r="M32">
        <v>4.7</v>
      </c>
      <c r="N32">
        <v>0.39400000000000002</v>
      </c>
      <c r="O32">
        <v>3.2</v>
      </c>
      <c r="P32">
        <v>6.2</v>
      </c>
      <c r="Q32">
        <v>0.52500000000000002</v>
      </c>
      <c r="R32">
        <v>0.55400000000000005</v>
      </c>
      <c r="S32">
        <v>4.4000000000000004</v>
      </c>
      <c r="T32">
        <v>5.4</v>
      </c>
      <c r="U32">
        <v>0.82599999999999996</v>
      </c>
      <c r="V32">
        <v>1.1000000000000001</v>
      </c>
      <c r="W32">
        <v>4.5</v>
      </c>
      <c r="X32">
        <v>5.6</v>
      </c>
      <c r="Y32">
        <v>2.4</v>
      </c>
      <c r="Z32">
        <v>0.7</v>
      </c>
      <c r="AA32">
        <v>0.2</v>
      </c>
      <c r="AB32">
        <v>1.5</v>
      </c>
      <c r="AC32">
        <v>1.2</v>
      </c>
      <c r="AD32">
        <v>16.399999999999999</v>
      </c>
      <c r="AE32" t="str">
        <f>IF(OR(_nba2122[[#This Row],[G]]&gt;=58,nba2122_advanced[[#This Row],[MP]]&gt;=1000),"Y","N")</f>
        <v>Y</v>
      </c>
      <c r="AF3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4.8316376877108791</v>
      </c>
      <c r="AI32" s="3" t="s">
        <v>727</v>
      </c>
      <c r="AQ32" s="3" t="s">
        <v>730</v>
      </c>
    </row>
    <row r="33" spans="1:49" x14ac:dyDescent="0.35">
      <c r="A33">
        <v>32</v>
      </c>
      <c r="B33" s="1" t="s">
        <v>83</v>
      </c>
      <c r="C33" s="1" t="s">
        <v>28</v>
      </c>
      <c r="D33">
        <v>20</v>
      </c>
      <c r="E33" s="1" t="s">
        <v>32</v>
      </c>
      <c r="F33">
        <v>74</v>
      </c>
      <c r="G33">
        <v>74</v>
      </c>
      <c r="H33">
        <v>35.4</v>
      </c>
      <c r="I33">
        <v>6.2</v>
      </c>
      <c r="J33">
        <v>12.6</v>
      </c>
      <c r="K33">
        <v>0.49199999999999999</v>
      </c>
      <c r="L33">
        <v>0.8</v>
      </c>
      <c r="M33">
        <v>2.6</v>
      </c>
      <c r="N33">
        <v>0.30099999999999999</v>
      </c>
      <c r="O33">
        <v>5.4</v>
      </c>
      <c r="P33">
        <v>10</v>
      </c>
      <c r="Q33">
        <v>0.54300000000000004</v>
      </c>
      <c r="R33">
        <v>0.52400000000000002</v>
      </c>
      <c r="S33">
        <v>2.1</v>
      </c>
      <c r="T33">
        <v>2.9</v>
      </c>
      <c r="U33">
        <v>0.73499999999999999</v>
      </c>
      <c r="V33">
        <v>2.6</v>
      </c>
      <c r="W33">
        <v>4.9000000000000004</v>
      </c>
      <c r="X33">
        <v>7.5</v>
      </c>
      <c r="Y33">
        <v>3.5</v>
      </c>
      <c r="Z33">
        <v>1.1000000000000001</v>
      </c>
      <c r="AA33">
        <v>0.7</v>
      </c>
      <c r="AB33">
        <v>1.8</v>
      </c>
      <c r="AC33">
        <v>2.6</v>
      </c>
      <c r="AD33">
        <v>15.3</v>
      </c>
      <c r="AE33" t="str">
        <f>IF(OR(_nba2122[[#This Row],[G]]&gt;=58,nba2122_advanced[[#This Row],[MP]]&gt;=1000),"Y","N")</f>
        <v>Y</v>
      </c>
      <c r="AF3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3.5612222815482619</v>
      </c>
      <c r="AI33" t="s">
        <v>676</v>
      </c>
      <c r="AJ33" t="s">
        <v>677</v>
      </c>
      <c r="AK33" t="s">
        <v>678</v>
      </c>
      <c r="AL33" t="s">
        <v>679</v>
      </c>
      <c r="AM33" t="s">
        <v>680</v>
      </c>
      <c r="AN33" t="s">
        <v>681</v>
      </c>
      <c r="AO33" t="s">
        <v>28</v>
      </c>
      <c r="AQ33" t="s">
        <v>676</v>
      </c>
      <c r="AR33" t="s">
        <v>677</v>
      </c>
      <c r="AS33" t="s">
        <v>678</v>
      </c>
      <c r="AT33" t="s">
        <v>679</v>
      </c>
      <c r="AU33" t="s">
        <v>680</v>
      </c>
      <c r="AV33" t="s">
        <v>681</v>
      </c>
      <c r="AW33" t="s">
        <v>28</v>
      </c>
    </row>
    <row r="34" spans="1:49" x14ac:dyDescent="0.35">
      <c r="A34">
        <v>33</v>
      </c>
      <c r="B34" s="1" t="s">
        <v>84</v>
      </c>
      <c r="C34" s="1" t="s">
        <v>51</v>
      </c>
      <c r="D34">
        <v>21</v>
      </c>
      <c r="E34" s="1" t="s">
        <v>61</v>
      </c>
      <c r="F34">
        <v>70</v>
      </c>
      <c r="G34">
        <v>70</v>
      </c>
      <c r="H34">
        <v>34.5</v>
      </c>
      <c r="I34">
        <v>7</v>
      </c>
      <c r="J34">
        <v>17.100000000000001</v>
      </c>
      <c r="K34">
        <v>0.40799999999999997</v>
      </c>
      <c r="L34">
        <v>2</v>
      </c>
      <c r="M34">
        <v>5.8</v>
      </c>
      <c r="N34">
        <v>0.34200000000000003</v>
      </c>
      <c r="O34">
        <v>5</v>
      </c>
      <c r="P34">
        <v>11.3</v>
      </c>
      <c r="Q34">
        <v>0.442</v>
      </c>
      <c r="R34">
        <v>0.46600000000000003</v>
      </c>
      <c r="S34">
        <v>4.0999999999999996</v>
      </c>
      <c r="T34">
        <v>5.8</v>
      </c>
      <c r="U34">
        <v>0.71399999999999997</v>
      </c>
      <c r="V34">
        <v>0.9</v>
      </c>
      <c r="W34">
        <v>4.9000000000000004</v>
      </c>
      <c r="X34">
        <v>5.8</v>
      </c>
      <c r="Y34">
        <v>3</v>
      </c>
      <c r="Z34">
        <v>0.6</v>
      </c>
      <c r="AA34">
        <v>0.2</v>
      </c>
      <c r="AB34">
        <v>2.2000000000000002</v>
      </c>
      <c r="AC34">
        <v>2</v>
      </c>
      <c r="AD34">
        <v>20</v>
      </c>
      <c r="AE34" t="str">
        <f>IF(OR(_nba2122[[#This Row],[G]]&gt;=58,nba2122_advanced[[#This Row],[MP]]&gt;=1000),"Y","N")</f>
        <v>Y</v>
      </c>
      <c r="AF3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4.9255688835008851</v>
      </c>
      <c r="AI34">
        <f>AVERAGEIFS(_nba2122[PTS],_nba2122[Qualified?],"Y",_nba2122[Pos],"SF")</f>
        <v>12.652830188679246</v>
      </c>
      <c r="AJ34">
        <f>AVERAGEIFS(_nba2122[TRB],_nba2122[Qualified?],"Y",_nba2122[Pos],"SF")</f>
        <v>4.2943396226415098</v>
      </c>
      <c r="AK34">
        <f>AVERAGEIFS(_nba2122[AST],_nba2122[Qualified?],"Y",_nba2122[Pos],"SF")</f>
        <v>2.2830188679245285</v>
      </c>
      <c r="AL34">
        <f>AVERAGEIFS(_nba2122[STL],_nba2122[Qualified?],"Y",_nba2122[Pos],"SF")</f>
        <v>0.86037735849056596</v>
      </c>
      <c r="AM34">
        <f>AVERAGEIFS(_nba2122[BLK],_nba2122[Qualified?],"Y",_nba2122[Pos],"SF")</f>
        <v>0.39245283018867927</v>
      </c>
      <c r="AN34">
        <f>AVERAGEIFS(_nba2122[TOV],_nba2122[Qualified?],"Y",_nba2122[Pos],"SF")</f>
        <v>1.3169811320754716</v>
      </c>
      <c r="AO34">
        <f>AVERAGEIFS(_nba2122[PF],_nba2122[Qualified?],"Y",_nba2122[Pos],"SF")</f>
        <v>1.9811320754716986</v>
      </c>
      <c r="AQ34">
        <f>AVERAGEIFS(_nba2122[PTS],_nba2122[Qualified?],"Y",_nba2122[Pos],"C")</f>
        <v>12.236734693877551</v>
      </c>
      <c r="AR34">
        <f>AVERAGEIFS(_nba2122[TRB],_nba2122[Qualified?],"Y",_nba2122[Pos],"C")</f>
        <v>8.0102040816326543</v>
      </c>
      <c r="AS34">
        <f>AVERAGEIFS(_nba2122[AST],_nba2122[Qualified?],"Y",_nba2122[Pos],"C")</f>
        <v>1.9775510204081634</v>
      </c>
      <c r="AT34">
        <f>AVERAGEIFS(_nba2122[STL],_nba2122[Qualified?],"Y",_nba2122[Pos],"C")</f>
        <v>0.68775510204081636</v>
      </c>
      <c r="AU34">
        <f>AVERAGEIFS(_nba2122[BLK],_nba2122[Qualified?],"Y",_nba2122[Pos],"C")</f>
        <v>1.0122448979591836</v>
      </c>
      <c r="AV34">
        <f>AVERAGEIFS(_nba2122[TOV],_nba2122[Qualified?],"Y",_nba2122[Pos],"C")</f>
        <v>1.4734693877551022</v>
      </c>
      <c r="AW34">
        <f>AVERAGEIFS(_nba2122[PF],_nba2122[Qualified?],"Y",_nba2122[Pos],"C")</f>
        <v>2.4673469387755098</v>
      </c>
    </row>
    <row r="35" spans="1:49" x14ac:dyDescent="0.35">
      <c r="A35">
        <v>34</v>
      </c>
      <c r="B35" s="1" t="s">
        <v>85</v>
      </c>
      <c r="C35" s="1" t="s">
        <v>41</v>
      </c>
      <c r="D35">
        <v>31</v>
      </c>
      <c r="E35" s="1" t="s">
        <v>86</v>
      </c>
      <c r="F35">
        <v>71</v>
      </c>
      <c r="G35">
        <v>71</v>
      </c>
      <c r="H35">
        <v>32.1</v>
      </c>
      <c r="I35">
        <v>5.5</v>
      </c>
      <c r="J35">
        <v>12.6</v>
      </c>
      <c r="K35">
        <v>0.438</v>
      </c>
      <c r="L35">
        <v>2.2000000000000002</v>
      </c>
      <c r="M35">
        <v>6.1</v>
      </c>
      <c r="N35">
        <v>0.36499999999999999</v>
      </c>
      <c r="O35">
        <v>3.3</v>
      </c>
      <c r="P35">
        <v>6.6</v>
      </c>
      <c r="Q35">
        <v>0.504</v>
      </c>
      <c r="R35">
        <v>0.52500000000000002</v>
      </c>
      <c r="S35">
        <v>1.4</v>
      </c>
      <c r="T35">
        <v>1.8</v>
      </c>
      <c r="U35">
        <v>0.80300000000000005</v>
      </c>
      <c r="V35">
        <v>0.6</v>
      </c>
      <c r="W35">
        <v>4.2</v>
      </c>
      <c r="X35">
        <v>4.8</v>
      </c>
      <c r="Y35">
        <v>3.9</v>
      </c>
      <c r="Z35">
        <v>0.8</v>
      </c>
      <c r="AA35">
        <v>0.4</v>
      </c>
      <c r="AB35">
        <v>1.8</v>
      </c>
      <c r="AC35">
        <v>1.6</v>
      </c>
      <c r="AD35">
        <v>14.7</v>
      </c>
      <c r="AE35" t="str">
        <f>IF(OR(_nba2122[[#This Row],[G]]&gt;=58,nba2122_advanced[[#This Row],[MP]]&gt;=1000),"Y","N")</f>
        <v>Y</v>
      </c>
      <c r="AF3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3.0391677713956322</v>
      </c>
    </row>
    <row r="36" spans="1:49" x14ac:dyDescent="0.35">
      <c r="A36">
        <v>35</v>
      </c>
      <c r="B36" s="1" t="s">
        <v>87</v>
      </c>
      <c r="C36" s="1" t="s">
        <v>51</v>
      </c>
      <c r="D36">
        <v>26</v>
      </c>
      <c r="E36" s="1" t="s">
        <v>68</v>
      </c>
      <c r="F36">
        <v>2</v>
      </c>
      <c r="G36">
        <v>0</v>
      </c>
      <c r="H36">
        <v>3.5</v>
      </c>
      <c r="I36">
        <v>1</v>
      </c>
      <c r="J36">
        <v>3</v>
      </c>
      <c r="K36">
        <v>0.33300000000000002</v>
      </c>
      <c r="L36">
        <v>0</v>
      </c>
      <c r="M36">
        <v>1</v>
      </c>
      <c r="N36">
        <v>0</v>
      </c>
      <c r="O36">
        <v>1</v>
      </c>
      <c r="P36">
        <v>2</v>
      </c>
      <c r="Q36">
        <v>0.5</v>
      </c>
      <c r="R36">
        <v>0.33300000000000002</v>
      </c>
      <c r="S36">
        <v>1</v>
      </c>
      <c r="T36">
        <v>1</v>
      </c>
      <c r="U36">
        <v>1</v>
      </c>
      <c r="V36">
        <v>1</v>
      </c>
      <c r="W36">
        <v>1</v>
      </c>
      <c r="X36">
        <v>2</v>
      </c>
      <c r="Y36">
        <v>0</v>
      </c>
      <c r="Z36">
        <v>0.5</v>
      </c>
      <c r="AA36">
        <v>0</v>
      </c>
      <c r="AB36">
        <v>1</v>
      </c>
      <c r="AC36">
        <v>1</v>
      </c>
      <c r="AD36">
        <v>3</v>
      </c>
      <c r="AE36" t="str">
        <f>IF(OR(_nba2122[[#This Row],[G]]&gt;=58,nba2122_advanced[[#This Row],[MP]]&gt;=1000),"Y","N")</f>
        <v>N</v>
      </c>
      <c r="AF3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17.165435374401039</v>
      </c>
      <c r="AI36" t="s">
        <v>10</v>
      </c>
      <c r="AJ36" t="s">
        <v>13</v>
      </c>
      <c r="AK36" t="s">
        <v>20</v>
      </c>
      <c r="AL36" t="s">
        <v>687</v>
      </c>
      <c r="AM36" t="s">
        <v>686</v>
      </c>
      <c r="AN36" t="s">
        <v>688</v>
      </c>
      <c r="AO36" t="s">
        <v>689</v>
      </c>
      <c r="AQ36" t="s">
        <v>10</v>
      </c>
      <c r="AR36" t="s">
        <v>13</v>
      </c>
      <c r="AS36" t="s">
        <v>20</v>
      </c>
      <c r="AT36" t="s">
        <v>687</v>
      </c>
      <c r="AU36" t="s">
        <v>686</v>
      </c>
      <c r="AV36" t="s">
        <v>688</v>
      </c>
      <c r="AW36" t="s">
        <v>689</v>
      </c>
    </row>
    <row r="37" spans="1:49" x14ac:dyDescent="0.35">
      <c r="A37">
        <v>36</v>
      </c>
      <c r="B37" s="1" t="s">
        <v>88</v>
      </c>
      <c r="C37" s="1" t="s">
        <v>28</v>
      </c>
      <c r="D37">
        <v>21</v>
      </c>
      <c r="E37" s="1" t="s">
        <v>89</v>
      </c>
      <c r="F37">
        <v>23</v>
      </c>
      <c r="G37">
        <v>0</v>
      </c>
      <c r="H37">
        <v>7.3</v>
      </c>
      <c r="I37">
        <v>1.3</v>
      </c>
      <c r="J37">
        <v>2</v>
      </c>
      <c r="K37">
        <v>0.63800000000000001</v>
      </c>
      <c r="L37">
        <v>0</v>
      </c>
      <c r="M37">
        <v>0.2</v>
      </c>
      <c r="N37">
        <v>0</v>
      </c>
      <c r="O37">
        <v>1.3</v>
      </c>
      <c r="P37">
        <v>1.9</v>
      </c>
      <c r="Q37">
        <v>0.69799999999999995</v>
      </c>
      <c r="R37">
        <v>0.63800000000000001</v>
      </c>
      <c r="S37">
        <v>0.4</v>
      </c>
      <c r="T37">
        <v>0.5</v>
      </c>
      <c r="U37">
        <v>0.75</v>
      </c>
      <c r="V37">
        <v>1</v>
      </c>
      <c r="W37">
        <v>1.7</v>
      </c>
      <c r="X37">
        <v>2.7</v>
      </c>
      <c r="Y37">
        <v>0.3</v>
      </c>
      <c r="Z37">
        <v>0.2</v>
      </c>
      <c r="AA37">
        <v>0.7</v>
      </c>
      <c r="AB37">
        <v>0.3</v>
      </c>
      <c r="AC37">
        <v>1.4</v>
      </c>
      <c r="AD37">
        <v>3</v>
      </c>
      <c r="AE37" t="str">
        <f>IF(OR(_nba2122[[#This Row],[G]]&gt;=58,nba2122_advanced[[#This Row],[MP]]&gt;=1000),"Y","N")</f>
        <v>N</v>
      </c>
      <c r="AF3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13.270280594577802</v>
      </c>
      <c r="AI37">
        <f>SUMIFS(_nba2122[FG],_nba2122[Qualified?],"Y",_nba2122[Pos],"SF")/SUMIFS(_nba2122[FGA],_nba2122[Qualified?],"Y",_nba2122[Pos],"SF")</f>
        <v>0.45507409491652595</v>
      </c>
      <c r="AJ37">
        <f>SUMIFS(_nba2122[3P],_nba2122[Qualified?],"Y",_nba2122[Pos],"SF")/SUMIFS(_nba2122[3PA],_nba2122[Qualified?],"Y",_nba2122[Pos],"SF")</f>
        <v>0.36157205240174689</v>
      </c>
      <c r="AK37">
        <f>SUMIFS(_nba2122[FT],_nba2122[Qualified?],"Y",_nba2122[Pos],"SF")/SUMIFS(_nba2122[FTA],_nba2122[Qualified?],"Y",_nba2122[Pos],"SF")</f>
        <v>0.79016141429669473</v>
      </c>
      <c r="AL37">
        <f>AVERAGEIFS(nba2122_advanced[TS%],_nba2122[Qualified?],"Y",_nba2122[Pos],"SF")</f>
        <v>0.56730188679245286</v>
      </c>
      <c r="AM37">
        <f>AVERAGEIFS(nba2122_advanced[PER],_nba2122[Qualified?],"Y",_nba2122[Pos],"SF")</f>
        <v>13.945283018867919</v>
      </c>
      <c r="AN37">
        <f>AVERAGEIFS(nba2122_advanced[3PAr],_nba2122[Qualified?],"Y",_nba2122[Pos],"SF")</f>
        <v>0.44560377358490566</v>
      </c>
      <c r="AO37">
        <f>AVERAGEIFS(nba2122_advanced[FTr],_nba2122[Qualified?],"Y",_nba2122[Pos],"SF")</f>
        <v>0.22833962264150939</v>
      </c>
      <c r="AQ37">
        <f>SUMIFS(_nba2122[FG],_nba2122[Qualified?],"Y",_nba2122[Pos],"C")/SUMIFS(_nba2122[FGA],_nba2122[Qualified?],"Y",_nba2122[Pos],"C")</f>
        <v>0.55802292263610342</v>
      </c>
      <c r="AR37">
        <f>SUMIFS(_nba2122[3P],_nba2122[Qualified?],"Y",_nba2122[Pos],"C")/SUMIFS(_nba2122[3PA],_nba2122[Qualified?],"Y",_nba2122[Pos],"C")</f>
        <v>0.34395750332005293</v>
      </c>
      <c r="AS37">
        <f>SUMIFS(_nba2122[FT],_nba2122[Qualified?],"Y",_nba2122[Pos],"C")/SUMIFS(_nba2122[FTA],_nba2122[Qualified?],"Y",_nba2122[Pos],"C")</f>
        <v>0.71978392977717776</v>
      </c>
      <c r="AT37">
        <f>AVERAGEIFS(nba2122_advanced[TS%],_nba2122[Qualified?],"Y",_nba2122[Pos],"C")</f>
        <v>0.62338775510204092</v>
      </c>
      <c r="AU37">
        <f>AVERAGEIFS(nba2122_advanced[PER],_nba2122[Qualified?],"Y",_nba2122[Pos],"C")</f>
        <v>19.395918367346948</v>
      </c>
      <c r="AV37">
        <f>AVERAGEIFS(nba2122_advanced[3PAr],_nba2122[Qualified?],"Y",_nba2122[Pos],"C")</f>
        <v>0.16481632653061226</v>
      </c>
      <c r="AW37">
        <f>AVERAGEIFS(nba2122_advanced[FTr],_nba2122[Qualified?],"Y",_nba2122[Pos],"C")</f>
        <v>0.3640816326530612</v>
      </c>
    </row>
    <row r="38" spans="1:49" x14ac:dyDescent="0.35">
      <c r="A38">
        <v>37</v>
      </c>
      <c r="B38" s="1" t="s">
        <v>90</v>
      </c>
      <c r="C38" s="1" t="s">
        <v>51</v>
      </c>
      <c r="D38">
        <v>26</v>
      </c>
      <c r="E38" s="1" t="s">
        <v>91</v>
      </c>
      <c r="F38">
        <v>59</v>
      </c>
      <c r="G38">
        <v>14</v>
      </c>
      <c r="H38">
        <v>16.2</v>
      </c>
      <c r="I38">
        <v>2.2999999999999998</v>
      </c>
      <c r="J38">
        <v>4.5</v>
      </c>
      <c r="K38">
        <v>0.51700000000000002</v>
      </c>
      <c r="L38">
        <v>0.3</v>
      </c>
      <c r="M38">
        <v>0.9</v>
      </c>
      <c r="N38">
        <v>0.309</v>
      </c>
      <c r="O38">
        <v>2</v>
      </c>
      <c r="P38">
        <v>3.5</v>
      </c>
      <c r="Q38">
        <v>0.57199999999999995</v>
      </c>
      <c r="R38">
        <v>0.54900000000000004</v>
      </c>
      <c r="S38">
        <v>0.8</v>
      </c>
      <c r="T38">
        <v>1</v>
      </c>
      <c r="U38">
        <v>0.754</v>
      </c>
      <c r="V38">
        <v>1.1000000000000001</v>
      </c>
      <c r="W38">
        <v>2.9</v>
      </c>
      <c r="X38">
        <v>3.9</v>
      </c>
      <c r="Y38">
        <v>0.7</v>
      </c>
      <c r="Z38">
        <v>0.5</v>
      </c>
      <c r="AA38">
        <v>0.2</v>
      </c>
      <c r="AB38">
        <v>0.8</v>
      </c>
      <c r="AC38">
        <v>1</v>
      </c>
      <c r="AD38">
        <v>5.7</v>
      </c>
      <c r="AE38" t="str">
        <f>IF(OR(_nba2122[[#This Row],[G]]&gt;=58,nba2122_advanced[[#This Row],[MP]]&gt;=1000),"Y","N")</f>
        <v>Y</v>
      </c>
      <c r="AF3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6.237887422332669</v>
      </c>
    </row>
    <row r="39" spans="1:49" x14ac:dyDescent="0.35">
      <c r="A39">
        <v>38</v>
      </c>
      <c r="B39" s="1" t="s">
        <v>92</v>
      </c>
      <c r="C39" s="1" t="s">
        <v>28</v>
      </c>
      <c r="D39">
        <v>33</v>
      </c>
      <c r="E39" s="1" t="s">
        <v>93</v>
      </c>
      <c r="F39">
        <v>59</v>
      </c>
      <c r="G39">
        <v>54</v>
      </c>
      <c r="H39">
        <v>24.8</v>
      </c>
      <c r="I39">
        <v>3</v>
      </c>
      <c r="J39">
        <v>6.6</v>
      </c>
      <c r="K39">
        <v>0.46300000000000002</v>
      </c>
      <c r="L39">
        <v>1.8</v>
      </c>
      <c r="M39">
        <v>4.5999999999999996</v>
      </c>
      <c r="N39">
        <v>0.4</v>
      </c>
      <c r="O39">
        <v>1.2</v>
      </c>
      <c r="P39">
        <v>2</v>
      </c>
      <c r="Q39">
        <v>0.60699999999999998</v>
      </c>
      <c r="R39">
        <v>0.60199999999999998</v>
      </c>
      <c r="S39">
        <v>0.4</v>
      </c>
      <c r="T39">
        <v>0.6</v>
      </c>
      <c r="U39">
        <v>0.65800000000000003</v>
      </c>
      <c r="V39">
        <v>0.5</v>
      </c>
      <c r="W39">
        <v>3.8</v>
      </c>
      <c r="X39">
        <v>4.3</v>
      </c>
      <c r="Y39">
        <v>1.7</v>
      </c>
      <c r="Z39">
        <v>1</v>
      </c>
      <c r="AA39">
        <v>0.7</v>
      </c>
      <c r="AB39">
        <v>0.7</v>
      </c>
      <c r="AC39">
        <v>1.4</v>
      </c>
      <c r="AD39">
        <v>8.3000000000000007</v>
      </c>
      <c r="AE39" t="str">
        <f>IF(OR(_nba2122[[#This Row],[G]]&gt;=58,nba2122_advanced[[#This Row],[MP]]&gt;=1000),"Y","N")</f>
        <v>Y</v>
      </c>
      <c r="AF3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5.6478403870218195</v>
      </c>
      <c r="AI39" t="s">
        <v>692</v>
      </c>
      <c r="AJ39" t="s">
        <v>693</v>
      </c>
      <c r="AK39" t="s">
        <v>694</v>
      </c>
      <c r="AL39" t="s">
        <v>695</v>
      </c>
      <c r="AM39" t="s">
        <v>696</v>
      </c>
      <c r="AN39" t="s">
        <v>697</v>
      </c>
      <c r="AQ39" t="s">
        <v>692</v>
      </c>
      <c r="AR39" t="s">
        <v>693</v>
      </c>
      <c r="AS39" t="s">
        <v>694</v>
      </c>
      <c r="AT39" t="s">
        <v>695</v>
      </c>
      <c r="AU39" t="s">
        <v>696</v>
      </c>
      <c r="AV39" t="s">
        <v>697</v>
      </c>
    </row>
    <row r="40" spans="1:49" x14ac:dyDescent="0.35">
      <c r="A40">
        <v>39</v>
      </c>
      <c r="B40" s="1" t="s">
        <v>94</v>
      </c>
      <c r="C40" s="1" t="s">
        <v>51</v>
      </c>
      <c r="D40">
        <v>32</v>
      </c>
      <c r="E40" s="1" t="s">
        <v>56</v>
      </c>
      <c r="F40">
        <v>39</v>
      </c>
      <c r="G40">
        <v>14</v>
      </c>
      <c r="H40">
        <v>14</v>
      </c>
      <c r="I40">
        <v>1.2</v>
      </c>
      <c r="J40">
        <v>3.6</v>
      </c>
      <c r="K40">
        <v>0.32400000000000001</v>
      </c>
      <c r="L40">
        <v>0.7</v>
      </c>
      <c r="M40">
        <v>2.1</v>
      </c>
      <c r="N40">
        <v>0.36299999999999999</v>
      </c>
      <c r="O40">
        <v>0.4</v>
      </c>
      <c r="P40">
        <v>1.5</v>
      </c>
      <c r="Q40">
        <v>0.27100000000000002</v>
      </c>
      <c r="R40">
        <v>0.42799999999999999</v>
      </c>
      <c r="S40">
        <v>0.3</v>
      </c>
      <c r="T40">
        <v>0.4</v>
      </c>
      <c r="U40">
        <v>0.76500000000000001</v>
      </c>
      <c r="V40">
        <v>0.3</v>
      </c>
      <c r="W40">
        <v>1.4</v>
      </c>
      <c r="X40">
        <v>1.8</v>
      </c>
      <c r="Y40">
        <v>0.9</v>
      </c>
      <c r="Z40">
        <v>0.6</v>
      </c>
      <c r="AA40">
        <v>0.2</v>
      </c>
      <c r="AB40">
        <v>0.5</v>
      </c>
      <c r="AC40">
        <v>1.8</v>
      </c>
      <c r="AD40">
        <v>3.4</v>
      </c>
      <c r="AE40" t="str">
        <f>IF(OR(_nba2122[[#This Row],[G]]&gt;=58,nba2122_advanced[[#This Row],[MP]]&gt;=1000),"Y","N")</f>
        <v>N</v>
      </c>
      <c r="AF4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7.5965167844001495</v>
      </c>
      <c r="AI40">
        <f>AVERAGEIFS(nba2122_advanced[TRB%],_nba2122[Qualified?],"Y",_nba2122[Pos],"SF")</f>
        <v>8.786792452830186</v>
      </c>
      <c r="AJ40">
        <f>AVERAGEIFS(nba2122_advanced[AST%],_nba2122[Qualified?],"Y",_nba2122[Pos],"SF")</f>
        <v>12.30377358490566</v>
      </c>
      <c r="AK40">
        <f>AVERAGEIFS(nba2122_advanced[STL%],_nba2122[Qualified?],"Y",_nba2122[Pos],"SF")</f>
        <v>1.5735849056603779</v>
      </c>
      <c r="AL40">
        <f>AVERAGEIFS(nba2122_advanced[BLK%],_nba2122[Qualified?],"Y",_nba2122[Pos],"SF")</f>
        <v>1.3792452830188673</v>
      </c>
      <c r="AM40">
        <f>AVERAGEIFS(nba2122_advanced[TOV%],_nba2122[Qualified?],"Y",_nba2122[Pos],"SF")</f>
        <v>10.471698113207545</v>
      </c>
      <c r="AN40">
        <f>AVERAGEIFS(nba2122_advanced[USG%],_nba2122[Qualified?],"Y",_nba2122[Pos],"SF")</f>
        <v>19.271698113207552</v>
      </c>
      <c r="AQ40">
        <f>AVERAGEIFS(nba2122_advanced[TRB%],_nba2122[Qualified?],"Y",_nba2122[Pos],"C")</f>
        <v>17.230612244897959</v>
      </c>
      <c r="AR40">
        <f>AVERAGEIFS(nba2122_advanced[AST%],_nba2122[Qualified?],"Y",_nba2122[Pos],"C")</f>
        <v>11.80204081632653</v>
      </c>
      <c r="AS40">
        <f>AVERAGEIFS(nba2122_advanced[STL%],_nba2122[Qualified?],"Y",_nba2122[Pos],"C")</f>
        <v>1.3244897959183672</v>
      </c>
      <c r="AT40">
        <f>AVERAGEIFS(nba2122_advanced[BLK%],_nba2122[Qualified?],"Y",_nba2122[Pos],"C")</f>
        <v>3.6959183673469393</v>
      </c>
      <c r="AU40">
        <f>AVERAGEIFS(nba2122_advanced[TOV%],_nba2122[Qualified?],"Y",_nba2122[Pos],"C")</f>
        <v>13.222448979591841</v>
      </c>
      <c r="AV40">
        <f>AVERAGEIFS(nba2122_advanced[USG%],_nba2122[Qualified?],"Y",_nba2122[Pos],"C")</f>
        <v>19.16326530612244</v>
      </c>
    </row>
    <row r="41" spans="1:49" x14ac:dyDescent="0.35">
      <c r="A41">
        <v>40</v>
      </c>
      <c r="B41" s="1" t="s">
        <v>95</v>
      </c>
      <c r="C41" s="1" t="s">
        <v>28</v>
      </c>
      <c r="D41">
        <v>21</v>
      </c>
      <c r="E41" s="1" t="s">
        <v>96</v>
      </c>
      <c r="F41">
        <v>69</v>
      </c>
      <c r="G41">
        <v>53</v>
      </c>
      <c r="H41">
        <v>27.9</v>
      </c>
      <c r="I41">
        <v>4</v>
      </c>
      <c r="J41">
        <v>9.4</v>
      </c>
      <c r="K41">
        <v>0.42199999999999999</v>
      </c>
      <c r="L41">
        <v>1.2</v>
      </c>
      <c r="M41">
        <v>3.9</v>
      </c>
      <c r="N41">
        <v>0.29699999999999999</v>
      </c>
      <c r="O41">
        <v>2.8</v>
      </c>
      <c r="P41">
        <v>5.5</v>
      </c>
      <c r="Q41">
        <v>0.51100000000000001</v>
      </c>
      <c r="R41">
        <v>0.48399999999999999</v>
      </c>
      <c r="S41">
        <v>1.7</v>
      </c>
      <c r="T41">
        <v>2.5</v>
      </c>
      <c r="U41">
        <v>0.68799999999999994</v>
      </c>
      <c r="V41">
        <v>1</v>
      </c>
      <c r="W41">
        <v>5.3</v>
      </c>
      <c r="X41">
        <v>6.3</v>
      </c>
      <c r="Y41">
        <v>1.4</v>
      </c>
      <c r="Z41">
        <v>0.8</v>
      </c>
      <c r="AA41">
        <v>1</v>
      </c>
      <c r="AB41">
        <v>1.3</v>
      </c>
      <c r="AC41">
        <v>1</v>
      </c>
      <c r="AD41">
        <v>10.8</v>
      </c>
      <c r="AE41" t="str">
        <f>IF(OR(_nba2122[[#This Row],[G]]&gt;=58,nba2122_advanced[[#This Row],[MP]]&gt;=1000),"Y","N")</f>
        <v>Y</v>
      </c>
      <c r="AF4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5.0975261018704785</v>
      </c>
    </row>
    <row r="42" spans="1:49" x14ac:dyDescent="0.35">
      <c r="A42">
        <v>41</v>
      </c>
      <c r="B42" s="1" t="s">
        <v>97</v>
      </c>
      <c r="C42" s="1" t="s">
        <v>41</v>
      </c>
      <c r="D42">
        <v>28</v>
      </c>
      <c r="E42" s="1" t="s">
        <v>65</v>
      </c>
      <c r="F42">
        <v>40</v>
      </c>
      <c r="G42">
        <v>40</v>
      </c>
      <c r="H42">
        <v>36</v>
      </c>
      <c r="I42">
        <v>8.6999999999999993</v>
      </c>
      <c r="J42">
        <v>19.3</v>
      </c>
      <c r="K42">
        <v>0.45100000000000001</v>
      </c>
      <c r="L42">
        <v>1.6</v>
      </c>
      <c r="M42">
        <v>5.3</v>
      </c>
      <c r="N42">
        <v>0.3</v>
      </c>
      <c r="O42">
        <v>7.1</v>
      </c>
      <c r="P42">
        <v>14</v>
      </c>
      <c r="Q42">
        <v>0.50800000000000001</v>
      </c>
      <c r="R42">
        <v>0.49199999999999999</v>
      </c>
      <c r="S42">
        <v>4.2</v>
      </c>
      <c r="T42">
        <v>5.0999999999999996</v>
      </c>
      <c r="U42">
        <v>0.83299999999999996</v>
      </c>
      <c r="V42">
        <v>1</v>
      </c>
      <c r="W42">
        <v>3.8</v>
      </c>
      <c r="X42">
        <v>4.7</v>
      </c>
      <c r="Y42">
        <v>6.6</v>
      </c>
      <c r="Z42">
        <v>0.9</v>
      </c>
      <c r="AA42">
        <v>0.4</v>
      </c>
      <c r="AB42">
        <v>3.4</v>
      </c>
      <c r="AC42">
        <v>2.4</v>
      </c>
      <c r="AD42">
        <v>23.2</v>
      </c>
      <c r="AE42" t="str">
        <f>IF(OR(_nba2122[[#This Row],[G]]&gt;=58,nba2122_advanced[[#This Row],[MP]]&gt;=1000),"Y","N")</f>
        <v>Y</v>
      </c>
      <c r="AF4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7.4666696515956756</v>
      </c>
      <c r="AI42" s="3"/>
    </row>
    <row r="43" spans="1:49" x14ac:dyDescent="0.35">
      <c r="A43">
        <v>42</v>
      </c>
      <c r="B43" s="1" t="s">
        <v>98</v>
      </c>
      <c r="C43" s="1" t="s">
        <v>41</v>
      </c>
      <c r="D43">
        <v>25</v>
      </c>
      <c r="E43" s="1" t="s">
        <v>99</v>
      </c>
      <c r="F43">
        <v>79</v>
      </c>
      <c r="G43">
        <v>18</v>
      </c>
      <c r="H43">
        <v>25</v>
      </c>
      <c r="I43">
        <v>4.2</v>
      </c>
      <c r="J43">
        <v>10.8</v>
      </c>
      <c r="K43">
        <v>0.39100000000000001</v>
      </c>
      <c r="L43">
        <v>3</v>
      </c>
      <c r="M43">
        <v>8.1</v>
      </c>
      <c r="N43">
        <v>0.377</v>
      </c>
      <c r="O43">
        <v>1.2</v>
      </c>
      <c r="P43">
        <v>2.7</v>
      </c>
      <c r="Q43">
        <v>0.432</v>
      </c>
      <c r="R43">
        <v>0.53200000000000003</v>
      </c>
      <c r="S43">
        <v>0.6</v>
      </c>
      <c r="T43">
        <v>0.8</v>
      </c>
      <c r="U43">
        <v>0.81699999999999995</v>
      </c>
      <c r="V43">
        <v>0.3</v>
      </c>
      <c r="W43">
        <v>2.5</v>
      </c>
      <c r="X43">
        <v>2.9</v>
      </c>
      <c r="Y43">
        <v>1.5</v>
      </c>
      <c r="Z43">
        <v>0.5</v>
      </c>
      <c r="AA43">
        <v>0.2</v>
      </c>
      <c r="AB43">
        <v>0.5</v>
      </c>
      <c r="AC43">
        <v>1.1000000000000001</v>
      </c>
      <c r="AD43">
        <v>12.1</v>
      </c>
      <c r="AE43" t="str">
        <f>IF(OR(_nba2122[[#This Row],[G]]&gt;=58,nba2122_advanced[[#This Row],[MP]]&gt;=1000),"Y","N")</f>
        <v>Y</v>
      </c>
      <c r="AF4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7.6267432457005047</v>
      </c>
    </row>
    <row r="44" spans="1:49" x14ac:dyDescent="0.35">
      <c r="A44">
        <v>43</v>
      </c>
      <c r="B44" s="1" t="s">
        <v>100</v>
      </c>
      <c r="C44" s="1" t="s">
        <v>31</v>
      </c>
      <c r="D44">
        <v>27</v>
      </c>
      <c r="E44" s="1" t="s">
        <v>75</v>
      </c>
      <c r="F44">
        <v>1</v>
      </c>
      <c r="G44">
        <v>0</v>
      </c>
      <c r="H44">
        <v>2</v>
      </c>
      <c r="I44">
        <v>0</v>
      </c>
      <c r="J44">
        <v>0</v>
      </c>
      <c r="L44">
        <v>0</v>
      </c>
      <c r="M44">
        <v>0</v>
      </c>
      <c r="O44">
        <v>0</v>
      </c>
      <c r="P44">
        <v>0</v>
      </c>
      <c r="S44">
        <v>0</v>
      </c>
      <c r="T44">
        <v>0</v>
      </c>
      <c r="V44">
        <v>1</v>
      </c>
      <c r="W44">
        <v>0</v>
      </c>
      <c r="X44">
        <v>1</v>
      </c>
      <c r="Y44">
        <v>0</v>
      </c>
      <c r="Z44">
        <v>1</v>
      </c>
      <c r="AA44">
        <v>0</v>
      </c>
      <c r="AB44">
        <v>0</v>
      </c>
      <c r="AC44">
        <v>2</v>
      </c>
      <c r="AD44">
        <v>0</v>
      </c>
      <c r="AE44" t="str">
        <f>IF(OR(_nba2122[[#This Row],[G]]&gt;=58,nba2122_advanced[[#This Row],[MP]]&gt;=1000),"Y","N")</f>
        <v>N</v>
      </c>
      <c r="AF4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32.475759865506348</v>
      </c>
    </row>
    <row r="45" spans="1:49" x14ac:dyDescent="0.35">
      <c r="A45">
        <v>44</v>
      </c>
      <c r="B45" s="1" t="s">
        <v>101</v>
      </c>
      <c r="C45" s="1" t="s">
        <v>51</v>
      </c>
      <c r="D45">
        <v>27</v>
      </c>
      <c r="E45" s="1" t="s">
        <v>42</v>
      </c>
      <c r="F45">
        <v>56</v>
      </c>
      <c r="G45">
        <v>20</v>
      </c>
      <c r="H45">
        <v>18.3</v>
      </c>
      <c r="I45">
        <v>2.2000000000000002</v>
      </c>
      <c r="J45">
        <v>3.9</v>
      </c>
      <c r="K45">
        <v>0.56100000000000005</v>
      </c>
      <c r="L45">
        <v>0.3</v>
      </c>
      <c r="M45">
        <v>0.6</v>
      </c>
      <c r="N45">
        <v>0.41699999999999998</v>
      </c>
      <c r="O45">
        <v>1.9</v>
      </c>
      <c r="P45">
        <v>3.3</v>
      </c>
      <c r="Q45">
        <v>0.58899999999999997</v>
      </c>
      <c r="R45">
        <v>0.59499999999999997</v>
      </c>
      <c r="S45">
        <v>0.4</v>
      </c>
      <c r="T45">
        <v>0.6</v>
      </c>
      <c r="U45">
        <v>0.6</v>
      </c>
      <c r="V45">
        <v>0.8</v>
      </c>
      <c r="W45">
        <v>2.2000000000000002</v>
      </c>
      <c r="X45">
        <v>2.9</v>
      </c>
      <c r="Y45">
        <v>1.2</v>
      </c>
      <c r="Z45">
        <v>0.9</v>
      </c>
      <c r="AA45">
        <v>0.4</v>
      </c>
      <c r="AB45">
        <v>0.6</v>
      </c>
      <c r="AC45">
        <v>2</v>
      </c>
      <c r="AD45">
        <v>5.0999999999999996</v>
      </c>
      <c r="AE45" t="str">
        <f>IF(OR(_nba2122[[#This Row],[G]]&gt;=58,nba2122_advanced[[#This Row],[MP]]&gt;=1000),"Y","N")</f>
        <v>Y</v>
      </c>
      <c r="AF4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6.0436844136112455</v>
      </c>
    </row>
    <row r="46" spans="1:49" x14ac:dyDescent="0.35">
      <c r="A46">
        <v>45</v>
      </c>
      <c r="B46" s="1" t="s">
        <v>102</v>
      </c>
      <c r="C46" s="1" t="s">
        <v>28</v>
      </c>
      <c r="D46">
        <v>29</v>
      </c>
      <c r="E46" s="1" t="s">
        <v>42</v>
      </c>
      <c r="F46">
        <v>56</v>
      </c>
      <c r="G46">
        <v>0</v>
      </c>
      <c r="H46">
        <v>14.4</v>
      </c>
      <c r="I46">
        <v>1.8</v>
      </c>
      <c r="J46">
        <v>4.9000000000000004</v>
      </c>
      <c r="K46">
        <v>0.36</v>
      </c>
      <c r="L46">
        <v>1.4</v>
      </c>
      <c r="M46">
        <v>4.0999999999999996</v>
      </c>
      <c r="N46">
        <v>0.33500000000000002</v>
      </c>
      <c r="O46">
        <v>0.4</v>
      </c>
      <c r="P46">
        <v>0.8</v>
      </c>
      <c r="Q46">
        <v>0.48899999999999999</v>
      </c>
      <c r="R46">
        <v>0.5</v>
      </c>
      <c r="S46">
        <v>0.6</v>
      </c>
      <c r="T46">
        <v>0.7</v>
      </c>
      <c r="U46">
        <v>0.9</v>
      </c>
      <c r="V46">
        <v>0.2</v>
      </c>
      <c r="W46">
        <v>1.9</v>
      </c>
      <c r="X46">
        <v>2.1</v>
      </c>
      <c r="Y46">
        <v>0.6</v>
      </c>
      <c r="Z46">
        <v>0.3</v>
      </c>
      <c r="AA46">
        <v>0.2</v>
      </c>
      <c r="AB46">
        <v>0.3</v>
      </c>
      <c r="AC46">
        <v>1.5</v>
      </c>
      <c r="AD46">
        <v>5.6</v>
      </c>
      <c r="AE46" t="str">
        <f>IF(OR(_nba2122[[#This Row],[G]]&gt;=58,nba2122_advanced[[#This Row],[MP]]&gt;=1000),"Y","N")</f>
        <v>N</v>
      </c>
      <c r="AF4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8.6906951651523823</v>
      </c>
    </row>
    <row r="47" spans="1:49" x14ac:dyDescent="0.35">
      <c r="A47">
        <v>46</v>
      </c>
      <c r="B47" s="1" t="s">
        <v>103</v>
      </c>
      <c r="C47" s="1" t="s">
        <v>48</v>
      </c>
      <c r="D47">
        <v>33</v>
      </c>
      <c r="E47" s="1" t="s">
        <v>99</v>
      </c>
      <c r="F47">
        <v>58</v>
      </c>
      <c r="G47">
        <v>54</v>
      </c>
      <c r="H47">
        <v>25.4</v>
      </c>
      <c r="I47">
        <v>3.1</v>
      </c>
      <c r="J47">
        <v>7.5</v>
      </c>
      <c r="K47">
        <v>0.40600000000000003</v>
      </c>
      <c r="L47">
        <v>1.4</v>
      </c>
      <c r="M47">
        <v>4.2</v>
      </c>
      <c r="N47">
        <v>0.34300000000000003</v>
      </c>
      <c r="O47">
        <v>1.6</v>
      </c>
      <c r="P47">
        <v>3.3</v>
      </c>
      <c r="Q47">
        <v>0.48499999999999999</v>
      </c>
      <c r="R47">
        <v>0.501</v>
      </c>
      <c r="S47">
        <v>1.7</v>
      </c>
      <c r="T47">
        <v>2.2999999999999998</v>
      </c>
      <c r="U47">
        <v>0.72199999999999998</v>
      </c>
      <c r="V47">
        <v>1.1000000000000001</v>
      </c>
      <c r="W47">
        <v>3.1</v>
      </c>
      <c r="X47">
        <v>4.0999999999999996</v>
      </c>
      <c r="Y47">
        <v>4.5999999999999996</v>
      </c>
      <c r="Z47">
        <v>1.2</v>
      </c>
      <c r="AA47">
        <v>0.9</v>
      </c>
      <c r="AB47">
        <v>1.3</v>
      </c>
      <c r="AC47">
        <v>3</v>
      </c>
      <c r="AD47">
        <v>9.1999999999999993</v>
      </c>
      <c r="AE47" t="str">
        <f>IF(OR(_nba2122[[#This Row],[G]]&gt;=58,nba2122_advanced[[#This Row],[MP]]&gt;=1000),"Y","N")</f>
        <v>Y</v>
      </c>
      <c r="AF4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6.0921237588492039</v>
      </c>
    </row>
    <row r="48" spans="1:49" x14ac:dyDescent="0.35">
      <c r="A48">
        <v>47</v>
      </c>
      <c r="B48" s="1" t="s">
        <v>104</v>
      </c>
      <c r="C48" s="1" t="s">
        <v>51</v>
      </c>
      <c r="D48">
        <v>22</v>
      </c>
      <c r="E48" s="1" t="s">
        <v>105</v>
      </c>
      <c r="F48">
        <v>82</v>
      </c>
      <c r="G48">
        <v>82</v>
      </c>
      <c r="H48">
        <v>33</v>
      </c>
      <c r="I48">
        <v>5.5</v>
      </c>
      <c r="J48">
        <v>13.9</v>
      </c>
      <c r="K48">
        <v>0.39600000000000002</v>
      </c>
      <c r="L48">
        <v>2.6</v>
      </c>
      <c r="M48">
        <v>7.4</v>
      </c>
      <c r="N48">
        <v>0.34599999999999997</v>
      </c>
      <c r="O48">
        <v>2.9</v>
      </c>
      <c r="P48">
        <v>6.4</v>
      </c>
      <c r="Q48">
        <v>0.45400000000000001</v>
      </c>
      <c r="R48">
        <v>0.48899999999999999</v>
      </c>
      <c r="S48">
        <v>2.6</v>
      </c>
      <c r="T48">
        <v>3.1</v>
      </c>
      <c r="U48">
        <v>0.82699999999999996</v>
      </c>
      <c r="V48">
        <v>1.3</v>
      </c>
      <c r="W48">
        <v>4.0999999999999996</v>
      </c>
      <c r="X48">
        <v>5.4</v>
      </c>
      <c r="Y48">
        <v>2.8</v>
      </c>
      <c r="Z48">
        <v>0.9</v>
      </c>
      <c r="AA48">
        <v>0.2</v>
      </c>
      <c r="AB48">
        <v>1.2</v>
      </c>
      <c r="AC48">
        <v>1.6</v>
      </c>
      <c r="AD48">
        <v>16.100000000000001</v>
      </c>
      <c r="AE48" t="str">
        <f>IF(OR(_nba2122[[#This Row],[G]]&gt;=58,nba2122_advanced[[#This Row],[MP]]&gt;=1000),"Y","N")</f>
        <v>Y</v>
      </c>
      <c r="AF4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3.8824988046632658</v>
      </c>
    </row>
    <row r="49" spans="1:32" x14ac:dyDescent="0.35">
      <c r="A49">
        <v>48</v>
      </c>
      <c r="B49" s="1" t="s">
        <v>106</v>
      </c>
      <c r="C49" s="1" t="s">
        <v>31</v>
      </c>
      <c r="D49">
        <v>29</v>
      </c>
      <c r="E49" s="1" t="s">
        <v>32</v>
      </c>
      <c r="F49">
        <v>55</v>
      </c>
      <c r="G49">
        <v>28</v>
      </c>
      <c r="H49">
        <v>18</v>
      </c>
      <c r="I49">
        <v>1.8</v>
      </c>
      <c r="J49">
        <v>3.6</v>
      </c>
      <c r="K49">
        <v>0.48499999999999999</v>
      </c>
      <c r="L49">
        <v>0</v>
      </c>
      <c r="M49">
        <v>0.3</v>
      </c>
      <c r="N49">
        <v>0</v>
      </c>
      <c r="O49">
        <v>1.8</v>
      </c>
      <c r="P49">
        <v>3.4</v>
      </c>
      <c r="Q49">
        <v>0.52200000000000002</v>
      </c>
      <c r="R49">
        <v>0.48499999999999999</v>
      </c>
      <c r="S49">
        <v>1</v>
      </c>
      <c r="T49">
        <v>1.3</v>
      </c>
      <c r="U49">
        <v>0.746</v>
      </c>
      <c r="V49">
        <v>2.2000000000000002</v>
      </c>
      <c r="W49">
        <v>2.1</v>
      </c>
      <c r="X49">
        <v>4.3</v>
      </c>
      <c r="Y49">
        <v>1</v>
      </c>
      <c r="Z49">
        <v>0.5</v>
      </c>
      <c r="AA49">
        <v>0.5</v>
      </c>
      <c r="AB49">
        <v>0.5</v>
      </c>
      <c r="AC49">
        <v>1.9</v>
      </c>
      <c r="AD49">
        <v>4.5</v>
      </c>
      <c r="AE49" t="str">
        <f>IF(OR(_nba2122[[#This Row],[G]]&gt;=58,nba2122_advanced[[#This Row],[MP]]&gt;=1000),"Y","N")</f>
        <v>N</v>
      </c>
      <c r="AF4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6.9150610840106017</v>
      </c>
    </row>
    <row r="50" spans="1:32" x14ac:dyDescent="0.35">
      <c r="A50">
        <v>49</v>
      </c>
      <c r="B50" s="1" t="s">
        <v>107</v>
      </c>
      <c r="C50" s="1" t="s">
        <v>31</v>
      </c>
      <c r="D50">
        <v>22</v>
      </c>
      <c r="E50" s="1" t="s">
        <v>108</v>
      </c>
      <c r="F50">
        <v>50</v>
      </c>
      <c r="G50">
        <v>16</v>
      </c>
      <c r="H50">
        <v>14.6</v>
      </c>
      <c r="I50">
        <v>2.6</v>
      </c>
      <c r="J50">
        <v>5</v>
      </c>
      <c r="K50">
        <v>0.52</v>
      </c>
      <c r="L50">
        <v>0.5</v>
      </c>
      <c r="M50">
        <v>1.6</v>
      </c>
      <c r="N50">
        <v>0.28799999999999998</v>
      </c>
      <c r="O50">
        <v>2.2000000000000002</v>
      </c>
      <c r="P50">
        <v>3.4</v>
      </c>
      <c r="Q50">
        <v>0.628</v>
      </c>
      <c r="R50">
        <v>0.56499999999999995</v>
      </c>
      <c r="S50">
        <v>1.3</v>
      </c>
      <c r="T50">
        <v>1.9</v>
      </c>
      <c r="U50">
        <v>0.68100000000000005</v>
      </c>
      <c r="V50">
        <v>1.6</v>
      </c>
      <c r="W50">
        <v>2</v>
      </c>
      <c r="X50">
        <v>3.5</v>
      </c>
      <c r="Y50">
        <v>1.1000000000000001</v>
      </c>
      <c r="Z50">
        <v>0.4</v>
      </c>
      <c r="AA50">
        <v>0.8</v>
      </c>
      <c r="AB50">
        <v>0.9</v>
      </c>
      <c r="AC50">
        <v>2.1</v>
      </c>
      <c r="AD50">
        <v>7</v>
      </c>
      <c r="AE50" t="str">
        <f>IF(OR(_nba2122[[#This Row],[G]]&gt;=58,nba2122_advanced[[#This Row],[MP]]&gt;=1000),"Y","N")</f>
        <v>N</v>
      </c>
      <c r="AF5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6.9371109214495803</v>
      </c>
    </row>
    <row r="51" spans="1:32" x14ac:dyDescent="0.35">
      <c r="A51">
        <v>50</v>
      </c>
      <c r="B51" s="1" t="s">
        <v>109</v>
      </c>
      <c r="C51" s="1" t="s">
        <v>31</v>
      </c>
      <c r="D51">
        <v>29</v>
      </c>
      <c r="E51" s="1" t="s">
        <v>68</v>
      </c>
      <c r="F51">
        <v>36</v>
      </c>
      <c r="G51">
        <v>3</v>
      </c>
      <c r="H51">
        <v>14.1</v>
      </c>
      <c r="I51">
        <v>2.4</v>
      </c>
      <c r="J51">
        <v>4</v>
      </c>
      <c r="K51">
        <v>0.59299999999999997</v>
      </c>
      <c r="L51">
        <v>0</v>
      </c>
      <c r="M51">
        <v>0</v>
      </c>
      <c r="O51">
        <v>2.4</v>
      </c>
      <c r="P51">
        <v>4</v>
      </c>
      <c r="Q51">
        <v>0.59299999999999997</v>
      </c>
      <c r="R51">
        <v>0.59299999999999997</v>
      </c>
      <c r="S51">
        <v>1.1000000000000001</v>
      </c>
      <c r="T51">
        <v>2</v>
      </c>
      <c r="U51">
        <v>0.53500000000000003</v>
      </c>
      <c r="V51">
        <v>1.8</v>
      </c>
      <c r="W51">
        <v>2.9</v>
      </c>
      <c r="X51">
        <v>4.5999999999999996</v>
      </c>
      <c r="Y51">
        <v>0.6</v>
      </c>
      <c r="Z51">
        <v>0.3</v>
      </c>
      <c r="AA51">
        <v>0.7</v>
      </c>
      <c r="AB51">
        <v>0.7</v>
      </c>
      <c r="AC51">
        <v>1.9</v>
      </c>
      <c r="AD51">
        <v>5.8</v>
      </c>
      <c r="AE51" t="str">
        <f>IF(OR(_nba2122[[#This Row],[G]]&gt;=58,nba2122_advanced[[#This Row],[MP]]&gt;=1000),"Y","N")</f>
        <v>N</v>
      </c>
      <c r="AF5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10.205123779718237</v>
      </c>
    </row>
    <row r="52" spans="1:32" x14ac:dyDescent="0.35">
      <c r="A52">
        <v>51</v>
      </c>
      <c r="B52" s="1" t="s">
        <v>110</v>
      </c>
      <c r="C52" s="1" t="s">
        <v>31</v>
      </c>
      <c r="D52">
        <v>33</v>
      </c>
      <c r="E52" s="1" t="s">
        <v>111</v>
      </c>
      <c r="F52">
        <v>71</v>
      </c>
      <c r="G52">
        <v>0</v>
      </c>
      <c r="H52">
        <v>16.100000000000001</v>
      </c>
      <c r="I52">
        <v>2.2999999999999998</v>
      </c>
      <c r="J52">
        <v>4.8</v>
      </c>
      <c r="K52">
        <v>0.46800000000000003</v>
      </c>
      <c r="L52">
        <v>0.8</v>
      </c>
      <c r="M52">
        <v>2.1</v>
      </c>
      <c r="N52">
        <v>0.36199999999999999</v>
      </c>
      <c r="O52">
        <v>1.5</v>
      </c>
      <c r="P52">
        <v>2.7</v>
      </c>
      <c r="Q52">
        <v>0.54900000000000004</v>
      </c>
      <c r="R52">
        <v>0.54700000000000004</v>
      </c>
      <c r="S52">
        <v>0.8</v>
      </c>
      <c r="T52">
        <v>1.1000000000000001</v>
      </c>
      <c r="U52">
        <v>0.72799999999999998</v>
      </c>
      <c r="V52">
        <v>0.9</v>
      </c>
      <c r="W52">
        <v>3.3</v>
      </c>
      <c r="X52">
        <v>4.0999999999999996</v>
      </c>
      <c r="Y52">
        <v>2.2000000000000002</v>
      </c>
      <c r="Z52">
        <v>0.6</v>
      </c>
      <c r="AA52">
        <v>0.4</v>
      </c>
      <c r="AB52">
        <v>1.2</v>
      </c>
      <c r="AC52">
        <v>1.8</v>
      </c>
      <c r="AD52">
        <v>6.1</v>
      </c>
      <c r="AE52" t="str">
        <f>IF(OR(_nba2122[[#This Row],[G]]&gt;=58,nba2122_advanced[[#This Row],[MP]]&gt;=1000),"Y","N")</f>
        <v>Y</v>
      </c>
      <c r="AF5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3.7873156436666178</v>
      </c>
    </row>
    <row r="53" spans="1:32" x14ac:dyDescent="0.35">
      <c r="A53">
        <v>52</v>
      </c>
      <c r="B53" s="1" t="s">
        <v>112</v>
      </c>
      <c r="C53" s="1" t="s">
        <v>48</v>
      </c>
      <c r="D53">
        <v>32</v>
      </c>
      <c r="E53" s="1" t="s">
        <v>93</v>
      </c>
      <c r="F53">
        <v>54</v>
      </c>
      <c r="G53">
        <v>29</v>
      </c>
      <c r="H53">
        <v>25.2</v>
      </c>
      <c r="I53">
        <v>3.6</v>
      </c>
      <c r="J53">
        <v>8.6999999999999993</v>
      </c>
      <c r="K53">
        <v>0.42099999999999999</v>
      </c>
      <c r="L53">
        <v>0.9</v>
      </c>
      <c r="M53">
        <v>3</v>
      </c>
      <c r="N53">
        <v>0.313</v>
      </c>
      <c r="O53">
        <v>2.7</v>
      </c>
      <c r="P53">
        <v>5.6</v>
      </c>
      <c r="Q53">
        <v>0.47899999999999998</v>
      </c>
      <c r="R53">
        <v>0.47499999999999998</v>
      </c>
      <c r="S53">
        <v>1.6</v>
      </c>
      <c r="T53">
        <v>2.2000000000000002</v>
      </c>
      <c r="U53">
        <v>0.76100000000000001</v>
      </c>
      <c r="V53">
        <v>0.5</v>
      </c>
      <c r="W53">
        <v>2.9</v>
      </c>
      <c r="X53">
        <v>3.4</v>
      </c>
      <c r="Y53">
        <v>4.2</v>
      </c>
      <c r="Z53">
        <v>1.3</v>
      </c>
      <c r="AA53">
        <v>0.4</v>
      </c>
      <c r="AB53">
        <v>2.1</v>
      </c>
      <c r="AC53">
        <v>1.6</v>
      </c>
      <c r="AD53">
        <v>9.9</v>
      </c>
      <c r="AE53" t="str">
        <f>IF(OR(_nba2122[[#This Row],[G]]&gt;=58,nba2122_advanced[[#This Row],[MP]]&gt;=1000),"Y","N")</f>
        <v>Y</v>
      </c>
      <c r="AF5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5.4295215516965794</v>
      </c>
    </row>
    <row r="54" spans="1:32" x14ac:dyDescent="0.35">
      <c r="A54">
        <v>53</v>
      </c>
      <c r="B54" s="1" t="s">
        <v>113</v>
      </c>
      <c r="C54" s="1" t="s">
        <v>51</v>
      </c>
      <c r="D54">
        <v>26</v>
      </c>
      <c r="E54" s="1" t="s">
        <v>114</v>
      </c>
      <c r="F54">
        <v>31</v>
      </c>
      <c r="G54">
        <v>1</v>
      </c>
      <c r="H54">
        <v>11.3</v>
      </c>
      <c r="I54">
        <v>1.1000000000000001</v>
      </c>
      <c r="J54">
        <v>3.6</v>
      </c>
      <c r="K54">
        <v>0.30599999999999999</v>
      </c>
      <c r="L54">
        <v>0.7</v>
      </c>
      <c r="M54">
        <v>2.2999999999999998</v>
      </c>
      <c r="N54">
        <v>0.29199999999999998</v>
      </c>
      <c r="O54">
        <v>0.4</v>
      </c>
      <c r="P54">
        <v>1.3</v>
      </c>
      <c r="Q54">
        <v>0.33300000000000002</v>
      </c>
      <c r="R54">
        <v>0.40100000000000002</v>
      </c>
      <c r="S54">
        <v>0.2</v>
      </c>
      <c r="T54">
        <v>0.4</v>
      </c>
      <c r="U54">
        <v>0.54500000000000004</v>
      </c>
      <c r="V54">
        <v>0.5</v>
      </c>
      <c r="W54">
        <v>0.9</v>
      </c>
      <c r="X54">
        <v>1.5</v>
      </c>
      <c r="Y54">
        <v>0.6</v>
      </c>
      <c r="Z54">
        <v>0.4</v>
      </c>
      <c r="AA54">
        <v>0</v>
      </c>
      <c r="AB54">
        <v>0.5</v>
      </c>
      <c r="AC54">
        <v>0.9</v>
      </c>
      <c r="AD54">
        <v>3.1</v>
      </c>
      <c r="AE54" t="str">
        <f>IF(OR(_nba2122[[#This Row],[G]]&gt;=58,nba2122_advanced[[#This Row],[MP]]&gt;=1000),"Y","N")</f>
        <v>N</v>
      </c>
      <c r="AF5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10.038245086933296</v>
      </c>
    </row>
    <row r="55" spans="1:32" x14ac:dyDescent="0.35">
      <c r="A55">
        <v>54</v>
      </c>
      <c r="B55" s="1" t="s">
        <v>115</v>
      </c>
      <c r="C55" s="1" t="s">
        <v>41</v>
      </c>
      <c r="D55">
        <v>29</v>
      </c>
      <c r="E55" s="1" t="s">
        <v>80</v>
      </c>
      <c r="F55">
        <v>63</v>
      </c>
      <c r="G55">
        <v>27</v>
      </c>
      <c r="H55">
        <v>29.3</v>
      </c>
      <c r="I55">
        <v>5.4</v>
      </c>
      <c r="J55">
        <v>12.6</v>
      </c>
      <c r="K55">
        <v>0.43099999999999999</v>
      </c>
      <c r="L55">
        <v>2.7</v>
      </c>
      <c r="M55">
        <v>7.3</v>
      </c>
      <c r="N55">
        <v>0.36799999999999999</v>
      </c>
      <c r="O55">
        <v>2.7</v>
      </c>
      <c r="P55">
        <v>5.3</v>
      </c>
      <c r="Q55">
        <v>0.51600000000000001</v>
      </c>
      <c r="R55">
        <v>0.53700000000000003</v>
      </c>
      <c r="S55">
        <v>1.5</v>
      </c>
      <c r="T55">
        <v>1.8</v>
      </c>
      <c r="U55">
        <v>0.84299999999999997</v>
      </c>
      <c r="V55">
        <v>0.5</v>
      </c>
      <c r="W55">
        <v>3.5</v>
      </c>
      <c r="X55">
        <v>4</v>
      </c>
      <c r="Y55">
        <v>3.1</v>
      </c>
      <c r="Z55">
        <v>1.1000000000000001</v>
      </c>
      <c r="AA55">
        <v>0.2</v>
      </c>
      <c r="AB55">
        <v>1.1000000000000001</v>
      </c>
      <c r="AC55">
        <v>2.1</v>
      </c>
      <c r="AD55">
        <v>15.1</v>
      </c>
      <c r="AE55" t="str">
        <f>IF(OR(_nba2122[[#This Row],[G]]&gt;=58,nba2122_advanced[[#This Row],[MP]]&gt;=1000),"Y","N")</f>
        <v>Y</v>
      </c>
      <c r="AF5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4.1651664136667303</v>
      </c>
    </row>
    <row r="56" spans="1:32" x14ac:dyDescent="0.35">
      <c r="A56">
        <v>55</v>
      </c>
      <c r="B56" s="1" t="s">
        <v>116</v>
      </c>
      <c r="C56" s="1" t="s">
        <v>28</v>
      </c>
      <c r="D56">
        <v>32</v>
      </c>
      <c r="E56" s="1" t="s">
        <v>70</v>
      </c>
      <c r="F56">
        <v>69</v>
      </c>
      <c r="G56">
        <v>69</v>
      </c>
      <c r="H56">
        <v>30.9</v>
      </c>
      <c r="I56">
        <v>6.1</v>
      </c>
      <c r="J56">
        <v>13.4</v>
      </c>
      <c r="K56">
        <v>0.45500000000000002</v>
      </c>
      <c r="L56">
        <v>2.6</v>
      </c>
      <c r="M56">
        <v>6.8</v>
      </c>
      <c r="N56">
        <v>0.38700000000000001</v>
      </c>
      <c r="O56">
        <v>3.5</v>
      </c>
      <c r="P56">
        <v>6.7</v>
      </c>
      <c r="Q56">
        <v>0.52400000000000002</v>
      </c>
      <c r="R56">
        <v>0.55200000000000005</v>
      </c>
      <c r="S56">
        <v>3.2</v>
      </c>
      <c r="T56">
        <v>3.8</v>
      </c>
      <c r="U56">
        <v>0.85799999999999998</v>
      </c>
      <c r="V56">
        <v>0.8</v>
      </c>
      <c r="W56">
        <v>3.4</v>
      </c>
      <c r="X56">
        <v>4.3</v>
      </c>
      <c r="Y56">
        <v>1.7</v>
      </c>
      <c r="Z56">
        <v>0.5</v>
      </c>
      <c r="AA56">
        <v>0</v>
      </c>
      <c r="AB56">
        <v>1.7</v>
      </c>
      <c r="AC56">
        <v>1.7</v>
      </c>
      <c r="AD56">
        <v>18.100000000000001</v>
      </c>
      <c r="AE56" t="str">
        <f>IF(OR(_nba2122[[#This Row],[G]]&gt;=58,nba2122_advanced[[#This Row],[MP]]&gt;=1000),"Y","N")</f>
        <v>Y</v>
      </c>
      <c r="AF5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5.8153416638104023</v>
      </c>
    </row>
    <row r="57" spans="1:32" x14ac:dyDescent="0.35">
      <c r="A57">
        <v>56</v>
      </c>
      <c r="B57" s="1" t="s">
        <v>117</v>
      </c>
      <c r="C57" s="1" t="s">
        <v>28</v>
      </c>
      <c r="D57">
        <v>22</v>
      </c>
      <c r="E57" s="1" t="s">
        <v>86</v>
      </c>
      <c r="F57">
        <v>14</v>
      </c>
      <c r="G57">
        <v>0</v>
      </c>
      <c r="H57">
        <v>5.8</v>
      </c>
      <c r="I57">
        <v>1.1000000000000001</v>
      </c>
      <c r="J57">
        <v>1.9</v>
      </c>
      <c r="K57">
        <v>0.55600000000000005</v>
      </c>
      <c r="L57">
        <v>0.1</v>
      </c>
      <c r="M57">
        <v>0.3</v>
      </c>
      <c r="N57">
        <v>0.25</v>
      </c>
      <c r="O57">
        <v>1</v>
      </c>
      <c r="P57">
        <v>1.6</v>
      </c>
      <c r="Q57">
        <v>0.60899999999999999</v>
      </c>
      <c r="R57">
        <v>0.57399999999999995</v>
      </c>
      <c r="S57">
        <v>0.1</v>
      </c>
      <c r="T57">
        <v>0.4</v>
      </c>
      <c r="U57">
        <v>0.4</v>
      </c>
      <c r="V57">
        <v>0.3</v>
      </c>
      <c r="W57">
        <v>1.1000000000000001</v>
      </c>
      <c r="X57">
        <v>1.4</v>
      </c>
      <c r="Y57">
        <v>0.4</v>
      </c>
      <c r="Z57">
        <v>0.1</v>
      </c>
      <c r="AA57">
        <v>0.1</v>
      </c>
      <c r="AB57">
        <v>0.3</v>
      </c>
      <c r="AC57">
        <v>0.3</v>
      </c>
      <c r="AD57">
        <v>2.4</v>
      </c>
      <c r="AE57" t="str">
        <f>IF(OR(_nba2122[[#This Row],[G]]&gt;=58,nba2122_advanced[[#This Row],[MP]]&gt;=1000),"Y","N")</f>
        <v>N</v>
      </c>
      <c r="AF5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9.4718396797579096</v>
      </c>
    </row>
    <row r="58" spans="1:32" x14ac:dyDescent="0.35">
      <c r="A58">
        <v>57</v>
      </c>
      <c r="B58" s="1" t="s">
        <v>118</v>
      </c>
      <c r="C58" s="1" t="s">
        <v>51</v>
      </c>
      <c r="D58">
        <v>21</v>
      </c>
      <c r="E58" s="1" t="s">
        <v>99</v>
      </c>
      <c r="F58">
        <v>35</v>
      </c>
      <c r="G58">
        <v>2</v>
      </c>
      <c r="H58">
        <v>6.9</v>
      </c>
      <c r="I58">
        <v>0.5</v>
      </c>
      <c r="J58">
        <v>1.5</v>
      </c>
      <c r="K58">
        <v>0.315</v>
      </c>
      <c r="L58">
        <v>0.1</v>
      </c>
      <c r="M58">
        <v>0.5</v>
      </c>
      <c r="N58">
        <v>0.27800000000000002</v>
      </c>
      <c r="O58">
        <v>0.3</v>
      </c>
      <c r="P58">
        <v>1</v>
      </c>
      <c r="Q58">
        <v>0.33300000000000002</v>
      </c>
      <c r="R58">
        <v>0.36099999999999999</v>
      </c>
      <c r="S58">
        <v>0.3</v>
      </c>
      <c r="T58">
        <v>0.4</v>
      </c>
      <c r="U58">
        <v>0.84599999999999997</v>
      </c>
      <c r="V58">
        <v>0.5</v>
      </c>
      <c r="W58">
        <v>0.8</v>
      </c>
      <c r="X58">
        <v>1.2</v>
      </c>
      <c r="Y58">
        <v>0.6</v>
      </c>
      <c r="Z58">
        <v>0.2</v>
      </c>
      <c r="AA58">
        <v>0</v>
      </c>
      <c r="AB58">
        <v>0.4</v>
      </c>
      <c r="AC58">
        <v>0.7</v>
      </c>
      <c r="AD58">
        <v>1.4</v>
      </c>
      <c r="AE58" t="str">
        <f>IF(OR(_nba2122[[#This Row],[G]]&gt;=58,nba2122_advanced[[#This Row],[MP]]&gt;=1000),"Y","N")</f>
        <v>N</v>
      </c>
      <c r="AF5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9.7530122540576443</v>
      </c>
    </row>
    <row r="59" spans="1:32" x14ac:dyDescent="0.35">
      <c r="A59">
        <v>58</v>
      </c>
      <c r="B59" s="1" t="s">
        <v>119</v>
      </c>
      <c r="C59" s="1" t="s">
        <v>51</v>
      </c>
      <c r="D59">
        <v>22</v>
      </c>
      <c r="E59" s="1" t="s">
        <v>32</v>
      </c>
      <c r="F59">
        <v>15</v>
      </c>
      <c r="G59">
        <v>0</v>
      </c>
      <c r="H59">
        <v>4.5999999999999996</v>
      </c>
      <c r="I59">
        <v>0.2</v>
      </c>
      <c r="J59">
        <v>0.9</v>
      </c>
      <c r="K59">
        <v>0.23100000000000001</v>
      </c>
      <c r="L59">
        <v>0.1</v>
      </c>
      <c r="M59">
        <v>0.3</v>
      </c>
      <c r="N59">
        <v>0.25</v>
      </c>
      <c r="O59">
        <v>0.1</v>
      </c>
      <c r="P59">
        <v>0.6</v>
      </c>
      <c r="Q59">
        <v>0.222</v>
      </c>
      <c r="R59">
        <v>0.26900000000000002</v>
      </c>
      <c r="S59">
        <v>0.3</v>
      </c>
      <c r="T59">
        <v>0.5</v>
      </c>
      <c r="U59">
        <v>0.625</v>
      </c>
      <c r="V59">
        <v>0.3</v>
      </c>
      <c r="W59">
        <v>0.2</v>
      </c>
      <c r="X59">
        <v>0.5</v>
      </c>
      <c r="Y59">
        <v>0.3</v>
      </c>
      <c r="Z59">
        <v>0.5</v>
      </c>
      <c r="AA59">
        <v>0.1</v>
      </c>
      <c r="AB59">
        <v>0.1</v>
      </c>
      <c r="AC59">
        <v>0.7</v>
      </c>
      <c r="AD59">
        <v>0.8</v>
      </c>
      <c r="AE59" t="str">
        <f>IF(OR(_nba2122[[#This Row],[G]]&gt;=58,nba2122_advanced[[#This Row],[MP]]&gt;=1000),"Y","N")</f>
        <v>N</v>
      </c>
      <c r="AF5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13.810309989633128</v>
      </c>
    </row>
    <row r="60" spans="1:32" x14ac:dyDescent="0.35">
      <c r="A60">
        <v>59</v>
      </c>
      <c r="B60" s="1" t="s">
        <v>120</v>
      </c>
      <c r="C60" s="1" t="s">
        <v>41</v>
      </c>
      <c r="D60">
        <v>25</v>
      </c>
      <c r="E60" s="1" t="s">
        <v>68</v>
      </c>
      <c r="F60">
        <v>68</v>
      </c>
      <c r="G60">
        <v>68</v>
      </c>
      <c r="H60">
        <v>34.5</v>
      </c>
      <c r="I60">
        <v>9.6999999999999993</v>
      </c>
      <c r="J60">
        <v>20.9</v>
      </c>
      <c r="K60">
        <v>0.46600000000000003</v>
      </c>
      <c r="L60">
        <v>2.7</v>
      </c>
      <c r="M60">
        <v>7</v>
      </c>
      <c r="N60">
        <v>0.38300000000000001</v>
      </c>
      <c r="O60">
        <v>7</v>
      </c>
      <c r="P60">
        <v>13.9</v>
      </c>
      <c r="Q60">
        <v>0.50800000000000001</v>
      </c>
      <c r="R60">
        <v>0.53</v>
      </c>
      <c r="S60">
        <v>4.5999999999999996</v>
      </c>
      <c r="T60">
        <v>5.3</v>
      </c>
      <c r="U60">
        <v>0.86799999999999999</v>
      </c>
      <c r="V60">
        <v>0.7</v>
      </c>
      <c r="W60">
        <v>4.4000000000000004</v>
      </c>
      <c r="X60">
        <v>5</v>
      </c>
      <c r="Y60">
        <v>4.8</v>
      </c>
      <c r="Z60">
        <v>1.1000000000000001</v>
      </c>
      <c r="AA60">
        <v>0.4</v>
      </c>
      <c r="AB60">
        <v>2.4</v>
      </c>
      <c r="AC60">
        <v>2.6</v>
      </c>
      <c r="AD60">
        <v>26.8</v>
      </c>
      <c r="AE60" t="str">
        <f>IF(OR(_nba2122[[#This Row],[G]]&gt;=58,nba2122_advanced[[#This Row],[MP]]&gt;=1000),"Y","N")</f>
        <v>Y</v>
      </c>
      <c r="AF6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5.9831350737193505</v>
      </c>
    </row>
    <row r="61" spans="1:32" x14ac:dyDescent="0.35">
      <c r="A61">
        <v>60</v>
      </c>
      <c r="B61" s="1" t="s">
        <v>121</v>
      </c>
      <c r="C61" s="1" t="s">
        <v>41</v>
      </c>
      <c r="D61">
        <v>20</v>
      </c>
      <c r="E61" s="1" t="s">
        <v>93</v>
      </c>
      <c r="F61">
        <v>51</v>
      </c>
      <c r="G61">
        <v>0</v>
      </c>
      <c r="H61">
        <v>14.9</v>
      </c>
      <c r="I61">
        <v>2.5</v>
      </c>
      <c r="J61">
        <v>6.4</v>
      </c>
      <c r="K61">
        <v>0.38500000000000001</v>
      </c>
      <c r="L61">
        <v>0.7</v>
      </c>
      <c r="M61">
        <v>2.2000000000000002</v>
      </c>
      <c r="N61">
        <v>0.30599999999999999</v>
      </c>
      <c r="O61">
        <v>1.8</v>
      </c>
      <c r="P61">
        <v>4.2</v>
      </c>
      <c r="Q61">
        <v>0.42499999999999999</v>
      </c>
      <c r="R61">
        <v>0.437</v>
      </c>
      <c r="S61">
        <v>1.2</v>
      </c>
      <c r="T61">
        <v>1.4</v>
      </c>
      <c r="U61">
        <v>0.81899999999999995</v>
      </c>
      <c r="V61">
        <v>0.3</v>
      </c>
      <c r="W61">
        <v>1.8</v>
      </c>
      <c r="X61">
        <v>2.2000000000000002</v>
      </c>
      <c r="Y61">
        <v>1</v>
      </c>
      <c r="Z61">
        <v>0.5</v>
      </c>
      <c r="AA61">
        <v>0.3</v>
      </c>
      <c r="AB61">
        <v>0.6</v>
      </c>
      <c r="AC61">
        <v>0.8</v>
      </c>
      <c r="AD61">
        <v>6.7</v>
      </c>
      <c r="AE61" t="str">
        <f>IF(OR(_nba2122[[#This Row],[G]]&gt;=58,nba2122_advanced[[#This Row],[MP]]&gt;=1000),"Y","N")</f>
        <v>N</v>
      </c>
      <c r="AF6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5.9779363939094541</v>
      </c>
    </row>
    <row r="62" spans="1:32" x14ac:dyDescent="0.35">
      <c r="A62">
        <v>61</v>
      </c>
      <c r="B62" s="1" t="s">
        <v>122</v>
      </c>
      <c r="C62" s="1" t="s">
        <v>28</v>
      </c>
      <c r="D62">
        <v>29</v>
      </c>
      <c r="E62" s="1" t="s">
        <v>32</v>
      </c>
      <c r="F62">
        <v>80</v>
      </c>
      <c r="G62">
        <v>9</v>
      </c>
      <c r="H62">
        <v>21.1</v>
      </c>
      <c r="I62">
        <v>3.4</v>
      </c>
      <c r="J62">
        <v>7.2</v>
      </c>
      <c r="K62">
        <v>0.46400000000000002</v>
      </c>
      <c r="L62">
        <v>0.9</v>
      </c>
      <c r="M62">
        <v>2.9</v>
      </c>
      <c r="N62">
        <v>0.29699999999999999</v>
      </c>
      <c r="O62">
        <v>2.5</v>
      </c>
      <c r="P62">
        <v>4.4000000000000004</v>
      </c>
      <c r="Q62">
        <v>0.57499999999999996</v>
      </c>
      <c r="R62">
        <v>0.52300000000000002</v>
      </c>
      <c r="S62">
        <v>1.9</v>
      </c>
      <c r="T62">
        <v>2.4</v>
      </c>
      <c r="U62">
        <v>0.77700000000000002</v>
      </c>
      <c r="V62">
        <v>2.2000000000000002</v>
      </c>
      <c r="W62">
        <v>3.9</v>
      </c>
      <c r="X62">
        <v>6.2</v>
      </c>
      <c r="Y62">
        <v>0.3</v>
      </c>
      <c r="Z62">
        <v>0.6</v>
      </c>
      <c r="AA62">
        <v>0.9</v>
      </c>
      <c r="AB62">
        <v>0.5</v>
      </c>
      <c r="AC62">
        <v>2.2000000000000002</v>
      </c>
      <c r="AD62">
        <v>9.4</v>
      </c>
      <c r="AE62" t="str">
        <f>IF(OR(_nba2122[[#This Row],[G]]&gt;=58,nba2122_advanced[[#This Row],[MP]]&gt;=1000),"Y","N")</f>
        <v>Y</v>
      </c>
      <c r="AF6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7.4953879892862512</v>
      </c>
    </row>
    <row r="63" spans="1:32" x14ac:dyDescent="0.35">
      <c r="A63">
        <v>62</v>
      </c>
      <c r="B63" s="1" t="s">
        <v>123</v>
      </c>
      <c r="C63" s="1" t="s">
        <v>41</v>
      </c>
      <c r="D63">
        <v>21</v>
      </c>
      <c r="E63" s="1" t="s">
        <v>73</v>
      </c>
      <c r="F63">
        <v>31</v>
      </c>
      <c r="G63">
        <v>0</v>
      </c>
      <c r="H63">
        <v>9.8000000000000007</v>
      </c>
      <c r="I63">
        <v>1.6</v>
      </c>
      <c r="J63">
        <v>4.5</v>
      </c>
      <c r="K63">
        <v>0.34799999999999998</v>
      </c>
      <c r="L63">
        <v>0.5</v>
      </c>
      <c r="M63">
        <v>1.6</v>
      </c>
      <c r="N63">
        <v>0.34699999999999998</v>
      </c>
      <c r="O63">
        <v>1</v>
      </c>
      <c r="P63">
        <v>3</v>
      </c>
      <c r="Q63">
        <v>0.34799999999999998</v>
      </c>
      <c r="R63">
        <v>0.40799999999999997</v>
      </c>
      <c r="S63">
        <v>0.9</v>
      </c>
      <c r="T63">
        <v>1</v>
      </c>
      <c r="U63">
        <v>0.871</v>
      </c>
      <c r="V63">
        <v>0.7</v>
      </c>
      <c r="W63">
        <v>1</v>
      </c>
      <c r="X63">
        <v>1.7</v>
      </c>
      <c r="Y63">
        <v>0.8</v>
      </c>
      <c r="Z63">
        <v>0.2</v>
      </c>
      <c r="AA63">
        <v>0</v>
      </c>
      <c r="AB63">
        <v>0.5</v>
      </c>
      <c r="AC63">
        <v>0.9</v>
      </c>
      <c r="AD63">
        <v>4.5999999999999996</v>
      </c>
      <c r="AE63" t="str">
        <f>IF(OR(_nba2122[[#This Row],[G]]&gt;=58,nba2122_advanced[[#This Row],[MP]]&gt;=1000),"Y","N")</f>
        <v>N</v>
      </c>
      <c r="AF6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8.0318283900055896</v>
      </c>
    </row>
    <row r="64" spans="1:32" x14ac:dyDescent="0.35">
      <c r="A64">
        <v>63</v>
      </c>
      <c r="B64" s="1" t="s">
        <v>124</v>
      </c>
      <c r="C64" s="1" t="s">
        <v>41</v>
      </c>
      <c r="D64">
        <v>31</v>
      </c>
      <c r="E64" s="1" t="s">
        <v>56</v>
      </c>
      <c r="F64">
        <v>62</v>
      </c>
      <c r="G64">
        <v>45</v>
      </c>
      <c r="H64">
        <v>22.7</v>
      </c>
      <c r="I64">
        <v>2.4</v>
      </c>
      <c r="J64">
        <v>5.6</v>
      </c>
      <c r="K64">
        <v>0.42299999999999999</v>
      </c>
      <c r="L64">
        <v>1.3</v>
      </c>
      <c r="M64">
        <v>3.4</v>
      </c>
      <c r="N64">
        <v>0.39</v>
      </c>
      <c r="O64">
        <v>1.1000000000000001</v>
      </c>
      <c r="P64">
        <v>2.2999999999999998</v>
      </c>
      <c r="Q64">
        <v>0.47099999999999997</v>
      </c>
      <c r="R64">
        <v>0.54</v>
      </c>
      <c r="S64">
        <v>0.3</v>
      </c>
      <c r="T64">
        <v>0.3</v>
      </c>
      <c r="U64">
        <v>0.88900000000000001</v>
      </c>
      <c r="V64">
        <v>0.5</v>
      </c>
      <c r="W64">
        <v>1.7</v>
      </c>
      <c r="X64">
        <v>2.2000000000000002</v>
      </c>
      <c r="Y64">
        <v>0.8</v>
      </c>
      <c r="Z64">
        <v>0.9</v>
      </c>
      <c r="AA64">
        <v>0.1</v>
      </c>
      <c r="AB64">
        <v>0.6</v>
      </c>
      <c r="AC64">
        <v>1.9</v>
      </c>
      <c r="AD64">
        <v>6.4</v>
      </c>
      <c r="AE64" t="str">
        <f>IF(OR(_nba2122[[#This Row],[G]]&gt;=58,nba2122_advanced[[#This Row],[MP]]&gt;=1000),"Y","N")</f>
        <v>Y</v>
      </c>
      <c r="AF6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8.0048920705070969</v>
      </c>
    </row>
    <row r="65" spans="1:32" x14ac:dyDescent="0.35">
      <c r="A65">
        <v>64</v>
      </c>
      <c r="B65" s="1" t="s">
        <v>125</v>
      </c>
      <c r="C65" s="1" t="s">
        <v>31</v>
      </c>
      <c r="D65">
        <v>24</v>
      </c>
      <c r="E65" s="1" t="s">
        <v>75</v>
      </c>
      <c r="F65">
        <v>55</v>
      </c>
      <c r="G65">
        <v>7</v>
      </c>
      <c r="H65">
        <v>10</v>
      </c>
      <c r="I65">
        <v>1.3</v>
      </c>
      <c r="J65">
        <v>2.2000000000000002</v>
      </c>
      <c r="K65">
        <v>0.58499999999999996</v>
      </c>
      <c r="L65">
        <v>0</v>
      </c>
      <c r="M65">
        <v>0</v>
      </c>
      <c r="O65">
        <v>1.3</v>
      </c>
      <c r="P65">
        <v>2.2000000000000002</v>
      </c>
      <c r="Q65">
        <v>0.58499999999999996</v>
      </c>
      <c r="R65">
        <v>0.58499999999999996</v>
      </c>
      <c r="S65">
        <v>0.3</v>
      </c>
      <c r="T65">
        <v>0.5</v>
      </c>
      <c r="U65">
        <v>0.65500000000000003</v>
      </c>
      <c r="V65">
        <v>1.2</v>
      </c>
      <c r="W65">
        <v>2.2000000000000002</v>
      </c>
      <c r="X65">
        <v>3.4</v>
      </c>
      <c r="Y65">
        <v>0.5</v>
      </c>
      <c r="Z65">
        <v>0.2</v>
      </c>
      <c r="AA65">
        <v>0.6</v>
      </c>
      <c r="AB65">
        <v>0.6</v>
      </c>
      <c r="AC65">
        <v>1.1000000000000001</v>
      </c>
      <c r="AD65">
        <v>3</v>
      </c>
      <c r="AE65" t="str">
        <f>IF(OR(_nba2122[[#This Row],[G]]&gt;=58,nba2122_advanced[[#This Row],[MP]]&gt;=1000),"Y","N")</f>
        <v>N</v>
      </c>
      <c r="AF6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11.270153547644288</v>
      </c>
    </row>
    <row r="66" spans="1:32" x14ac:dyDescent="0.35">
      <c r="A66">
        <v>65</v>
      </c>
      <c r="B66" s="1" t="s">
        <v>126</v>
      </c>
      <c r="C66" s="1" t="s">
        <v>51</v>
      </c>
      <c r="D66">
        <v>23</v>
      </c>
      <c r="E66" s="1" t="s">
        <v>58</v>
      </c>
      <c r="F66">
        <v>42</v>
      </c>
      <c r="G66">
        <v>1</v>
      </c>
      <c r="H66">
        <v>12.8</v>
      </c>
      <c r="I66">
        <v>1.9</v>
      </c>
      <c r="J66">
        <v>4.5</v>
      </c>
      <c r="K66">
        <v>0.43099999999999999</v>
      </c>
      <c r="L66">
        <v>0.6</v>
      </c>
      <c r="M66">
        <v>2.1</v>
      </c>
      <c r="N66">
        <v>0.31</v>
      </c>
      <c r="O66">
        <v>1.3</v>
      </c>
      <c r="P66">
        <v>2.4</v>
      </c>
      <c r="Q66">
        <v>0.53500000000000003</v>
      </c>
      <c r="R66">
        <v>0.503</v>
      </c>
      <c r="S66">
        <v>0.5</v>
      </c>
      <c r="T66">
        <v>0.8</v>
      </c>
      <c r="U66">
        <v>0.65600000000000003</v>
      </c>
      <c r="V66">
        <v>0.5</v>
      </c>
      <c r="W66">
        <v>1.2</v>
      </c>
      <c r="X66">
        <v>1.7</v>
      </c>
      <c r="Y66">
        <v>0.9</v>
      </c>
      <c r="Z66">
        <v>0.2</v>
      </c>
      <c r="AA66">
        <v>0.1</v>
      </c>
      <c r="AB66">
        <v>0.4</v>
      </c>
      <c r="AC66">
        <v>1.1000000000000001</v>
      </c>
      <c r="AD66">
        <v>5</v>
      </c>
      <c r="AE66" t="str">
        <f>IF(OR(_nba2122[[#This Row],[G]]&gt;=58,nba2122_advanced[[#This Row],[MP]]&gt;=1000),"Y","N")</f>
        <v>N</v>
      </c>
      <c r="AF6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8.1290256421339411</v>
      </c>
    </row>
    <row r="67" spans="1:32" x14ac:dyDescent="0.35">
      <c r="A67">
        <v>66</v>
      </c>
      <c r="B67" s="1" t="s">
        <v>127</v>
      </c>
      <c r="C67" s="1" t="s">
        <v>51</v>
      </c>
      <c r="D67">
        <v>25</v>
      </c>
      <c r="E67" s="1" t="s">
        <v>68</v>
      </c>
      <c r="F67">
        <v>82</v>
      </c>
      <c r="G67">
        <v>82</v>
      </c>
      <c r="H67">
        <v>34.799999999999997</v>
      </c>
      <c r="I67">
        <v>5.6</v>
      </c>
      <c r="J67">
        <v>10.5</v>
      </c>
      <c r="K67">
        <v>0.53400000000000003</v>
      </c>
      <c r="L67">
        <v>1.4</v>
      </c>
      <c r="M67">
        <v>3.8</v>
      </c>
      <c r="N67">
        <v>0.36899999999999999</v>
      </c>
      <c r="O67">
        <v>4.2</v>
      </c>
      <c r="P67">
        <v>6.7</v>
      </c>
      <c r="Q67">
        <v>0.628</v>
      </c>
      <c r="R67">
        <v>0.60099999999999998</v>
      </c>
      <c r="S67">
        <v>1.6</v>
      </c>
      <c r="T67">
        <v>1.9</v>
      </c>
      <c r="U67">
        <v>0.83399999999999996</v>
      </c>
      <c r="V67">
        <v>0.9</v>
      </c>
      <c r="W67">
        <v>3.3</v>
      </c>
      <c r="X67">
        <v>4.2</v>
      </c>
      <c r="Y67">
        <v>2.2999999999999998</v>
      </c>
      <c r="Z67">
        <v>1.2</v>
      </c>
      <c r="AA67">
        <v>0.4</v>
      </c>
      <c r="AB67">
        <v>0.8</v>
      </c>
      <c r="AC67">
        <v>1.8</v>
      </c>
      <c r="AD67">
        <v>14.2</v>
      </c>
      <c r="AE67" t="str">
        <f>IF(OR(_nba2122[[#This Row],[G]]&gt;=58,nba2122_advanced[[#This Row],[MP]]&gt;=1000),"Y","N")</f>
        <v>Y</v>
      </c>
      <c r="AF6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4.2647692904268624</v>
      </c>
    </row>
    <row r="68" spans="1:32" x14ac:dyDescent="0.35">
      <c r="A68">
        <v>67</v>
      </c>
      <c r="B68" s="1" t="s">
        <v>128</v>
      </c>
      <c r="C68" s="1" t="s">
        <v>28</v>
      </c>
      <c r="D68">
        <v>23</v>
      </c>
      <c r="E68" s="1" t="s">
        <v>73</v>
      </c>
      <c r="F68">
        <v>80</v>
      </c>
      <c r="G68">
        <v>80</v>
      </c>
      <c r="H68">
        <v>35.5</v>
      </c>
      <c r="I68">
        <v>7.5</v>
      </c>
      <c r="J68">
        <v>15.2</v>
      </c>
      <c r="K68">
        <v>0.49099999999999999</v>
      </c>
      <c r="L68">
        <v>1.9</v>
      </c>
      <c r="M68">
        <v>5.8</v>
      </c>
      <c r="N68">
        <v>0.33100000000000002</v>
      </c>
      <c r="O68">
        <v>5.5</v>
      </c>
      <c r="P68">
        <v>9.4</v>
      </c>
      <c r="Q68">
        <v>0.59</v>
      </c>
      <c r="R68">
        <v>0.55400000000000005</v>
      </c>
      <c r="S68">
        <v>3.3</v>
      </c>
      <c r="T68">
        <v>4.2</v>
      </c>
      <c r="U68">
        <v>0.80200000000000005</v>
      </c>
      <c r="V68">
        <v>1.1000000000000001</v>
      </c>
      <c r="W68">
        <v>5.9</v>
      </c>
      <c r="X68">
        <v>7</v>
      </c>
      <c r="Y68">
        <v>3.8</v>
      </c>
      <c r="Z68">
        <v>0.9</v>
      </c>
      <c r="AA68">
        <v>0.8</v>
      </c>
      <c r="AB68">
        <v>1.9</v>
      </c>
      <c r="AC68">
        <v>2.4</v>
      </c>
      <c r="AD68">
        <v>20.2</v>
      </c>
      <c r="AE68" t="str">
        <f>IF(OR(_nba2122[[#This Row],[G]]&gt;=58,nba2122_advanced[[#This Row],[MP]]&gt;=1000),"Y","N")</f>
        <v>Y</v>
      </c>
      <c r="AF6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3.7495203959128789</v>
      </c>
    </row>
    <row r="69" spans="1:32" x14ac:dyDescent="0.35">
      <c r="A69">
        <v>68</v>
      </c>
      <c r="B69" s="1" t="s">
        <v>129</v>
      </c>
      <c r="C69" s="1" t="s">
        <v>51</v>
      </c>
      <c r="D69">
        <v>23</v>
      </c>
      <c r="E69" s="1" t="s">
        <v>108</v>
      </c>
      <c r="F69">
        <v>67</v>
      </c>
      <c r="G69">
        <v>25</v>
      </c>
      <c r="H69">
        <v>23.3</v>
      </c>
      <c r="I69">
        <v>3.1</v>
      </c>
      <c r="J69">
        <v>7.6</v>
      </c>
      <c r="K69">
        <v>0.41099999999999998</v>
      </c>
      <c r="L69">
        <v>1.2</v>
      </c>
      <c r="M69">
        <v>3.5</v>
      </c>
      <c r="N69">
        <v>0.35</v>
      </c>
      <c r="O69">
        <v>1.9</v>
      </c>
      <c r="P69">
        <v>4</v>
      </c>
      <c r="Q69">
        <v>0.46500000000000002</v>
      </c>
      <c r="R69">
        <v>0.49299999999999999</v>
      </c>
      <c r="S69">
        <v>1.7</v>
      </c>
      <c r="T69">
        <v>2.4</v>
      </c>
      <c r="U69">
        <v>0.69499999999999995</v>
      </c>
      <c r="V69">
        <v>1.6</v>
      </c>
      <c r="W69">
        <v>3.7</v>
      </c>
      <c r="X69">
        <v>5.3</v>
      </c>
      <c r="Y69">
        <v>1.1000000000000001</v>
      </c>
      <c r="Z69">
        <v>0.7</v>
      </c>
      <c r="AA69">
        <v>0.4</v>
      </c>
      <c r="AB69">
        <v>0.8</v>
      </c>
      <c r="AC69">
        <v>1.7</v>
      </c>
      <c r="AD69">
        <v>9.1</v>
      </c>
      <c r="AE69" t="str">
        <f>IF(OR(_nba2122[[#This Row],[G]]&gt;=58,nba2122_advanced[[#This Row],[MP]]&gt;=1000),"Y","N")</f>
        <v>Y</v>
      </c>
      <c r="AF6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4.4351770027819368</v>
      </c>
    </row>
    <row r="70" spans="1:32" x14ac:dyDescent="0.35">
      <c r="A70">
        <v>69</v>
      </c>
      <c r="B70" s="1" t="s">
        <v>130</v>
      </c>
      <c r="C70" s="1" t="s">
        <v>48</v>
      </c>
      <c r="D70">
        <v>29</v>
      </c>
      <c r="E70" s="1" t="s">
        <v>108</v>
      </c>
      <c r="F70">
        <v>36</v>
      </c>
      <c r="G70">
        <v>36</v>
      </c>
      <c r="H70">
        <v>33.5</v>
      </c>
      <c r="I70">
        <v>6.8</v>
      </c>
      <c r="J70">
        <v>15.1</v>
      </c>
      <c r="K70">
        <v>0.44800000000000001</v>
      </c>
      <c r="L70">
        <v>1.6</v>
      </c>
      <c r="M70">
        <v>5.2</v>
      </c>
      <c r="N70">
        <v>0.312</v>
      </c>
      <c r="O70">
        <v>5.0999999999999996</v>
      </c>
      <c r="P70">
        <v>9.9</v>
      </c>
      <c r="Q70">
        <v>0.51800000000000002</v>
      </c>
      <c r="R70">
        <v>0.501</v>
      </c>
      <c r="S70">
        <v>4</v>
      </c>
      <c r="T70">
        <v>4.5999999999999996</v>
      </c>
      <c r="U70">
        <v>0.85599999999999998</v>
      </c>
      <c r="V70">
        <v>0.9</v>
      </c>
      <c r="W70">
        <v>4.2</v>
      </c>
      <c r="X70">
        <v>5.0999999999999996</v>
      </c>
      <c r="Y70">
        <v>5.9</v>
      </c>
      <c r="Z70">
        <v>0.8</v>
      </c>
      <c r="AA70">
        <v>0.4</v>
      </c>
      <c r="AB70">
        <v>2.1</v>
      </c>
      <c r="AC70">
        <v>2</v>
      </c>
      <c r="AD70">
        <v>19.100000000000001</v>
      </c>
      <c r="AE70" t="str">
        <f>IF(OR(_nba2122[[#This Row],[G]]&gt;=58,nba2122_advanced[[#This Row],[MP]]&gt;=1000),"Y","N")</f>
        <v>Y</v>
      </c>
      <c r="AF7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5.0319367422717507</v>
      </c>
    </row>
    <row r="71" spans="1:32" x14ac:dyDescent="0.35">
      <c r="A71">
        <v>70</v>
      </c>
      <c r="B71" s="2" t="s">
        <v>131</v>
      </c>
      <c r="C71" s="1" t="s">
        <v>41</v>
      </c>
      <c r="D71">
        <v>23</v>
      </c>
      <c r="E71" s="1" t="s">
        <v>42</v>
      </c>
      <c r="F71">
        <v>54</v>
      </c>
      <c r="G71">
        <v>11</v>
      </c>
      <c r="H71">
        <v>15.6</v>
      </c>
      <c r="I71">
        <v>1.8</v>
      </c>
      <c r="J71">
        <v>5.4</v>
      </c>
      <c r="K71">
        <v>0.33900000000000002</v>
      </c>
      <c r="L71">
        <v>1.4</v>
      </c>
      <c r="M71">
        <v>4.5999999999999996</v>
      </c>
      <c r="N71">
        <v>0.29699999999999999</v>
      </c>
      <c r="O71">
        <v>0.4</v>
      </c>
      <c r="P71">
        <v>0.7</v>
      </c>
      <c r="Q71">
        <v>0.6</v>
      </c>
      <c r="R71">
        <v>0.46700000000000003</v>
      </c>
      <c r="S71">
        <v>0.3</v>
      </c>
      <c r="T71">
        <v>0.4</v>
      </c>
      <c r="U71">
        <v>0.85699999999999998</v>
      </c>
      <c r="V71">
        <v>0.4</v>
      </c>
      <c r="W71">
        <v>1.5</v>
      </c>
      <c r="X71">
        <v>1.9</v>
      </c>
      <c r="Y71">
        <v>1.1000000000000001</v>
      </c>
      <c r="Z71">
        <v>0.5</v>
      </c>
      <c r="AA71">
        <v>0.2</v>
      </c>
      <c r="AB71">
        <v>0.5</v>
      </c>
      <c r="AC71">
        <v>1.4</v>
      </c>
      <c r="AD71">
        <v>5.3</v>
      </c>
      <c r="AE71" t="str">
        <f>IF(OR(_nba2122[[#This Row],[G]]&gt;=58,nba2122_advanced[[#This Row],[MP]]&gt;=1000),"Y","N")</f>
        <v>N</v>
      </c>
      <c r="AF7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8.2563600034420244</v>
      </c>
    </row>
    <row r="72" spans="1:32" x14ac:dyDescent="0.35">
      <c r="A72">
        <v>71</v>
      </c>
      <c r="B72" s="1" t="s">
        <v>133</v>
      </c>
      <c r="C72" s="1" t="s">
        <v>51</v>
      </c>
      <c r="D72">
        <v>26</v>
      </c>
      <c r="E72" s="1" t="s">
        <v>34</v>
      </c>
      <c r="F72">
        <v>32</v>
      </c>
      <c r="G72">
        <v>31</v>
      </c>
      <c r="H72">
        <v>27.7</v>
      </c>
      <c r="I72">
        <v>7.1</v>
      </c>
      <c r="J72">
        <v>16.399999999999999</v>
      </c>
      <c r="K72">
        <v>0.432</v>
      </c>
      <c r="L72">
        <v>1.4</v>
      </c>
      <c r="M72">
        <v>4.7</v>
      </c>
      <c r="N72">
        <v>0.309</v>
      </c>
      <c r="O72">
        <v>5.7</v>
      </c>
      <c r="P72">
        <v>11.8</v>
      </c>
      <c r="Q72">
        <v>0.48</v>
      </c>
      <c r="R72">
        <v>0.47499999999999998</v>
      </c>
      <c r="S72">
        <v>2.8</v>
      </c>
      <c r="T72">
        <v>3.3</v>
      </c>
      <c r="U72">
        <v>0.84899999999999998</v>
      </c>
      <c r="V72">
        <v>0.9</v>
      </c>
      <c r="W72">
        <v>2.2999999999999998</v>
      </c>
      <c r="X72">
        <v>3.2</v>
      </c>
      <c r="Y72">
        <v>2.8</v>
      </c>
      <c r="Z72">
        <v>1.1000000000000001</v>
      </c>
      <c r="AA72">
        <v>0.3</v>
      </c>
      <c r="AB72">
        <v>1.6</v>
      </c>
      <c r="AC72">
        <v>3.3</v>
      </c>
      <c r="AD72">
        <v>18.399999999999999</v>
      </c>
      <c r="AE72" t="str">
        <f>IF(OR(_nba2122[[#This Row],[G]]&gt;=58,nba2122_advanced[[#This Row],[MP]]&gt;=1000),"Y","N")</f>
        <v>N</v>
      </c>
      <c r="AF7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5.0295917369913372</v>
      </c>
    </row>
    <row r="73" spans="1:32" x14ac:dyDescent="0.35">
      <c r="A73">
        <v>72</v>
      </c>
      <c r="B73" s="1" t="s">
        <v>134</v>
      </c>
      <c r="C73" s="1" t="s">
        <v>51</v>
      </c>
      <c r="D73">
        <v>25</v>
      </c>
      <c r="E73" s="1" t="s">
        <v>39</v>
      </c>
      <c r="F73">
        <v>72</v>
      </c>
      <c r="G73">
        <v>45</v>
      </c>
      <c r="H73">
        <v>24.6</v>
      </c>
      <c r="I73">
        <v>3.6</v>
      </c>
      <c r="J73">
        <v>7</v>
      </c>
      <c r="K73">
        <v>0.50600000000000001</v>
      </c>
      <c r="L73">
        <v>0.5</v>
      </c>
      <c r="M73">
        <v>1.3</v>
      </c>
      <c r="N73">
        <v>0.40400000000000003</v>
      </c>
      <c r="O73">
        <v>3</v>
      </c>
      <c r="P73">
        <v>5.7</v>
      </c>
      <c r="Q73">
        <v>0.52900000000000003</v>
      </c>
      <c r="R73">
        <v>0.54300000000000004</v>
      </c>
      <c r="S73">
        <v>1.3</v>
      </c>
      <c r="T73">
        <v>1.8</v>
      </c>
      <c r="U73">
        <v>0.75800000000000001</v>
      </c>
      <c r="V73">
        <v>1.4</v>
      </c>
      <c r="W73">
        <v>3.4</v>
      </c>
      <c r="X73">
        <v>4.8</v>
      </c>
      <c r="Y73">
        <v>2.1</v>
      </c>
      <c r="Z73">
        <v>1.1000000000000001</v>
      </c>
      <c r="AA73">
        <v>0.7</v>
      </c>
      <c r="AB73">
        <v>0.8</v>
      </c>
      <c r="AC73">
        <v>2.4</v>
      </c>
      <c r="AD73">
        <v>9</v>
      </c>
      <c r="AE73" t="str">
        <f>IF(OR(_nba2122[[#This Row],[G]]&gt;=58,nba2122_advanced[[#This Row],[MP]]&gt;=1000),"Y","N")</f>
        <v>Y</v>
      </c>
      <c r="AF7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4.2966120235231058</v>
      </c>
    </row>
    <row r="74" spans="1:32" x14ac:dyDescent="0.35">
      <c r="A74">
        <v>73</v>
      </c>
      <c r="B74" s="1" t="s">
        <v>135</v>
      </c>
      <c r="C74" s="1" t="s">
        <v>41</v>
      </c>
      <c r="D74">
        <v>24</v>
      </c>
      <c r="E74" s="1" t="s">
        <v>42</v>
      </c>
      <c r="F74">
        <v>22</v>
      </c>
      <c r="G74">
        <v>2</v>
      </c>
      <c r="H74">
        <v>8</v>
      </c>
      <c r="I74">
        <v>0.5</v>
      </c>
      <c r="J74">
        <v>1.8</v>
      </c>
      <c r="K74">
        <v>0.25600000000000001</v>
      </c>
      <c r="L74">
        <v>0</v>
      </c>
      <c r="M74">
        <v>0.5</v>
      </c>
      <c r="N74">
        <v>8.3000000000000004E-2</v>
      </c>
      <c r="O74">
        <v>0.4</v>
      </c>
      <c r="P74">
        <v>1.2</v>
      </c>
      <c r="Q74">
        <v>0.33300000000000002</v>
      </c>
      <c r="R74">
        <v>0.26900000000000002</v>
      </c>
      <c r="S74">
        <v>0.4</v>
      </c>
      <c r="T74">
        <v>0.5</v>
      </c>
      <c r="U74">
        <v>0.9</v>
      </c>
      <c r="V74">
        <v>0.6</v>
      </c>
      <c r="W74">
        <v>0.8</v>
      </c>
      <c r="X74">
        <v>1.5</v>
      </c>
      <c r="Y74">
        <v>0.3</v>
      </c>
      <c r="Z74">
        <v>0.5</v>
      </c>
      <c r="AA74">
        <v>0.2</v>
      </c>
      <c r="AB74">
        <v>0.2</v>
      </c>
      <c r="AC74">
        <v>0.8</v>
      </c>
      <c r="AD74">
        <v>1.4</v>
      </c>
      <c r="AE74" t="str">
        <f>IF(OR(_nba2122[[#This Row],[G]]&gt;=58,nba2122_advanced[[#This Row],[MP]]&gt;=1000),"Y","N")</f>
        <v>N</v>
      </c>
      <c r="AF7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9.6966783782198416</v>
      </c>
    </row>
    <row r="75" spans="1:32" x14ac:dyDescent="0.35">
      <c r="A75">
        <v>74</v>
      </c>
      <c r="B75" s="2" t="s">
        <v>136</v>
      </c>
      <c r="C75" s="1" t="s">
        <v>41</v>
      </c>
      <c r="D75">
        <v>23</v>
      </c>
      <c r="E75" s="1" t="s">
        <v>42</v>
      </c>
      <c r="F75">
        <v>5</v>
      </c>
      <c r="G75">
        <v>2</v>
      </c>
      <c r="H75">
        <v>20.8</v>
      </c>
      <c r="I75">
        <v>2</v>
      </c>
      <c r="J75">
        <v>6.4</v>
      </c>
      <c r="K75">
        <v>0.313</v>
      </c>
      <c r="L75">
        <v>1.2</v>
      </c>
      <c r="M75">
        <v>3.6</v>
      </c>
      <c r="N75">
        <v>0.33300000000000002</v>
      </c>
      <c r="O75">
        <v>0.8</v>
      </c>
      <c r="P75">
        <v>2.8</v>
      </c>
      <c r="Q75">
        <v>0.28599999999999998</v>
      </c>
      <c r="R75">
        <v>0.40600000000000003</v>
      </c>
      <c r="S75">
        <v>1</v>
      </c>
      <c r="T75">
        <v>1.2</v>
      </c>
      <c r="U75">
        <v>0.83299999999999996</v>
      </c>
      <c r="V75">
        <v>0.2</v>
      </c>
      <c r="W75">
        <v>3</v>
      </c>
      <c r="X75">
        <v>3.2</v>
      </c>
      <c r="Y75">
        <v>0.8</v>
      </c>
      <c r="Z75">
        <v>0.4</v>
      </c>
      <c r="AA75">
        <v>0</v>
      </c>
      <c r="AB75">
        <v>0.2</v>
      </c>
      <c r="AC75">
        <v>1.4</v>
      </c>
      <c r="AD75">
        <v>6.2</v>
      </c>
      <c r="AE75" t="str">
        <f>IF(OR(_nba2122[[#This Row],[G]]&gt;=58,nba2122_advanced[[#This Row],[MP]]&gt;=1000),"Y","N")</f>
        <v>N</v>
      </c>
      <c r="AF7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9.4272829615244085</v>
      </c>
    </row>
    <row r="76" spans="1:32" x14ac:dyDescent="0.35">
      <c r="A76">
        <v>75</v>
      </c>
      <c r="B76" s="1" t="s">
        <v>138</v>
      </c>
      <c r="C76" s="1" t="s">
        <v>51</v>
      </c>
      <c r="D76">
        <v>20</v>
      </c>
      <c r="E76" s="1" t="s">
        <v>114</v>
      </c>
      <c r="F76">
        <v>48</v>
      </c>
      <c r="G76">
        <v>6</v>
      </c>
      <c r="H76">
        <v>13.3</v>
      </c>
      <c r="I76">
        <v>1.7</v>
      </c>
      <c r="J76">
        <v>4</v>
      </c>
      <c r="K76">
        <v>0.42599999999999999</v>
      </c>
      <c r="L76">
        <v>0.4</v>
      </c>
      <c r="M76">
        <v>1.3</v>
      </c>
      <c r="N76">
        <v>0.311</v>
      </c>
      <c r="O76">
        <v>1.3</v>
      </c>
      <c r="P76">
        <v>2.7</v>
      </c>
      <c r="Q76">
        <v>0.48099999999999998</v>
      </c>
      <c r="R76">
        <v>0.47599999999999998</v>
      </c>
      <c r="S76">
        <v>0.9</v>
      </c>
      <c r="T76">
        <v>1.4</v>
      </c>
      <c r="U76">
        <v>0.67700000000000005</v>
      </c>
      <c r="V76">
        <v>0.8</v>
      </c>
      <c r="W76">
        <v>2</v>
      </c>
      <c r="X76">
        <v>2.8</v>
      </c>
      <c r="Y76">
        <v>0.7</v>
      </c>
      <c r="Z76">
        <v>0.5</v>
      </c>
      <c r="AA76">
        <v>0.5</v>
      </c>
      <c r="AB76">
        <v>0.8</v>
      </c>
      <c r="AC76">
        <v>1.9</v>
      </c>
      <c r="AD76">
        <v>4.7</v>
      </c>
      <c r="AE76" t="str">
        <f>IF(OR(_nba2122[[#This Row],[G]]&gt;=58,nba2122_advanced[[#This Row],[MP]]&gt;=1000),"Y","N")</f>
        <v>N</v>
      </c>
      <c r="AF7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6.3983738931102039</v>
      </c>
    </row>
    <row r="77" spans="1:32" x14ac:dyDescent="0.35">
      <c r="A77">
        <v>76</v>
      </c>
      <c r="B77" s="1" t="s">
        <v>139</v>
      </c>
      <c r="C77" s="1" t="s">
        <v>51</v>
      </c>
      <c r="D77">
        <v>25</v>
      </c>
      <c r="E77" s="1" t="s">
        <v>140</v>
      </c>
      <c r="F77">
        <v>66</v>
      </c>
      <c r="G77">
        <v>66</v>
      </c>
      <c r="H77">
        <v>33.6</v>
      </c>
      <c r="I77">
        <v>8.6999999999999993</v>
      </c>
      <c r="J77">
        <v>18.399999999999999</v>
      </c>
      <c r="K77">
        <v>0.47299999999999998</v>
      </c>
      <c r="L77">
        <v>2.5</v>
      </c>
      <c r="M77">
        <v>7</v>
      </c>
      <c r="N77">
        <v>0.35799999999999998</v>
      </c>
      <c r="O77">
        <v>6.2</v>
      </c>
      <c r="P77">
        <v>11.4</v>
      </c>
      <c r="Q77">
        <v>0.54400000000000004</v>
      </c>
      <c r="R77">
        <v>0.54100000000000004</v>
      </c>
      <c r="S77">
        <v>3.7</v>
      </c>
      <c r="T77">
        <v>4.8</v>
      </c>
      <c r="U77">
        <v>0.75800000000000001</v>
      </c>
      <c r="V77">
        <v>0.8</v>
      </c>
      <c r="W77">
        <v>5.3</v>
      </c>
      <c r="X77">
        <v>6.1</v>
      </c>
      <c r="Y77">
        <v>3.5</v>
      </c>
      <c r="Z77">
        <v>1.1000000000000001</v>
      </c>
      <c r="AA77">
        <v>0.3</v>
      </c>
      <c r="AB77">
        <v>2.7</v>
      </c>
      <c r="AC77">
        <v>2.5</v>
      </c>
      <c r="AD77">
        <v>23.6</v>
      </c>
      <c r="AE77" t="str">
        <f>IF(OR(_nba2122[[#This Row],[G]]&gt;=58,nba2122_advanced[[#This Row],[MP]]&gt;=1000),"Y","N")</f>
        <v>Y</v>
      </c>
      <c r="AF7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4.8808927275164899</v>
      </c>
    </row>
    <row r="78" spans="1:32" x14ac:dyDescent="0.35">
      <c r="A78">
        <v>77</v>
      </c>
      <c r="B78" s="1" t="s">
        <v>141</v>
      </c>
      <c r="C78" s="1" t="s">
        <v>31</v>
      </c>
      <c r="D78">
        <v>22</v>
      </c>
      <c r="E78" s="1" t="s">
        <v>42</v>
      </c>
      <c r="F78">
        <v>40</v>
      </c>
      <c r="G78">
        <v>6</v>
      </c>
      <c r="H78">
        <v>8.6</v>
      </c>
      <c r="I78">
        <v>1.6</v>
      </c>
      <c r="J78">
        <v>2.7</v>
      </c>
      <c r="K78">
        <v>0.59299999999999997</v>
      </c>
      <c r="L78">
        <v>0</v>
      </c>
      <c r="M78">
        <v>0</v>
      </c>
      <c r="O78">
        <v>1.6</v>
      </c>
      <c r="P78">
        <v>2.7</v>
      </c>
      <c r="Q78">
        <v>0.59299999999999997</v>
      </c>
      <c r="R78">
        <v>0.59299999999999997</v>
      </c>
      <c r="S78">
        <v>1.1000000000000001</v>
      </c>
      <c r="T78">
        <v>1.8</v>
      </c>
      <c r="U78">
        <v>0.59699999999999998</v>
      </c>
      <c r="V78">
        <v>1</v>
      </c>
      <c r="W78">
        <v>2.4</v>
      </c>
      <c r="X78">
        <v>3.4</v>
      </c>
      <c r="Y78">
        <v>0</v>
      </c>
      <c r="Z78">
        <v>0.2</v>
      </c>
      <c r="AA78">
        <v>0.4</v>
      </c>
      <c r="AB78">
        <v>0.5</v>
      </c>
      <c r="AC78">
        <v>1.3</v>
      </c>
      <c r="AD78">
        <v>4.3</v>
      </c>
      <c r="AE78" t="str">
        <f>IF(OR(_nba2122[[#This Row],[G]]&gt;=58,nba2122_advanced[[#This Row],[MP]]&gt;=1000),"Y","N")</f>
        <v>N</v>
      </c>
      <c r="AF7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12.437285682472012</v>
      </c>
    </row>
    <row r="79" spans="1:32" x14ac:dyDescent="0.35">
      <c r="A79">
        <v>78</v>
      </c>
      <c r="B79" s="1" t="s">
        <v>142</v>
      </c>
      <c r="C79" s="1" t="s">
        <v>41</v>
      </c>
      <c r="D79">
        <v>26</v>
      </c>
      <c r="E79" s="1" t="s">
        <v>143</v>
      </c>
      <c r="F79">
        <v>49</v>
      </c>
      <c r="G79">
        <v>3</v>
      </c>
      <c r="H79">
        <v>12.8</v>
      </c>
      <c r="I79">
        <v>1.2</v>
      </c>
      <c r="J79">
        <v>3.2</v>
      </c>
      <c r="K79">
        <v>0.38100000000000001</v>
      </c>
      <c r="L79">
        <v>0.6</v>
      </c>
      <c r="M79">
        <v>1.9</v>
      </c>
      <c r="N79">
        <v>0.30399999999999999</v>
      </c>
      <c r="O79">
        <v>0.6</v>
      </c>
      <c r="P79">
        <v>1.3</v>
      </c>
      <c r="Q79">
        <v>0.49199999999999999</v>
      </c>
      <c r="R79">
        <v>0.47099999999999997</v>
      </c>
      <c r="S79">
        <v>0.3</v>
      </c>
      <c r="T79">
        <v>0.3</v>
      </c>
      <c r="U79">
        <v>0.93300000000000005</v>
      </c>
      <c r="V79">
        <v>0.5</v>
      </c>
      <c r="W79">
        <v>2.5</v>
      </c>
      <c r="X79">
        <v>3</v>
      </c>
      <c r="Y79">
        <v>0.7</v>
      </c>
      <c r="Z79">
        <v>0.3</v>
      </c>
      <c r="AA79">
        <v>0.1</v>
      </c>
      <c r="AB79">
        <v>0.5</v>
      </c>
      <c r="AC79">
        <v>1.1000000000000001</v>
      </c>
      <c r="AD79">
        <v>3.3</v>
      </c>
      <c r="AE79" t="str">
        <f>IF(OR(_nba2122[[#This Row],[G]]&gt;=58,nba2122_advanced[[#This Row],[MP]]&gt;=1000),"Y","N")</f>
        <v>N</v>
      </c>
      <c r="AF7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8.609963674122044</v>
      </c>
    </row>
    <row r="80" spans="1:32" x14ac:dyDescent="0.35">
      <c r="A80">
        <v>79</v>
      </c>
      <c r="B80" s="1" t="s">
        <v>144</v>
      </c>
      <c r="C80" s="1" t="s">
        <v>51</v>
      </c>
      <c r="D80">
        <v>22</v>
      </c>
      <c r="E80" s="1" t="s">
        <v>75</v>
      </c>
      <c r="F80">
        <v>66</v>
      </c>
      <c r="G80">
        <v>7</v>
      </c>
      <c r="H80">
        <v>16</v>
      </c>
      <c r="I80">
        <v>1.6</v>
      </c>
      <c r="J80">
        <v>3.9</v>
      </c>
      <c r="K80">
        <v>0.41899999999999998</v>
      </c>
      <c r="L80">
        <v>0.7</v>
      </c>
      <c r="M80">
        <v>2</v>
      </c>
      <c r="N80">
        <v>0.35299999999999998</v>
      </c>
      <c r="O80">
        <v>0.9</v>
      </c>
      <c r="P80">
        <v>1.9</v>
      </c>
      <c r="Q80">
        <v>0.48799999999999999</v>
      </c>
      <c r="R80">
        <v>0.51</v>
      </c>
      <c r="S80">
        <v>0.3</v>
      </c>
      <c r="T80">
        <v>0.4</v>
      </c>
      <c r="U80">
        <v>0.76900000000000002</v>
      </c>
      <c r="V80">
        <v>0.6</v>
      </c>
      <c r="W80">
        <v>2.5</v>
      </c>
      <c r="X80">
        <v>3.1</v>
      </c>
      <c r="Y80">
        <v>1</v>
      </c>
      <c r="Z80">
        <v>0.5</v>
      </c>
      <c r="AA80">
        <v>0.1</v>
      </c>
      <c r="AB80">
        <v>0.4</v>
      </c>
      <c r="AC80">
        <v>0.9</v>
      </c>
      <c r="AD80">
        <v>4.3</v>
      </c>
      <c r="AE80" t="str">
        <f>IF(OR(_nba2122[[#This Row],[G]]&gt;=58,nba2122_advanced[[#This Row],[MP]]&gt;=1000),"Y","N")</f>
        <v>Y</v>
      </c>
      <c r="AF8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7.6442145364402405</v>
      </c>
    </row>
    <row r="81" spans="1:32" x14ac:dyDescent="0.35">
      <c r="A81">
        <v>80</v>
      </c>
      <c r="B81" s="1" t="s">
        <v>145</v>
      </c>
      <c r="C81" s="1" t="s">
        <v>48</v>
      </c>
      <c r="D81">
        <v>25</v>
      </c>
      <c r="E81" s="1" t="s">
        <v>143</v>
      </c>
      <c r="F81">
        <v>79</v>
      </c>
      <c r="G81">
        <v>61</v>
      </c>
      <c r="H81">
        <v>31.9</v>
      </c>
      <c r="I81">
        <v>6.4</v>
      </c>
      <c r="J81">
        <v>12.8</v>
      </c>
      <c r="K81">
        <v>0.502</v>
      </c>
      <c r="L81">
        <v>1.2</v>
      </c>
      <c r="M81">
        <v>3.2</v>
      </c>
      <c r="N81">
        <v>0.373</v>
      </c>
      <c r="O81">
        <v>5.2</v>
      </c>
      <c r="P81">
        <v>9.6</v>
      </c>
      <c r="Q81">
        <v>0.54500000000000004</v>
      </c>
      <c r="R81">
        <v>0.54900000000000004</v>
      </c>
      <c r="S81">
        <v>2.2999999999999998</v>
      </c>
      <c r="T81">
        <v>2.7</v>
      </c>
      <c r="U81">
        <v>0.84</v>
      </c>
      <c r="V81">
        <v>0.5</v>
      </c>
      <c r="W81">
        <v>3.4</v>
      </c>
      <c r="X81">
        <v>3.9</v>
      </c>
      <c r="Y81">
        <v>4.8</v>
      </c>
      <c r="Z81">
        <v>0.8</v>
      </c>
      <c r="AA81">
        <v>0</v>
      </c>
      <c r="AB81">
        <v>1.6</v>
      </c>
      <c r="AC81">
        <v>1.9</v>
      </c>
      <c r="AD81">
        <v>16.3</v>
      </c>
      <c r="AE81" t="str">
        <f>IF(OR(_nba2122[[#This Row],[G]]&gt;=58,nba2122_advanced[[#This Row],[MP]]&gt;=1000),"Y","N")</f>
        <v>Y</v>
      </c>
      <c r="AF8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5.4736740908547921</v>
      </c>
    </row>
    <row r="82" spans="1:32" x14ac:dyDescent="0.35">
      <c r="A82">
        <v>81</v>
      </c>
      <c r="B82" s="1" t="s">
        <v>146</v>
      </c>
      <c r="C82" s="1" t="s">
        <v>31</v>
      </c>
      <c r="D82">
        <v>24</v>
      </c>
      <c r="E82" s="1" t="s">
        <v>65</v>
      </c>
      <c r="F82">
        <v>27</v>
      </c>
      <c r="G82">
        <v>9</v>
      </c>
      <c r="H82">
        <v>16.3</v>
      </c>
      <c r="I82">
        <v>2.9</v>
      </c>
      <c r="J82">
        <v>5.5</v>
      </c>
      <c r="K82">
        <v>0.52</v>
      </c>
      <c r="L82">
        <v>0.4</v>
      </c>
      <c r="M82">
        <v>1.6</v>
      </c>
      <c r="N82">
        <v>0.28599999999999998</v>
      </c>
      <c r="O82">
        <v>2.4</v>
      </c>
      <c r="P82">
        <v>3.9</v>
      </c>
      <c r="Q82">
        <v>0.61299999999999999</v>
      </c>
      <c r="R82">
        <v>0.56100000000000005</v>
      </c>
      <c r="S82">
        <v>1.3</v>
      </c>
      <c r="T82">
        <v>1.5</v>
      </c>
      <c r="U82">
        <v>0.875</v>
      </c>
      <c r="V82">
        <v>1</v>
      </c>
      <c r="W82">
        <v>3</v>
      </c>
      <c r="X82">
        <v>4</v>
      </c>
      <c r="Y82">
        <v>0.9</v>
      </c>
      <c r="Z82">
        <v>0.2</v>
      </c>
      <c r="AA82">
        <v>0.8</v>
      </c>
      <c r="AB82">
        <v>0.7</v>
      </c>
      <c r="AC82">
        <v>1.6</v>
      </c>
      <c r="AD82">
        <v>7.4</v>
      </c>
      <c r="AE82" t="str">
        <f>IF(OR(_nba2122[[#This Row],[G]]&gt;=58,nba2122_advanced[[#This Row],[MP]]&gt;=1000),"Y","N")</f>
        <v>N</v>
      </c>
      <c r="AF8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7.2045948147819683</v>
      </c>
    </row>
    <row r="83" spans="1:32" x14ac:dyDescent="0.35">
      <c r="A83">
        <v>82</v>
      </c>
      <c r="B83" s="1" t="s">
        <v>147</v>
      </c>
      <c r="C83" s="1" t="s">
        <v>48</v>
      </c>
      <c r="D83">
        <v>25</v>
      </c>
      <c r="E83" s="1" t="s">
        <v>34</v>
      </c>
      <c r="F83">
        <v>2</v>
      </c>
      <c r="G83">
        <v>0</v>
      </c>
      <c r="H83">
        <v>5</v>
      </c>
      <c r="I83">
        <v>0.5</v>
      </c>
      <c r="J83">
        <v>2</v>
      </c>
      <c r="K83">
        <v>0.25</v>
      </c>
      <c r="L83">
        <v>0</v>
      </c>
      <c r="M83">
        <v>1</v>
      </c>
      <c r="N83">
        <v>0</v>
      </c>
      <c r="O83">
        <v>0.5</v>
      </c>
      <c r="P83">
        <v>1</v>
      </c>
      <c r="Q83">
        <v>0.5</v>
      </c>
      <c r="R83">
        <v>0.25</v>
      </c>
      <c r="S83">
        <v>0</v>
      </c>
      <c r="T83">
        <v>0</v>
      </c>
      <c r="V83">
        <v>0.5</v>
      </c>
      <c r="W83">
        <v>0.5</v>
      </c>
      <c r="X83">
        <v>1</v>
      </c>
      <c r="Y83">
        <v>1</v>
      </c>
      <c r="Z83">
        <v>0.5</v>
      </c>
      <c r="AA83">
        <v>0</v>
      </c>
      <c r="AB83">
        <v>1</v>
      </c>
      <c r="AC83">
        <v>0.5</v>
      </c>
      <c r="AD83">
        <v>1</v>
      </c>
      <c r="AE83" t="str">
        <f>IF(OR(_nba2122[[#This Row],[G]]&gt;=58,nba2122_advanced[[#This Row],[MP]]&gt;=1000),"Y","N")</f>
        <v>N</v>
      </c>
      <c r="AF8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15.917216577318131</v>
      </c>
    </row>
    <row r="84" spans="1:32" x14ac:dyDescent="0.35">
      <c r="A84">
        <v>83</v>
      </c>
      <c r="B84" s="1" t="s">
        <v>148</v>
      </c>
      <c r="C84" s="1" t="s">
        <v>51</v>
      </c>
      <c r="D84">
        <v>30</v>
      </c>
      <c r="E84" s="1" t="s">
        <v>143</v>
      </c>
      <c r="F84">
        <v>68</v>
      </c>
      <c r="G84">
        <v>37</v>
      </c>
      <c r="H84">
        <v>28</v>
      </c>
      <c r="I84">
        <v>3</v>
      </c>
      <c r="J84">
        <v>7.4</v>
      </c>
      <c r="K84">
        <v>0.40100000000000002</v>
      </c>
      <c r="L84">
        <v>2.1</v>
      </c>
      <c r="M84">
        <v>5.8</v>
      </c>
      <c r="N84">
        <v>0.36</v>
      </c>
      <c r="O84">
        <v>0.9</v>
      </c>
      <c r="P84">
        <v>1.6</v>
      </c>
      <c r="Q84">
        <v>0.55000000000000004</v>
      </c>
      <c r="R84">
        <v>0.54200000000000004</v>
      </c>
      <c r="S84">
        <v>0.6</v>
      </c>
      <c r="T84">
        <v>0.7</v>
      </c>
      <c r="U84">
        <v>0.83299999999999996</v>
      </c>
      <c r="V84">
        <v>0.5</v>
      </c>
      <c r="W84">
        <v>3.1</v>
      </c>
      <c r="X84">
        <v>3.5</v>
      </c>
      <c r="Y84">
        <v>1.2</v>
      </c>
      <c r="Z84">
        <v>0.6</v>
      </c>
      <c r="AA84">
        <v>0.2</v>
      </c>
      <c r="AB84">
        <v>0.6</v>
      </c>
      <c r="AC84">
        <v>1.6</v>
      </c>
      <c r="AD84">
        <v>8.6</v>
      </c>
      <c r="AE84" t="str">
        <f>IF(OR(_nba2122[[#This Row],[G]]&gt;=58,nba2122_advanced[[#This Row],[MP]]&gt;=1000),"Y","N")</f>
        <v>Y</v>
      </c>
      <c r="AF8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7.5967818686042881</v>
      </c>
    </row>
    <row r="85" spans="1:32" x14ac:dyDescent="0.35">
      <c r="A85">
        <v>84</v>
      </c>
      <c r="B85" s="1" t="s">
        <v>149</v>
      </c>
      <c r="C85" s="1" t="s">
        <v>48</v>
      </c>
      <c r="D85">
        <v>29</v>
      </c>
      <c r="E85" s="1" t="s">
        <v>143</v>
      </c>
      <c r="F85">
        <v>42</v>
      </c>
      <c r="G85">
        <v>0</v>
      </c>
      <c r="H85">
        <v>10.5</v>
      </c>
      <c r="I85">
        <v>2</v>
      </c>
      <c r="J85">
        <v>5.0999999999999996</v>
      </c>
      <c r="K85">
        <v>0.39100000000000001</v>
      </c>
      <c r="L85">
        <v>0.6</v>
      </c>
      <c r="M85">
        <v>2</v>
      </c>
      <c r="N85">
        <v>0.317</v>
      </c>
      <c r="O85">
        <v>1.4</v>
      </c>
      <c r="P85">
        <v>3.2</v>
      </c>
      <c r="Q85">
        <v>0.436</v>
      </c>
      <c r="R85">
        <v>0.45100000000000001</v>
      </c>
      <c r="S85">
        <v>0.5</v>
      </c>
      <c r="T85">
        <v>0.5</v>
      </c>
      <c r="U85">
        <v>0.87</v>
      </c>
      <c r="V85">
        <v>0.1</v>
      </c>
      <c r="W85">
        <v>0.7</v>
      </c>
      <c r="X85">
        <v>0.8</v>
      </c>
      <c r="Y85">
        <v>1.4</v>
      </c>
      <c r="Z85">
        <v>0.3</v>
      </c>
      <c r="AA85">
        <v>0</v>
      </c>
      <c r="AB85">
        <v>0.6</v>
      </c>
      <c r="AC85">
        <v>0.9</v>
      </c>
      <c r="AD85">
        <v>5.0999999999999996</v>
      </c>
      <c r="AE85" t="str">
        <f>IF(OR(_nba2122[[#This Row],[G]]&gt;=58,nba2122_advanced[[#This Row],[MP]]&gt;=1000),"Y","N")</f>
        <v>N</v>
      </c>
      <c r="AF8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8.6591404527306253</v>
      </c>
    </row>
    <row r="86" spans="1:32" x14ac:dyDescent="0.35">
      <c r="A86">
        <v>85</v>
      </c>
      <c r="B86" s="1" t="s">
        <v>150</v>
      </c>
      <c r="C86" s="1" t="s">
        <v>41</v>
      </c>
      <c r="D86">
        <v>30</v>
      </c>
      <c r="E86" s="1" t="s">
        <v>61</v>
      </c>
      <c r="F86">
        <v>81</v>
      </c>
      <c r="G86">
        <v>44</v>
      </c>
      <c r="H86">
        <v>28.6</v>
      </c>
      <c r="I86">
        <v>3.5</v>
      </c>
      <c r="J86">
        <v>9</v>
      </c>
      <c r="K86">
        <v>0.39100000000000001</v>
      </c>
      <c r="L86">
        <v>1.9</v>
      </c>
      <c r="M86">
        <v>4.8</v>
      </c>
      <c r="N86">
        <v>0.40400000000000003</v>
      </c>
      <c r="O86">
        <v>1.6</v>
      </c>
      <c r="P86">
        <v>4.2</v>
      </c>
      <c r="Q86">
        <v>0.378</v>
      </c>
      <c r="R86">
        <v>0.499</v>
      </c>
      <c r="S86">
        <v>2.7</v>
      </c>
      <c r="T86">
        <v>3.3</v>
      </c>
      <c r="U86">
        <v>0.82199999999999995</v>
      </c>
      <c r="V86">
        <v>0.6</v>
      </c>
      <c r="W86">
        <v>4.3</v>
      </c>
      <c r="X86">
        <v>4.9000000000000004</v>
      </c>
      <c r="Y86">
        <v>3</v>
      </c>
      <c r="Z86">
        <v>1</v>
      </c>
      <c r="AA86">
        <v>0.3</v>
      </c>
      <c r="AB86">
        <v>1.1000000000000001</v>
      </c>
      <c r="AC86">
        <v>2.7</v>
      </c>
      <c r="AD86">
        <v>11.7</v>
      </c>
      <c r="AE86" t="str">
        <f>IF(OR(_nba2122[[#This Row],[G]]&gt;=58,nba2122_advanced[[#This Row],[MP]]&gt;=1000),"Y","N")</f>
        <v>Y</v>
      </c>
      <c r="AF8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3.4869791220424577</v>
      </c>
    </row>
    <row r="87" spans="1:32" x14ac:dyDescent="0.35">
      <c r="A87">
        <v>86</v>
      </c>
      <c r="B87" s="1" t="s">
        <v>151</v>
      </c>
      <c r="C87" s="1" t="s">
        <v>41</v>
      </c>
      <c r="D87">
        <v>21</v>
      </c>
      <c r="E87" s="1" t="s">
        <v>70</v>
      </c>
      <c r="F87">
        <v>42</v>
      </c>
      <c r="G87">
        <v>1</v>
      </c>
      <c r="H87">
        <v>8.6</v>
      </c>
      <c r="I87">
        <v>1.5</v>
      </c>
      <c r="J87">
        <v>3.6</v>
      </c>
      <c r="K87">
        <v>0.40400000000000003</v>
      </c>
      <c r="L87">
        <v>0.7</v>
      </c>
      <c r="M87">
        <v>2.1</v>
      </c>
      <c r="N87">
        <v>0.318</v>
      </c>
      <c r="O87">
        <v>0.8</v>
      </c>
      <c r="P87">
        <v>1.5</v>
      </c>
      <c r="Q87">
        <v>0.52400000000000002</v>
      </c>
      <c r="R87">
        <v>0.497</v>
      </c>
      <c r="S87">
        <v>0.3</v>
      </c>
      <c r="T87">
        <v>0.4</v>
      </c>
      <c r="U87">
        <v>0.68799999999999994</v>
      </c>
      <c r="V87">
        <v>0.1</v>
      </c>
      <c r="W87">
        <v>1</v>
      </c>
      <c r="X87">
        <v>1.1000000000000001</v>
      </c>
      <c r="Y87">
        <v>1.5</v>
      </c>
      <c r="Z87">
        <v>0.4</v>
      </c>
      <c r="AA87">
        <v>0.2</v>
      </c>
      <c r="AB87">
        <v>0.8</v>
      </c>
      <c r="AC87">
        <v>1.1000000000000001</v>
      </c>
      <c r="AD87">
        <v>3.8</v>
      </c>
      <c r="AE87" t="str">
        <f>IF(OR(_nba2122[[#This Row],[G]]&gt;=58,nba2122_advanced[[#This Row],[MP]]&gt;=1000),"Y","N")</f>
        <v>N</v>
      </c>
      <c r="AF8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7.9403010280257709</v>
      </c>
    </row>
    <row r="88" spans="1:32" x14ac:dyDescent="0.35">
      <c r="A88">
        <v>87</v>
      </c>
      <c r="B88" s="1" t="s">
        <v>152</v>
      </c>
      <c r="C88" s="1" t="s">
        <v>51</v>
      </c>
      <c r="D88">
        <v>32</v>
      </c>
      <c r="E88" s="1" t="s">
        <v>36</v>
      </c>
      <c r="F88">
        <v>57</v>
      </c>
      <c r="G88">
        <v>57</v>
      </c>
      <c r="H88">
        <v>33.9</v>
      </c>
      <c r="I88">
        <v>7</v>
      </c>
      <c r="J88">
        <v>14.5</v>
      </c>
      <c r="K88">
        <v>0.48</v>
      </c>
      <c r="L88">
        <v>0.5</v>
      </c>
      <c r="M88">
        <v>2</v>
      </c>
      <c r="N88">
        <v>0.23300000000000001</v>
      </c>
      <c r="O88">
        <v>6.5</v>
      </c>
      <c r="P88">
        <v>12.5</v>
      </c>
      <c r="Q88">
        <v>0.52</v>
      </c>
      <c r="R88">
        <v>0.496</v>
      </c>
      <c r="S88">
        <v>6.9</v>
      </c>
      <c r="T88">
        <v>8</v>
      </c>
      <c r="U88">
        <v>0.87</v>
      </c>
      <c r="V88">
        <v>1.8</v>
      </c>
      <c r="W88">
        <v>4.0999999999999996</v>
      </c>
      <c r="X88">
        <v>5.9</v>
      </c>
      <c r="Y88">
        <v>5.5</v>
      </c>
      <c r="Z88">
        <v>1.6</v>
      </c>
      <c r="AA88">
        <v>0.5</v>
      </c>
      <c r="AB88">
        <v>2.1</v>
      </c>
      <c r="AC88">
        <v>1.5</v>
      </c>
      <c r="AD88">
        <v>21.4</v>
      </c>
      <c r="AE88" t="str">
        <f>IF(OR(_nba2122[[#This Row],[G]]&gt;=58,nba2122_advanced[[#This Row],[MP]]&gt;=1000),"Y","N")</f>
        <v>Y</v>
      </c>
      <c r="AF8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8.2522213181751933</v>
      </c>
    </row>
    <row r="89" spans="1:32" x14ac:dyDescent="0.35">
      <c r="A89">
        <v>88</v>
      </c>
      <c r="B89" s="1" t="s">
        <v>153</v>
      </c>
      <c r="C89" s="1" t="s">
        <v>28</v>
      </c>
      <c r="D89">
        <v>25</v>
      </c>
      <c r="E89" s="1" t="s">
        <v>91</v>
      </c>
      <c r="F89">
        <v>15</v>
      </c>
      <c r="G89">
        <v>0</v>
      </c>
      <c r="H89">
        <v>8.1</v>
      </c>
      <c r="I89">
        <v>1.4</v>
      </c>
      <c r="J89">
        <v>2.1</v>
      </c>
      <c r="K89">
        <v>0.67700000000000005</v>
      </c>
      <c r="L89">
        <v>0</v>
      </c>
      <c r="M89">
        <v>0</v>
      </c>
      <c r="O89">
        <v>1.4</v>
      </c>
      <c r="P89">
        <v>2.1</v>
      </c>
      <c r="Q89">
        <v>0.67700000000000005</v>
      </c>
      <c r="R89">
        <v>0.67700000000000005</v>
      </c>
      <c r="S89">
        <v>0.3</v>
      </c>
      <c r="T89">
        <v>0.5</v>
      </c>
      <c r="U89">
        <v>0.57099999999999995</v>
      </c>
      <c r="V89">
        <v>0.5</v>
      </c>
      <c r="W89">
        <v>2.2999999999999998</v>
      </c>
      <c r="X89">
        <v>2.8</v>
      </c>
      <c r="Y89">
        <v>0.4</v>
      </c>
      <c r="Z89">
        <v>0.5</v>
      </c>
      <c r="AA89">
        <v>0.5</v>
      </c>
      <c r="AB89">
        <v>0.2</v>
      </c>
      <c r="AC89">
        <v>1.1000000000000001</v>
      </c>
      <c r="AD89">
        <v>3.1</v>
      </c>
      <c r="AE89" t="str">
        <f>IF(OR(_nba2122[[#This Row],[G]]&gt;=58,nba2122_advanced[[#This Row],[MP]]&gt;=1000),"Y","N")</f>
        <v>N</v>
      </c>
      <c r="AF8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11.953958941223933</v>
      </c>
    </row>
    <row r="90" spans="1:32" x14ac:dyDescent="0.35">
      <c r="A90">
        <v>89</v>
      </c>
      <c r="B90" s="1" t="s">
        <v>154</v>
      </c>
      <c r="C90" s="1" t="s">
        <v>41</v>
      </c>
      <c r="D90">
        <v>28</v>
      </c>
      <c r="E90" s="1" t="s">
        <v>65</v>
      </c>
      <c r="F90">
        <v>77</v>
      </c>
      <c r="G90">
        <v>77</v>
      </c>
      <c r="H90">
        <v>30.2</v>
      </c>
      <c r="I90">
        <v>4.7</v>
      </c>
      <c r="J90">
        <v>10.8</v>
      </c>
      <c r="K90">
        <v>0.435</v>
      </c>
      <c r="L90">
        <v>2.1</v>
      </c>
      <c r="M90">
        <v>5.3</v>
      </c>
      <c r="N90">
        <v>0.39</v>
      </c>
      <c r="O90">
        <v>2.6</v>
      </c>
      <c r="P90">
        <v>5.5</v>
      </c>
      <c r="Q90">
        <v>0.48</v>
      </c>
      <c r="R90">
        <v>0.53100000000000003</v>
      </c>
      <c r="S90">
        <v>1.8</v>
      </c>
      <c r="T90">
        <v>2</v>
      </c>
      <c r="U90">
        <v>0.89</v>
      </c>
      <c r="V90">
        <v>0.5</v>
      </c>
      <c r="W90">
        <v>2.9</v>
      </c>
      <c r="X90">
        <v>3.4</v>
      </c>
      <c r="Y90">
        <v>1.9</v>
      </c>
      <c r="Z90">
        <v>1.1000000000000001</v>
      </c>
      <c r="AA90">
        <v>0.3</v>
      </c>
      <c r="AB90">
        <v>1.3</v>
      </c>
      <c r="AC90">
        <v>1.8</v>
      </c>
      <c r="AD90">
        <v>13.2</v>
      </c>
      <c r="AE90" t="str">
        <f>IF(OR(_nba2122[[#This Row],[G]]&gt;=58,nba2122_advanced[[#This Row],[MP]]&gt;=1000),"Y","N")</f>
        <v>Y</v>
      </c>
      <c r="AF9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4.2167960271862546</v>
      </c>
    </row>
    <row r="91" spans="1:32" x14ac:dyDescent="0.35">
      <c r="A91">
        <v>90</v>
      </c>
      <c r="B91" s="1" t="s">
        <v>155</v>
      </c>
      <c r="C91" s="1" t="s">
        <v>48</v>
      </c>
      <c r="D91">
        <v>30</v>
      </c>
      <c r="E91" s="1" t="s">
        <v>86</v>
      </c>
      <c r="F91">
        <v>65</v>
      </c>
      <c r="G91">
        <v>4</v>
      </c>
      <c r="H91">
        <v>18.2</v>
      </c>
      <c r="I91">
        <v>1.6</v>
      </c>
      <c r="J91">
        <v>4.5999999999999996</v>
      </c>
      <c r="K91">
        <v>0.36099999999999999</v>
      </c>
      <c r="L91">
        <v>0.9</v>
      </c>
      <c r="M91">
        <v>3</v>
      </c>
      <c r="N91">
        <v>0.30099999999999999</v>
      </c>
      <c r="O91">
        <v>0.8</v>
      </c>
      <c r="P91">
        <v>1.6</v>
      </c>
      <c r="Q91">
        <v>0.47599999999999998</v>
      </c>
      <c r="R91">
        <v>0.45900000000000002</v>
      </c>
      <c r="S91">
        <v>0.9</v>
      </c>
      <c r="T91">
        <v>1.2</v>
      </c>
      <c r="U91">
        <v>0.76900000000000002</v>
      </c>
      <c r="V91">
        <v>0.4</v>
      </c>
      <c r="W91">
        <v>1.4</v>
      </c>
      <c r="X91">
        <v>1.8</v>
      </c>
      <c r="Y91">
        <v>3.4</v>
      </c>
      <c r="Z91">
        <v>1</v>
      </c>
      <c r="AA91">
        <v>0.4</v>
      </c>
      <c r="AB91">
        <v>1</v>
      </c>
      <c r="AC91">
        <v>1.9</v>
      </c>
      <c r="AD91">
        <v>5.0999999999999996</v>
      </c>
      <c r="AE91" t="str">
        <f>IF(OR(_nba2122[[#This Row],[G]]&gt;=58,nba2122_advanced[[#This Row],[MP]]&gt;=1000),"Y","N")</f>
        <v>Y</v>
      </c>
      <c r="AF9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6.0933079746934187</v>
      </c>
    </row>
    <row r="92" spans="1:32" x14ac:dyDescent="0.35">
      <c r="A92">
        <v>91</v>
      </c>
      <c r="B92" s="1" t="s">
        <v>156</v>
      </c>
      <c r="C92" s="1" t="s">
        <v>28</v>
      </c>
      <c r="D92">
        <v>24</v>
      </c>
      <c r="E92" s="1" t="s">
        <v>86</v>
      </c>
      <c r="F92">
        <v>15</v>
      </c>
      <c r="G92">
        <v>1</v>
      </c>
      <c r="H92">
        <v>11.7</v>
      </c>
      <c r="I92">
        <v>1.5</v>
      </c>
      <c r="J92">
        <v>2.7</v>
      </c>
      <c r="K92">
        <v>0.56100000000000005</v>
      </c>
      <c r="L92">
        <v>0.5</v>
      </c>
      <c r="M92">
        <v>0.8</v>
      </c>
      <c r="N92">
        <v>0.58299999999999996</v>
      </c>
      <c r="O92">
        <v>1.1000000000000001</v>
      </c>
      <c r="P92">
        <v>1.9</v>
      </c>
      <c r="Q92">
        <v>0.55200000000000005</v>
      </c>
      <c r="R92">
        <v>0.64600000000000002</v>
      </c>
      <c r="S92">
        <v>0.6</v>
      </c>
      <c r="T92">
        <v>0.9</v>
      </c>
      <c r="U92">
        <v>0.64300000000000002</v>
      </c>
      <c r="V92">
        <v>0.5</v>
      </c>
      <c r="W92">
        <v>1.5</v>
      </c>
      <c r="X92">
        <v>2.1</v>
      </c>
      <c r="Y92">
        <v>1.1000000000000001</v>
      </c>
      <c r="Z92">
        <v>0.1</v>
      </c>
      <c r="AA92">
        <v>0.2</v>
      </c>
      <c r="AB92">
        <v>0.6</v>
      </c>
      <c r="AC92">
        <v>1.2</v>
      </c>
      <c r="AD92">
        <v>4.0999999999999996</v>
      </c>
      <c r="AE92" t="str">
        <f>IF(OR(_nba2122[[#This Row],[G]]&gt;=58,nba2122_advanced[[#This Row],[MP]]&gt;=1000),"Y","N")</f>
        <v>N</v>
      </c>
      <c r="AF9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7.932003769249345</v>
      </c>
    </row>
    <row r="93" spans="1:32" x14ac:dyDescent="0.35">
      <c r="A93">
        <v>92</v>
      </c>
      <c r="B93" s="1" t="s">
        <v>157</v>
      </c>
      <c r="C93" s="1" t="s">
        <v>48</v>
      </c>
      <c r="D93">
        <v>25</v>
      </c>
      <c r="E93" s="1" t="s">
        <v>58</v>
      </c>
      <c r="F93">
        <v>5</v>
      </c>
      <c r="G93">
        <v>0</v>
      </c>
      <c r="H93">
        <v>29</v>
      </c>
      <c r="I93">
        <v>3</v>
      </c>
      <c r="J93">
        <v>8.8000000000000007</v>
      </c>
      <c r="K93">
        <v>0.34100000000000003</v>
      </c>
      <c r="L93">
        <v>3</v>
      </c>
      <c r="M93">
        <v>7.4</v>
      </c>
      <c r="N93">
        <v>0.40500000000000003</v>
      </c>
      <c r="O93">
        <v>0</v>
      </c>
      <c r="P93">
        <v>1.4</v>
      </c>
      <c r="Q93">
        <v>0</v>
      </c>
      <c r="R93">
        <v>0.51100000000000001</v>
      </c>
      <c r="S93">
        <v>1</v>
      </c>
      <c r="T93">
        <v>1.4</v>
      </c>
      <c r="U93">
        <v>0.71399999999999997</v>
      </c>
      <c r="V93">
        <v>0.2</v>
      </c>
      <c r="W93">
        <v>1</v>
      </c>
      <c r="X93">
        <v>1.2</v>
      </c>
      <c r="Y93">
        <v>2</v>
      </c>
      <c r="Z93">
        <v>1</v>
      </c>
      <c r="AA93">
        <v>0.6</v>
      </c>
      <c r="AB93">
        <v>1</v>
      </c>
      <c r="AC93">
        <v>1.8</v>
      </c>
      <c r="AD93">
        <v>10</v>
      </c>
      <c r="AE93" t="str">
        <f>IF(OR(_nba2122[[#This Row],[G]]&gt;=58,nba2122_advanced[[#This Row],[MP]]&gt;=1000),"Y","N")</f>
        <v>N</v>
      </c>
      <c r="AF9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6.2159759953863976</v>
      </c>
    </row>
    <row r="94" spans="1:32" x14ac:dyDescent="0.35">
      <c r="A94">
        <v>93</v>
      </c>
      <c r="B94" s="1" t="s">
        <v>158</v>
      </c>
      <c r="C94" s="1" t="s">
        <v>31</v>
      </c>
      <c r="D94">
        <v>27</v>
      </c>
      <c r="E94" s="1" t="s">
        <v>80</v>
      </c>
      <c r="F94">
        <v>74</v>
      </c>
      <c r="G94">
        <v>73</v>
      </c>
      <c r="H94">
        <v>27.6</v>
      </c>
      <c r="I94">
        <v>5</v>
      </c>
      <c r="J94">
        <v>8.1999999999999993</v>
      </c>
      <c r="K94">
        <v>0.61299999999999999</v>
      </c>
      <c r="L94">
        <v>0</v>
      </c>
      <c r="M94">
        <v>0</v>
      </c>
      <c r="N94">
        <v>0</v>
      </c>
      <c r="O94">
        <v>5</v>
      </c>
      <c r="P94">
        <v>8.1</v>
      </c>
      <c r="Q94">
        <v>0.61399999999999999</v>
      </c>
      <c r="R94">
        <v>0.61299999999999999</v>
      </c>
      <c r="S94">
        <v>1.1000000000000001</v>
      </c>
      <c r="T94">
        <v>2.2999999999999998</v>
      </c>
      <c r="U94">
        <v>0.47299999999999998</v>
      </c>
      <c r="V94">
        <v>3.8</v>
      </c>
      <c r="W94">
        <v>8.1</v>
      </c>
      <c r="X94">
        <v>11.9</v>
      </c>
      <c r="Y94">
        <v>1.2</v>
      </c>
      <c r="Z94">
        <v>0.7</v>
      </c>
      <c r="AA94">
        <v>1.3</v>
      </c>
      <c r="AB94">
        <v>0.6</v>
      </c>
      <c r="AC94">
        <v>2.2000000000000002</v>
      </c>
      <c r="AD94">
        <v>11.1</v>
      </c>
      <c r="AE94" t="str">
        <f>IF(OR(_nba2122[[#This Row],[G]]&gt;=58,nba2122_advanced[[#This Row],[MP]]&gt;=1000),"Y","N")</f>
        <v>Y</v>
      </c>
      <c r="AF9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11.969218568590621</v>
      </c>
    </row>
    <row r="95" spans="1:32" x14ac:dyDescent="0.35">
      <c r="A95">
        <v>94</v>
      </c>
      <c r="B95" s="1" t="s">
        <v>159</v>
      </c>
      <c r="C95" s="1" t="s">
        <v>31</v>
      </c>
      <c r="D95">
        <v>20</v>
      </c>
      <c r="E95" s="1" t="s">
        <v>42</v>
      </c>
      <c r="F95">
        <v>7</v>
      </c>
      <c r="G95">
        <v>1</v>
      </c>
      <c r="H95">
        <v>6.3</v>
      </c>
      <c r="I95">
        <v>1</v>
      </c>
      <c r="J95">
        <v>1.9</v>
      </c>
      <c r="K95">
        <v>0.53800000000000003</v>
      </c>
      <c r="L95">
        <v>0</v>
      </c>
      <c r="M95">
        <v>0</v>
      </c>
      <c r="O95">
        <v>1</v>
      </c>
      <c r="P95">
        <v>1.9</v>
      </c>
      <c r="Q95">
        <v>0.53800000000000003</v>
      </c>
      <c r="R95">
        <v>0.53800000000000003</v>
      </c>
      <c r="S95">
        <v>0.9</v>
      </c>
      <c r="T95">
        <v>1.9</v>
      </c>
      <c r="U95">
        <v>0.46200000000000002</v>
      </c>
      <c r="V95">
        <v>1.1000000000000001</v>
      </c>
      <c r="W95">
        <v>0.6</v>
      </c>
      <c r="X95">
        <v>1.7</v>
      </c>
      <c r="Y95">
        <v>0</v>
      </c>
      <c r="Z95">
        <v>0.3</v>
      </c>
      <c r="AA95">
        <v>0.1</v>
      </c>
      <c r="AB95">
        <v>0.4</v>
      </c>
      <c r="AC95">
        <v>0.6</v>
      </c>
      <c r="AD95">
        <v>2.9</v>
      </c>
      <c r="AE95" t="str">
        <f>IF(OR(_nba2122[[#This Row],[G]]&gt;=58,nba2122_advanced[[#This Row],[MP]]&gt;=1000),"Y","N")</f>
        <v>N</v>
      </c>
      <c r="AF9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13.255010884830069</v>
      </c>
    </row>
    <row r="96" spans="1:32" x14ac:dyDescent="0.35">
      <c r="A96">
        <v>95</v>
      </c>
      <c r="B96" s="1" t="s">
        <v>160</v>
      </c>
      <c r="C96" s="1" t="s">
        <v>48</v>
      </c>
      <c r="D96">
        <v>26</v>
      </c>
      <c r="E96" s="1" t="s">
        <v>42</v>
      </c>
      <c r="F96">
        <v>66</v>
      </c>
      <c r="G96">
        <v>3</v>
      </c>
      <c r="H96">
        <v>13.7</v>
      </c>
      <c r="I96">
        <v>1.5</v>
      </c>
      <c r="J96">
        <v>3.8</v>
      </c>
      <c r="K96">
        <v>0.38700000000000001</v>
      </c>
      <c r="L96">
        <v>1</v>
      </c>
      <c r="M96">
        <v>2.6</v>
      </c>
      <c r="N96">
        <v>0.38800000000000001</v>
      </c>
      <c r="O96">
        <v>0.5</v>
      </c>
      <c r="P96">
        <v>1.3</v>
      </c>
      <c r="Q96">
        <v>0.38600000000000001</v>
      </c>
      <c r="R96">
        <v>0.51800000000000002</v>
      </c>
      <c r="S96">
        <v>0.2</v>
      </c>
      <c r="T96">
        <v>0.3</v>
      </c>
      <c r="U96">
        <v>0.83299999999999996</v>
      </c>
      <c r="V96">
        <v>0.2</v>
      </c>
      <c r="W96">
        <v>1.5</v>
      </c>
      <c r="X96">
        <v>1.7</v>
      </c>
      <c r="Y96">
        <v>1.5</v>
      </c>
      <c r="Z96">
        <v>0.4</v>
      </c>
      <c r="AA96">
        <v>0.2</v>
      </c>
      <c r="AB96">
        <v>0.5</v>
      </c>
      <c r="AC96">
        <v>1</v>
      </c>
      <c r="AD96">
        <v>4.2</v>
      </c>
      <c r="AE96" t="str">
        <f>IF(OR(_nba2122[[#This Row],[G]]&gt;=58,nba2122_advanced[[#This Row],[MP]]&gt;=1000),"Y","N")</f>
        <v>Y</v>
      </c>
      <c r="AF9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7.3623746930851457</v>
      </c>
    </row>
    <row r="97" spans="1:32" x14ac:dyDescent="0.35">
      <c r="A97">
        <v>96</v>
      </c>
      <c r="B97" s="1" t="s">
        <v>161</v>
      </c>
      <c r="C97" s="1" t="s">
        <v>31</v>
      </c>
      <c r="D97">
        <v>22</v>
      </c>
      <c r="E97" s="1" t="s">
        <v>58</v>
      </c>
      <c r="F97">
        <v>62</v>
      </c>
      <c r="G97">
        <v>61</v>
      </c>
      <c r="H97">
        <v>29.9</v>
      </c>
      <c r="I97">
        <v>5.8</v>
      </c>
      <c r="J97">
        <v>11</v>
      </c>
      <c r="K97">
        <v>0.52500000000000002</v>
      </c>
      <c r="L97">
        <v>1.1000000000000001</v>
      </c>
      <c r="M97">
        <v>3.5</v>
      </c>
      <c r="N97">
        <v>0.32700000000000001</v>
      </c>
      <c r="O97">
        <v>4.7</v>
      </c>
      <c r="P97">
        <v>7.6</v>
      </c>
      <c r="Q97">
        <v>0.61499999999999999</v>
      </c>
      <c r="R97">
        <v>0.57599999999999996</v>
      </c>
      <c r="S97">
        <v>2.2999999999999998</v>
      </c>
      <c r="T97">
        <v>3.3</v>
      </c>
      <c r="U97">
        <v>0.69099999999999995</v>
      </c>
      <c r="V97">
        <v>2.2000000000000002</v>
      </c>
      <c r="W97">
        <v>8.1999999999999993</v>
      </c>
      <c r="X97">
        <v>10.5</v>
      </c>
      <c r="Y97">
        <v>2.8</v>
      </c>
      <c r="Z97">
        <v>0.6</v>
      </c>
      <c r="AA97">
        <v>0.7</v>
      </c>
      <c r="AB97">
        <v>1.9</v>
      </c>
      <c r="AC97">
        <v>2.7</v>
      </c>
      <c r="AD97">
        <v>15</v>
      </c>
      <c r="AE97" t="str">
        <f>IF(OR(_nba2122[[#This Row],[G]]&gt;=58,nba2122_advanced[[#This Row],[MP]]&gt;=1000),"Y","N")</f>
        <v>Y</v>
      </c>
      <c r="AF9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5.3152351871049701</v>
      </c>
    </row>
    <row r="98" spans="1:32" x14ac:dyDescent="0.35">
      <c r="A98">
        <v>97</v>
      </c>
      <c r="B98" s="1" t="s">
        <v>162</v>
      </c>
      <c r="C98" s="1" t="s">
        <v>41</v>
      </c>
      <c r="D98">
        <v>27</v>
      </c>
      <c r="E98" s="1" t="s">
        <v>75</v>
      </c>
      <c r="F98">
        <v>41</v>
      </c>
      <c r="G98">
        <v>18</v>
      </c>
      <c r="H98">
        <v>28</v>
      </c>
      <c r="I98">
        <v>2.5</v>
      </c>
      <c r="J98">
        <v>6.2</v>
      </c>
      <c r="K98">
        <v>0.39800000000000002</v>
      </c>
      <c r="L98">
        <v>1</v>
      </c>
      <c r="M98">
        <v>3.1</v>
      </c>
      <c r="N98">
        <v>0.33300000000000002</v>
      </c>
      <c r="O98">
        <v>1.5</v>
      </c>
      <c r="P98">
        <v>3.2</v>
      </c>
      <c r="Q98">
        <v>0.46200000000000002</v>
      </c>
      <c r="R98">
        <v>0.48</v>
      </c>
      <c r="S98">
        <v>1.4</v>
      </c>
      <c r="T98">
        <v>1.8</v>
      </c>
      <c r="U98">
        <v>0.79500000000000004</v>
      </c>
      <c r="V98">
        <v>0.8</v>
      </c>
      <c r="W98">
        <v>2.8</v>
      </c>
      <c r="X98">
        <v>3.6</v>
      </c>
      <c r="Y98">
        <v>4</v>
      </c>
      <c r="Z98">
        <v>1.7</v>
      </c>
      <c r="AA98">
        <v>0.4</v>
      </c>
      <c r="AB98">
        <v>1.4</v>
      </c>
      <c r="AC98">
        <v>2.6</v>
      </c>
      <c r="AD98">
        <v>7.4</v>
      </c>
      <c r="AE98" t="str">
        <f>IF(OR(_nba2122[[#This Row],[G]]&gt;=58,nba2122_advanced[[#This Row],[MP]]&gt;=1000),"Y","N")</f>
        <v>Y</v>
      </c>
      <c r="AF9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6.0545452770773087</v>
      </c>
    </row>
    <row r="99" spans="1:32" x14ac:dyDescent="0.35">
      <c r="A99">
        <v>98</v>
      </c>
      <c r="B99" s="1" t="s">
        <v>163</v>
      </c>
      <c r="C99" s="1" t="s">
        <v>31</v>
      </c>
      <c r="D99">
        <v>28</v>
      </c>
      <c r="E99" s="1" t="s">
        <v>42</v>
      </c>
      <c r="F99">
        <v>20</v>
      </c>
      <c r="G99">
        <v>2</v>
      </c>
      <c r="H99">
        <v>9.1999999999999993</v>
      </c>
      <c r="I99">
        <v>0.8</v>
      </c>
      <c r="J99">
        <v>1.8</v>
      </c>
      <c r="K99">
        <v>0.45700000000000002</v>
      </c>
      <c r="L99">
        <v>0.1</v>
      </c>
      <c r="M99">
        <v>0.1</v>
      </c>
      <c r="N99">
        <v>0.5</v>
      </c>
      <c r="O99">
        <v>0.8</v>
      </c>
      <c r="P99">
        <v>1.7</v>
      </c>
      <c r="Q99">
        <v>0.45500000000000002</v>
      </c>
      <c r="R99">
        <v>0.47099999999999997</v>
      </c>
      <c r="S99">
        <v>0.1</v>
      </c>
      <c r="T99">
        <v>0.1</v>
      </c>
      <c r="U99">
        <v>0.5</v>
      </c>
      <c r="V99">
        <v>0.7</v>
      </c>
      <c r="W99">
        <v>1.4</v>
      </c>
      <c r="X99">
        <v>2</v>
      </c>
      <c r="Y99">
        <v>0.5</v>
      </c>
      <c r="Z99">
        <v>0.3</v>
      </c>
      <c r="AA99">
        <v>0.2</v>
      </c>
      <c r="AB99">
        <v>0.4</v>
      </c>
      <c r="AC99">
        <v>1</v>
      </c>
      <c r="AD99">
        <v>1.7</v>
      </c>
      <c r="AE99" t="str">
        <f>IF(OR(_nba2122[[#This Row],[G]]&gt;=58,nba2122_advanced[[#This Row],[MP]]&gt;=1000),"Y","N")</f>
        <v>N</v>
      </c>
      <c r="AF9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9.6503705396206545</v>
      </c>
    </row>
    <row r="100" spans="1:32" x14ac:dyDescent="0.35">
      <c r="A100">
        <v>99</v>
      </c>
      <c r="B100" s="1" t="s">
        <v>164</v>
      </c>
      <c r="C100" s="1" t="s">
        <v>48</v>
      </c>
      <c r="D100">
        <v>25</v>
      </c>
      <c r="E100" s="1" t="s">
        <v>108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0</v>
      </c>
      <c r="O100">
        <v>1</v>
      </c>
      <c r="P100">
        <v>1</v>
      </c>
      <c r="Q100">
        <v>1</v>
      </c>
      <c r="R100">
        <v>1</v>
      </c>
      <c r="S100">
        <v>0</v>
      </c>
      <c r="T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2</v>
      </c>
      <c r="AE100" t="str">
        <f>IF(OR(_nba2122[[#This Row],[G]]&gt;=58,nba2122_advanced[[#This Row],[MP]]&gt;=1000),"Y","N")</f>
        <v>N</v>
      </c>
      <c r="AF10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22.920152562071475</v>
      </c>
    </row>
    <row r="101" spans="1:32" x14ac:dyDescent="0.35">
      <c r="A101">
        <v>100</v>
      </c>
      <c r="B101" s="1" t="s">
        <v>165</v>
      </c>
      <c r="C101" s="1" t="s">
        <v>51</v>
      </c>
      <c r="D101">
        <v>20</v>
      </c>
      <c r="E101" s="1" t="s">
        <v>32</v>
      </c>
      <c r="F101">
        <v>36</v>
      </c>
      <c r="G101">
        <v>0</v>
      </c>
      <c r="H101">
        <v>7.8</v>
      </c>
      <c r="I101">
        <v>0.9</v>
      </c>
      <c r="J101">
        <v>1.9</v>
      </c>
      <c r="K101">
        <v>0.46300000000000002</v>
      </c>
      <c r="L101">
        <v>0.3</v>
      </c>
      <c r="M101">
        <v>0.8</v>
      </c>
      <c r="N101">
        <v>0.35699999999999998</v>
      </c>
      <c r="O101">
        <v>0.6</v>
      </c>
      <c r="P101">
        <v>1.1000000000000001</v>
      </c>
      <c r="Q101">
        <v>0.53800000000000003</v>
      </c>
      <c r="R101">
        <v>0.53700000000000003</v>
      </c>
      <c r="S101">
        <v>0.3</v>
      </c>
      <c r="T101">
        <v>0.3</v>
      </c>
      <c r="U101">
        <v>1</v>
      </c>
      <c r="V101">
        <v>1</v>
      </c>
      <c r="W101">
        <v>1</v>
      </c>
      <c r="X101">
        <v>2</v>
      </c>
      <c r="Y101">
        <v>0.3</v>
      </c>
      <c r="Z101">
        <v>0.2</v>
      </c>
      <c r="AA101">
        <v>0.1</v>
      </c>
      <c r="AB101">
        <v>0.2</v>
      </c>
      <c r="AC101">
        <v>0.9</v>
      </c>
      <c r="AD101">
        <v>2.2999999999999998</v>
      </c>
      <c r="AE101" t="str">
        <f>IF(OR(_nba2122[[#This Row],[G]]&gt;=58,nba2122_advanced[[#This Row],[MP]]&gt;=1000),"Y","N")</f>
        <v>N</v>
      </c>
      <c r="AF10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8.0700447307706025</v>
      </c>
    </row>
    <row r="102" spans="1:32" x14ac:dyDescent="0.35">
      <c r="A102">
        <v>101</v>
      </c>
      <c r="B102" s="1" t="s">
        <v>166</v>
      </c>
      <c r="C102" s="1" t="s">
        <v>51</v>
      </c>
      <c r="D102">
        <v>26</v>
      </c>
      <c r="E102" s="1" t="s">
        <v>70</v>
      </c>
      <c r="F102">
        <v>1</v>
      </c>
      <c r="G102">
        <v>0</v>
      </c>
      <c r="H102">
        <v>5</v>
      </c>
      <c r="I102">
        <v>0</v>
      </c>
      <c r="J102">
        <v>3</v>
      </c>
      <c r="K102">
        <v>0</v>
      </c>
      <c r="L102">
        <v>0</v>
      </c>
      <c r="M102">
        <v>2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tr">
        <f>IF(OR(_nba2122[[#This Row],[G]]&gt;=58,nba2122_advanced[[#This Row],[MP]]&gt;=1000),"Y","N")</f>
        <v>N</v>
      </c>
      <c r="AF10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20.548809843799063</v>
      </c>
    </row>
    <row r="103" spans="1:32" x14ac:dyDescent="0.35">
      <c r="A103">
        <v>102</v>
      </c>
      <c r="B103" s="1" t="s">
        <v>167</v>
      </c>
      <c r="C103" s="1" t="s">
        <v>48</v>
      </c>
      <c r="D103">
        <v>26</v>
      </c>
      <c r="E103" s="1" t="s">
        <v>111</v>
      </c>
      <c r="F103">
        <v>34</v>
      </c>
      <c r="G103">
        <v>1</v>
      </c>
      <c r="H103">
        <v>10.9</v>
      </c>
      <c r="I103">
        <v>0.7</v>
      </c>
      <c r="J103">
        <v>2.4</v>
      </c>
      <c r="K103">
        <v>0.29599999999999999</v>
      </c>
      <c r="L103">
        <v>0.5</v>
      </c>
      <c r="M103">
        <v>1.6</v>
      </c>
      <c r="N103">
        <v>0.32100000000000001</v>
      </c>
      <c r="O103">
        <v>0.2</v>
      </c>
      <c r="P103">
        <v>0.8</v>
      </c>
      <c r="Q103">
        <v>0.25</v>
      </c>
      <c r="R103">
        <v>0.40100000000000002</v>
      </c>
      <c r="S103">
        <v>0.1</v>
      </c>
      <c r="T103">
        <v>0.1</v>
      </c>
      <c r="U103">
        <v>0.66700000000000004</v>
      </c>
      <c r="V103">
        <v>0.3</v>
      </c>
      <c r="W103">
        <v>0.8</v>
      </c>
      <c r="X103">
        <v>1.1000000000000001</v>
      </c>
      <c r="Y103">
        <v>1.9</v>
      </c>
      <c r="Z103">
        <v>0.4</v>
      </c>
      <c r="AA103">
        <v>0</v>
      </c>
      <c r="AB103">
        <v>0.9</v>
      </c>
      <c r="AC103">
        <v>0.9</v>
      </c>
      <c r="AD103">
        <v>2</v>
      </c>
      <c r="AE103" t="str">
        <f>IF(OR(_nba2122[[#This Row],[G]]&gt;=58,nba2122_advanced[[#This Row],[MP]]&gt;=1000),"Y","N")</f>
        <v>N</v>
      </c>
      <c r="AF10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11.252576413422917</v>
      </c>
    </row>
    <row r="104" spans="1:32" x14ac:dyDescent="0.35">
      <c r="A104">
        <v>103</v>
      </c>
      <c r="B104" s="1" t="s">
        <v>168</v>
      </c>
      <c r="C104" s="1" t="s">
        <v>28</v>
      </c>
      <c r="D104">
        <v>24</v>
      </c>
      <c r="E104" s="1" t="s">
        <v>143</v>
      </c>
      <c r="F104">
        <v>34</v>
      </c>
      <c r="G104">
        <v>0</v>
      </c>
      <c r="H104">
        <v>10.199999999999999</v>
      </c>
      <c r="I104">
        <v>1.8</v>
      </c>
      <c r="J104">
        <v>3.9</v>
      </c>
      <c r="K104">
        <v>0.46300000000000002</v>
      </c>
      <c r="L104">
        <v>0.2</v>
      </c>
      <c r="M104">
        <v>0.7</v>
      </c>
      <c r="N104">
        <v>0.32</v>
      </c>
      <c r="O104">
        <v>1.6</v>
      </c>
      <c r="P104">
        <v>3.2</v>
      </c>
      <c r="Q104">
        <v>0.495</v>
      </c>
      <c r="R104">
        <v>0.49299999999999999</v>
      </c>
      <c r="S104">
        <v>0.6</v>
      </c>
      <c r="T104">
        <v>1</v>
      </c>
      <c r="U104">
        <v>0.66700000000000004</v>
      </c>
      <c r="V104">
        <v>1</v>
      </c>
      <c r="W104">
        <v>2.1</v>
      </c>
      <c r="X104">
        <v>3</v>
      </c>
      <c r="Y104">
        <v>0.5</v>
      </c>
      <c r="Z104">
        <v>0.4</v>
      </c>
      <c r="AA104">
        <v>0.4</v>
      </c>
      <c r="AB104">
        <v>0.5</v>
      </c>
      <c r="AC104">
        <v>1.9</v>
      </c>
      <c r="AD104">
        <v>4.5</v>
      </c>
      <c r="AE104" t="str">
        <f>IF(OR(_nba2122[[#This Row],[G]]&gt;=58,nba2122_advanced[[#This Row],[MP]]&gt;=1000),"Y","N")</f>
        <v>N</v>
      </c>
      <c r="AF10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6.5540090140380451</v>
      </c>
    </row>
    <row r="105" spans="1:32" x14ac:dyDescent="0.35">
      <c r="A105">
        <v>104</v>
      </c>
      <c r="B105" s="1" t="s">
        <v>169</v>
      </c>
      <c r="C105" s="1" t="s">
        <v>41</v>
      </c>
      <c r="D105">
        <v>20</v>
      </c>
      <c r="E105" s="1" t="s">
        <v>170</v>
      </c>
      <c r="F105">
        <v>74</v>
      </c>
      <c r="G105">
        <v>2</v>
      </c>
      <c r="H105">
        <v>18</v>
      </c>
      <c r="I105">
        <v>3</v>
      </c>
      <c r="J105">
        <v>6.8</v>
      </c>
      <c r="K105">
        <v>0.44800000000000001</v>
      </c>
      <c r="L105">
        <v>0.8</v>
      </c>
      <c r="M105">
        <v>2.6</v>
      </c>
      <c r="N105">
        <v>0.29599999999999999</v>
      </c>
      <c r="O105">
        <v>2.2999999999999998</v>
      </c>
      <c r="P105">
        <v>4.2</v>
      </c>
      <c r="Q105">
        <v>0.54</v>
      </c>
      <c r="R105">
        <v>0.504</v>
      </c>
      <c r="S105">
        <v>1.1000000000000001</v>
      </c>
      <c r="T105">
        <v>1.5</v>
      </c>
      <c r="U105">
        <v>0.73499999999999999</v>
      </c>
      <c r="V105">
        <v>0.7</v>
      </c>
      <c r="W105">
        <v>1.8</v>
      </c>
      <c r="X105">
        <v>2.5</v>
      </c>
      <c r="Y105">
        <v>2</v>
      </c>
      <c r="Z105">
        <v>0.9</v>
      </c>
      <c r="AA105">
        <v>0.2</v>
      </c>
      <c r="AB105">
        <v>1.5</v>
      </c>
      <c r="AC105">
        <v>1.3</v>
      </c>
      <c r="AD105">
        <v>7.9</v>
      </c>
      <c r="AE105" t="str">
        <f>IF(OR(_nba2122[[#This Row],[G]]&gt;=58,nba2122_advanced[[#This Row],[MP]]&gt;=1000),"Y","N")</f>
        <v>Y</v>
      </c>
      <c r="AF10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4.7345060720955532</v>
      </c>
    </row>
    <row r="106" spans="1:32" x14ac:dyDescent="0.35">
      <c r="A106">
        <v>105</v>
      </c>
      <c r="B106" s="1" t="s">
        <v>171</v>
      </c>
      <c r="C106" s="1" t="s">
        <v>28</v>
      </c>
      <c r="D106">
        <v>27</v>
      </c>
      <c r="E106" s="1" t="s">
        <v>49</v>
      </c>
      <c r="F106">
        <v>38</v>
      </c>
      <c r="G106">
        <v>1</v>
      </c>
      <c r="H106">
        <v>9.9</v>
      </c>
      <c r="I106">
        <v>0.9</v>
      </c>
      <c r="J106">
        <v>2.2999999999999998</v>
      </c>
      <c r="K106">
        <v>0.375</v>
      </c>
      <c r="L106">
        <v>0.7</v>
      </c>
      <c r="M106">
        <v>1.8</v>
      </c>
      <c r="N106">
        <v>0.4</v>
      </c>
      <c r="O106">
        <v>0.1</v>
      </c>
      <c r="P106">
        <v>0.5</v>
      </c>
      <c r="Q106">
        <v>0.27800000000000002</v>
      </c>
      <c r="R106">
        <v>0.53400000000000003</v>
      </c>
      <c r="S106">
        <v>0.2</v>
      </c>
      <c r="T106">
        <v>0.3</v>
      </c>
      <c r="U106">
        <v>0.7</v>
      </c>
      <c r="V106">
        <v>0.6</v>
      </c>
      <c r="W106">
        <v>1.8</v>
      </c>
      <c r="X106">
        <v>2.4</v>
      </c>
      <c r="Y106">
        <v>0.5</v>
      </c>
      <c r="Z106">
        <v>0.3</v>
      </c>
      <c r="AA106">
        <v>0.2</v>
      </c>
      <c r="AB106">
        <v>0.3</v>
      </c>
      <c r="AC106">
        <v>0.5</v>
      </c>
      <c r="AD106">
        <v>2.7</v>
      </c>
      <c r="AE106" t="str">
        <f>IF(OR(_nba2122[[#This Row],[G]]&gt;=58,nba2122_advanced[[#This Row],[MP]]&gt;=1000),"Y","N")</f>
        <v>N</v>
      </c>
      <c r="AF10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8.7471575186446078</v>
      </c>
    </row>
    <row r="107" spans="1:32" x14ac:dyDescent="0.35">
      <c r="A107">
        <v>106</v>
      </c>
      <c r="B107" s="1" t="s">
        <v>172</v>
      </c>
      <c r="C107" s="1" t="s">
        <v>28</v>
      </c>
      <c r="D107">
        <v>25</v>
      </c>
      <c r="E107" s="1" t="s">
        <v>34</v>
      </c>
      <c r="F107">
        <v>64</v>
      </c>
      <c r="G107">
        <v>1</v>
      </c>
      <c r="H107">
        <v>19.5</v>
      </c>
      <c r="I107">
        <v>4.5</v>
      </c>
      <c r="J107">
        <v>7</v>
      </c>
      <c r="K107">
        <v>0.64400000000000002</v>
      </c>
      <c r="L107">
        <v>0.1</v>
      </c>
      <c r="M107">
        <v>0.3</v>
      </c>
      <c r="N107">
        <v>0.22700000000000001</v>
      </c>
      <c r="O107">
        <v>4.4000000000000004</v>
      </c>
      <c r="P107">
        <v>6.6</v>
      </c>
      <c r="Q107">
        <v>0.66600000000000004</v>
      </c>
      <c r="R107">
        <v>0.65</v>
      </c>
      <c r="S107">
        <v>1.3</v>
      </c>
      <c r="T107">
        <v>2</v>
      </c>
      <c r="U107">
        <v>0.65400000000000003</v>
      </c>
      <c r="V107">
        <v>2.1</v>
      </c>
      <c r="W107">
        <v>3.2</v>
      </c>
      <c r="X107">
        <v>5.3</v>
      </c>
      <c r="Y107">
        <v>1.3</v>
      </c>
      <c r="Z107">
        <v>0.6</v>
      </c>
      <c r="AA107">
        <v>1.1000000000000001</v>
      </c>
      <c r="AB107">
        <v>0.5</v>
      </c>
      <c r="AC107">
        <v>1.9</v>
      </c>
      <c r="AD107">
        <v>10.4</v>
      </c>
      <c r="AE107" t="str">
        <f>IF(OR(_nba2122[[#This Row],[G]]&gt;=58,nba2122_advanced[[#This Row],[MP]]&gt;=1000),"Y","N")</f>
        <v>Y</v>
      </c>
      <c r="AF10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8.8294255495317611</v>
      </c>
    </row>
    <row r="108" spans="1:32" x14ac:dyDescent="0.35">
      <c r="A108">
        <v>107</v>
      </c>
      <c r="B108" s="1" t="s">
        <v>173</v>
      </c>
      <c r="C108" s="1" t="s">
        <v>41</v>
      </c>
      <c r="D108">
        <v>29</v>
      </c>
      <c r="E108" s="1" t="s">
        <v>70</v>
      </c>
      <c r="F108">
        <v>79</v>
      </c>
      <c r="G108">
        <v>1</v>
      </c>
      <c r="H108">
        <v>27.1</v>
      </c>
      <c r="I108">
        <v>5.9</v>
      </c>
      <c r="J108">
        <v>14.1</v>
      </c>
      <c r="K108">
        <v>0.41899999999999998</v>
      </c>
      <c r="L108">
        <v>2.4</v>
      </c>
      <c r="M108">
        <v>7.6</v>
      </c>
      <c r="N108">
        <v>0.318</v>
      </c>
      <c r="O108">
        <v>3.5</v>
      </c>
      <c r="P108">
        <v>6.5</v>
      </c>
      <c r="Q108">
        <v>0.53500000000000003</v>
      </c>
      <c r="R108">
        <v>0.504</v>
      </c>
      <c r="S108">
        <v>1.8</v>
      </c>
      <c r="T108">
        <v>2.2000000000000002</v>
      </c>
      <c r="U108">
        <v>0.82799999999999996</v>
      </c>
      <c r="V108">
        <v>0.8</v>
      </c>
      <c r="W108">
        <v>2.6</v>
      </c>
      <c r="X108">
        <v>3.5</v>
      </c>
      <c r="Y108">
        <v>2.5</v>
      </c>
      <c r="Z108">
        <v>0.8</v>
      </c>
      <c r="AA108">
        <v>0.2</v>
      </c>
      <c r="AB108">
        <v>1.6</v>
      </c>
      <c r="AC108">
        <v>1.9</v>
      </c>
      <c r="AD108">
        <v>16</v>
      </c>
      <c r="AE108" t="str">
        <f>IF(OR(_nba2122[[#This Row],[G]]&gt;=58,nba2122_advanced[[#This Row],[MP]]&gt;=1000),"Y","N")</f>
        <v>Y</v>
      </c>
      <c r="AF10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4.0405184794700721</v>
      </c>
    </row>
    <row r="109" spans="1:32" x14ac:dyDescent="0.35">
      <c r="A109">
        <v>108</v>
      </c>
      <c r="B109" s="1" t="s">
        <v>174</v>
      </c>
      <c r="C109" s="1" t="s">
        <v>31</v>
      </c>
      <c r="D109">
        <v>22</v>
      </c>
      <c r="E109" s="1" t="s">
        <v>39</v>
      </c>
      <c r="F109">
        <v>47</v>
      </c>
      <c r="G109">
        <v>19</v>
      </c>
      <c r="H109">
        <v>20.7</v>
      </c>
      <c r="I109">
        <v>3.8</v>
      </c>
      <c r="J109">
        <v>5.6</v>
      </c>
      <c r="K109">
        <v>0.67400000000000004</v>
      </c>
      <c r="L109">
        <v>0</v>
      </c>
      <c r="M109">
        <v>0</v>
      </c>
      <c r="O109">
        <v>3.8</v>
      </c>
      <c r="P109">
        <v>5.6</v>
      </c>
      <c r="Q109">
        <v>0.67400000000000004</v>
      </c>
      <c r="R109">
        <v>0.67400000000000004</v>
      </c>
      <c r="S109">
        <v>1.1000000000000001</v>
      </c>
      <c r="T109">
        <v>2</v>
      </c>
      <c r="U109">
        <v>0.58099999999999996</v>
      </c>
      <c r="V109">
        <v>1.9</v>
      </c>
      <c r="W109">
        <v>3.7</v>
      </c>
      <c r="X109">
        <v>5.6</v>
      </c>
      <c r="Y109">
        <v>0.9</v>
      </c>
      <c r="Z109">
        <v>0.5</v>
      </c>
      <c r="AA109">
        <v>1.1000000000000001</v>
      </c>
      <c r="AB109">
        <v>0.8</v>
      </c>
      <c r="AC109">
        <v>2.2999999999999998</v>
      </c>
      <c r="AD109">
        <v>8.6999999999999993</v>
      </c>
      <c r="AE109" t="str">
        <f>IF(OR(_nba2122[[#This Row],[G]]&gt;=58,nba2122_advanced[[#This Row],[MP]]&gt;=1000),"Y","N")</f>
        <v>N</v>
      </c>
      <c r="AF10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10.07179104558708</v>
      </c>
    </row>
    <row r="110" spans="1:32" x14ac:dyDescent="0.35">
      <c r="A110">
        <v>109</v>
      </c>
      <c r="B110" s="1" t="s">
        <v>175</v>
      </c>
      <c r="C110" s="1" t="s">
        <v>41</v>
      </c>
      <c r="D110">
        <v>24</v>
      </c>
      <c r="E110" s="1" t="s">
        <v>93</v>
      </c>
      <c r="F110">
        <v>69</v>
      </c>
      <c r="G110">
        <v>30</v>
      </c>
      <c r="H110">
        <v>22.7</v>
      </c>
      <c r="I110">
        <v>3.1</v>
      </c>
      <c r="J110">
        <v>6.8</v>
      </c>
      <c r="K110">
        <v>0.45300000000000001</v>
      </c>
      <c r="L110">
        <v>1.4</v>
      </c>
      <c r="M110">
        <v>3.7</v>
      </c>
      <c r="N110">
        <v>0.378</v>
      </c>
      <c r="O110">
        <v>1.7</v>
      </c>
      <c r="P110">
        <v>3.1</v>
      </c>
      <c r="Q110">
        <v>0.54200000000000004</v>
      </c>
      <c r="R110">
        <v>0.55600000000000005</v>
      </c>
      <c r="S110">
        <v>1.5</v>
      </c>
      <c r="T110">
        <v>1.7</v>
      </c>
      <c r="U110">
        <v>0.86299999999999999</v>
      </c>
      <c r="V110">
        <v>0.4</v>
      </c>
      <c r="W110">
        <v>2.5</v>
      </c>
      <c r="X110">
        <v>2.9</v>
      </c>
      <c r="Y110">
        <v>1.8</v>
      </c>
      <c r="Z110">
        <v>0.6</v>
      </c>
      <c r="AA110">
        <v>0.2</v>
      </c>
      <c r="AB110">
        <v>0.7</v>
      </c>
      <c r="AC110">
        <v>1.3</v>
      </c>
      <c r="AD110">
        <v>9</v>
      </c>
      <c r="AE110" t="str">
        <f>IF(OR(_nba2122[[#This Row],[G]]&gt;=58,nba2122_advanced[[#This Row],[MP]]&gt;=1000),"Y","N")</f>
        <v>Y</v>
      </c>
      <c r="AF11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5.4804560269558289</v>
      </c>
    </row>
    <row r="111" spans="1:32" x14ac:dyDescent="0.35">
      <c r="A111">
        <v>110</v>
      </c>
      <c r="B111" s="1" t="s">
        <v>176</v>
      </c>
      <c r="C111" s="1" t="s">
        <v>28</v>
      </c>
      <c r="D111">
        <v>24</v>
      </c>
      <c r="E111" s="1" t="s">
        <v>80</v>
      </c>
      <c r="F111">
        <v>54</v>
      </c>
      <c r="G111">
        <v>53</v>
      </c>
      <c r="H111">
        <v>30.8</v>
      </c>
      <c r="I111">
        <v>6.3</v>
      </c>
      <c r="J111">
        <v>11.9</v>
      </c>
      <c r="K111">
        <v>0.52600000000000002</v>
      </c>
      <c r="L111">
        <v>1.2</v>
      </c>
      <c r="M111">
        <v>3.3</v>
      </c>
      <c r="N111">
        <v>0.36399999999999999</v>
      </c>
      <c r="O111">
        <v>5.0999999999999996</v>
      </c>
      <c r="P111">
        <v>8.6999999999999993</v>
      </c>
      <c r="Q111">
        <v>0.58799999999999997</v>
      </c>
      <c r="R111">
        <v>0.57599999999999996</v>
      </c>
      <c r="S111">
        <v>2.5</v>
      </c>
      <c r="T111">
        <v>3.1</v>
      </c>
      <c r="U111">
        <v>0.79300000000000004</v>
      </c>
      <c r="V111">
        <v>1.7</v>
      </c>
      <c r="W111">
        <v>6.1</v>
      </c>
      <c r="X111">
        <v>7.8</v>
      </c>
      <c r="Y111">
        <v>1.8</v>
      </c>
      <c r="Z111">
        <v>0.6</v>
      </c>
      <c r="AA111">
        <v>1</v>
      </c>
      <c r="AB111">
        <v>1.1000000000000001</v>
      </c>
      <c r="AC111">
        <v>3</v>
      </c>
      <c r="AD111">
        <v>16.2</v>
      </c>
      <c r="AE111" t="str">
        <f>IF(OR(_nba2122[[#This Row],[G]]&gt;=58,nba2122_advanced[[#This Row],[MP]]&gt;=1000),"Y","N")</f>
        <v>Y</v>
      </c>
      <c r="AF11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6.3098652544116742</v>
      </c>
    </row>
    <row r="112" spans="1:32" x14ac:dyDescent="0.35">
      <c r="A112">
        <v>111</v>
      </c>
      <c r="B112" s="1" t="s">
        <v>177</v>
      </c>
      <c r="C112" s="1" t="s">
        <v>28</v>
      </c>
      <c r="D112">
        <v>24</v>
      </c>
      <c r="E112" s="1" t="s">
        <v>91</v>
      </c>
      <c r="F112">
        <v>28</v>
      </c>
      <c r="G112">
        <v>4</v>
      </c>
      <c r="H112">
        <v>17.899999999999999</v>
      </c>
      <c r="I112">
        <v>2.7</v>
      </c>
      <c r="J112">
        <v>5.5</v>
      </c>
      <c r="K112">
        <v>0.49</v>
      </c>
      <c r="L112">
        <v>0.5</v>
      </c>
      <c r="M112">
        <v>1.5</v>
      </c>
      <c r="N112">
        <v>0.34100000000000003</v>
      </c>
      <c r="O112">
        <v>2.2000000000000002</v>
      </c>
      <c r="P112">
        <v>4.0999999999999996</v>
      </c>
      <c r="Q112">
        <v>0.54400000000000004</v>
      </c>
      <c r="R112">
        <v>0.53500000000000003</v>
      </c>
      <c r="S112">
        <v>1.9</v>
      </c>
      <c r="T112">
        <v>2.2999999999999998</v>
      </c>
      <c r="U112">
        <v>0.8</v>
      </c>
      <c r="V112">
        <v>1.6</v>
      </c>
      <c r="W112">
        <v>3.8</v>
      </c>
      <c r="X112">
        <v>5.5</v>
      </c>
      <c r="Y112">
        <v>2.2000000000000002</v>
      </c>
      <c r="Z112">
        <v>0.5</v>
      </c>
      <c r="AA112">
        <v>0.8</v>
      </c>
      <c r="AB112">
        <v>1.6</v>
      </c>
      <c r="AC112">
        <v>2.4</v>
      </c>
      <c r="AD112">
        <v>7.8</v>
      </c>
      <c r="AE112" t="str">
        <f>IF(OR(_nba2122[[#This Row],[G]]&gt;=58,nba2122_advanced[[#This Row],[MP]]&gt;=1000),"Y","N")</f>
        <v>N</v>
      </c>
      <c r="AF11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5.9875394922291312</v>
      </c>
    </row>
    <row r="113" spans="1:32" x14ac:dyDescent="0.35">
      <c r="A113">
        <v>112</v>
      </c>
      <c r="B113" s="1" t="s">
        <v>178</v>
      </c>
      <c r="C113" s="1" t="s">
        <v>48</v>
      </c>
      <c r="D113">
        <v>34</v>
      </c>
      <c r="E113" s="1" t="s">
        <v>56</v>
      </c>
      <c r="F113">
        <v>3</v>
      </c>
      <c r="G113">
        <v>0</v>
      </c>
      <c r="H113">
        <v>12.3</v>
      </c>
      <c r="I113">
        <v>0.7</v>
      </c>
      <c r="J113">
        <v>2.2999999999999998</v>
      </c>
      <c r="K113">
        <v>0.28599999999999998</v>
      </c>
      <c r="L113">
        <v>0</v>
      </c>
      <c r="M113">
        <v>1</v>
      </c>
      <c r="N113">
        <v>0</v>
      </c>
      <c r="O113">
        <v>0.7</v>
      </c>
      <c r="P113">
        <v>1.3</v>
      </c>
      <c r="Q113">
        <v>0.5</v>
      </c>
      <c r="R113">
        <v>0.28599999999999998</v>
      </c>
      <c r="S113">
        <v>0</v>
      </c>
      <c r="T113">
        <v>0</v>
      </c>
      <c r="V113">
        <v>0</v>
      </c>
      <c r="W113">
        <v>1.3</v>
      </c>
      <c r="X113">
        <v>1.3</v>
      </c>
      <c r="Y113">
        <v>0.7</v>
      </c>
      <c r="Z113">
        <v>0.3</v>
      </c>
      <c r="AA113">
        <v>0</v>
      </c>
      <c r="AB113">
        <v>0.3</v>
      </c>
      <c r="AC113">
        <v>1.7</v>
      </c>
      <c r="AD113">
        <v>1.3</v>
      </c>
      <c r="AE113" t="str">
        <f>IF(OR(_nba2122[[#This Row],[G]]&gt;=58,nba2122_advanced[[#This Row],[MP]]&gt;=1000),"Y","N")</f>
        <v>N</v>
      </c>
      <c r="AF11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12.704229893749954</v>
      </c>
    </row>
    <row r="114" spans="1:32" x14ac:dyDescent="0.35">
      <c r="A114">
        <v>113</v>
      </c>
      <c r="B114" s="1" t="s">
        <v>179</v>
      </c>
      <c r="C114" s="1" t="s">
        <v>48</v>
      </c>
      <c r="D114">
        <v>34</v>
      </c>
      <c r="E114" s="1" t="s">
        <v>70</v>
      </c>
      <c r="F114">
        <v>72</v>
      </c>
      <c r="G114">
        <v>72</v>
      </c>
      <c r="H114">
        <v>28.6</v>
      </c>
      <c r="I114">
        <v>4.8</v>
      </c>
      <c r="J114">
        <v>11</v>
      </c>
      <c r="K114">
        <v>0.435</v>
      </c>
      <c r="L114">
        <v>2.2999999999999998</v>
      </c>
      <c r="M114">
        <v>5.8</v>
      </c>
      <c r="N114">
        <v>0.40799999999999997</v>
      </c>
      <c r="O114">
        <v>2.4</v>
      </c>
      <c r="P114">
        <v>5.2</v>
      </c>
      <c r="Q114">
        <v>0.46400000000000002</v>
      </c>
      <c r="R114">
        <v>0.54200000000000004</v>
      </c>
      <c r="S114">
        <v>1.8</v>
      </c>
      <c r="T114">
        <v>2.2999999999999998</v>
      </c>
      <c r="U114">
        <v>0.79600000000000004</v>
      </c>
      <c r="V114">
        <v>0.7</v>
      </c>
      <c r="W114">
        <v>2.4</v>
      </c>
      <c r="X114">
        <v>3</v>
      </c>
      <c r="Y114">
        <v>5.3</v>
      </c>
      <c r="Z114">
        <v>1.3</v>
      </c>
      <c r="AA114">
        <v>0.3</v>
      </c>
      <c r="AB114">
        <v>1.7</v>
      </c>
      <c r="AC114">
        <v>2</v>
      </c>
      <c r="AD114">
        <v>13.7</v>
      </c>
      <c r="AE114" t="str">
        <f>IF(OR(_nba2122[[#This Row],[G]]&gt;=58,nba2122_advanced[[#This Row],[MP]]&gt;=1000),"Y","N")</f>
        <v>Y</v>
      </c>
      <c r="AF11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5.586184999534014</v>
      </c>
    </row>
    <row r="115" spans="1:32" x14ac:dyDescent="0.35">
      <c r="A115">
        <v>114</v>
      </c>
      <c r="B115" s="1" t="s">
        <v>180</v>
      </c>
      <c r="C115" s="1" t="s">
        <v>41</v>
      </c>
      <c r="D115">
        <v>29</v>
      </c>
      <c r="E115" s="1" t="s">
        <v>44</v>
      </c>
      <c r="F115">
        <v>65</v>
      </c>
      <c r="G115">
        <v>19</v>
      </c>
      <c r="H115">
        <v>26</v>
      </c>
      <c r="I115">
        <v>3.5</v>
      </c>
      <c r="J115">
        <v>7.6</v>
      </c>
      <c r="K115">
        <v>0.45800000000000002</v>
      </c>
      <c r="L115">
        <v>2.2000000000000002</v>
      </c>
      <c r="M115">
        <v>5.7</v>
      </c>
      <c r="N115">
        <v>0.39500000000000002</v>
      </c>
      <c r="O115">
        <v>1.2</v>
      </c>
      <c r="P115">
        <v>1.9</v>
      </c>
      <c r="Q115">
        <v>0.64300000000000002</v>
      </c>
      <c r="R115">
        <v>0.60499999999999998</v>
      </c>
      <c r="S115">
        <v>0.7</v>
      </c>
      <c r="T115">
        <v>0.8</v>
      </c>
      <c r="U115">
        <v>0.83299999999999996</v>
      </c>
      <c r="V115">
        <v>0.7</v>
      </c>
      <c r="W115">
        <v>3.5</v>
      </c>
      <c r="X115">
        <v>4.2</v>
      </c>
      <c r="Y115">
        <v>1.3</v>
      </c>
      <c r="Z115">
        <v>0.9</v>
      </c>
      <c r="AA115">
        <v>0.2</v>
      </c>
      <c r="AB115">
        <v>0.5</v>
      </c>
      <c r="AC115">
        <v>1.3</v>
      </c>
      <c r="AD115">
        <v>9.9</v>
      </c>
      <c r="AE115" t="str">
        <f>IF(OR(_nba2122[[#This Row],[G]]&gt;=58,nba2122_advanced[[#This Row],[MP]]&gt;=1000),"Y","N")</f>
        <v>Y</v>
      </c>
      <c r="AF11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6.453317997748564</v>
      </c>
    </row>
    <row r="116" spans="1:32" x14ac:dyDescent="0.35">
      <c r="A116">
        <v>115</v>
      </c>
      <c r="B116" s="1" t="s">
        <v>181</v>
      </c>
      <c r="C116" s="1" t="s">
        <v>28</v>
      </c>
      <c r="D116">
        <v>24</v>
      </c>
      <c r="E116" s="1" t="s">
        <v>75</v>
      </c>
      <c r="F116">
        <v>20</v>
      </c>
      <c r="G116">
        <v>2</v>
      </c>
      <c r="H116">
        <v>10</v>
      </c>
      <c r="I116">
        <v>1.2</v>
      </c>
      <c r="J116">
        <v>1.9</v>
      </c>
      <c r="K116">
        <v>0.60499999999999998</v>
      </c>
      <c r="L116">
        <v>0</v>
      </c>
      <c r="M116">
        <v>0</v>
      </c>
      <c r="O116">
        <v>1.2</v>
      </c>
      <c r="P116">
        <v>1.9</v>
      </c>
      <c r="Q116">
        <v>0.60499999999999998</v>
      </c>
      <c r="R116">
        <v>0.60499999999999998</v>
      </c>
      <c r="S116">
        <v>1.1000000000000001</v>
      </c>
      <c r="T116">
        <v>1.6</v>
      </c>
      <c r="U116">
        <v>0.65600000000000003</v>
      </c>
      <c r="V116">
        <v>0.8</v>
      </c>
      <c r="W116">
        <v>1.9</v>
      </c>
      <c r="X116">
        <v>2.7</v>
      </c>
      <c r="Y116">
        <v>0.2</v>
      </c>
      <c r="Z116">
        <v>0.2</v>
      </c>
      <c r="AA116">
        <v>0.2</v>
      </c>
      <c r="AB116">
        <v>0.4</v>
      </c>
      <c r="AC116">
        <v>1.4</v>
      </c>
      <c r="AD116">
        <v>3.4</v>
      </c>
      <c r="AE116" t="str">
        <f>IF(OR(_nba2122[[#This Row],[G]]&gt;=58,nba2122_advanced[[#This Row],[MP]]&gt;=1000),"Y","N")</f>
        <v>N</v>
      </c>
      <c r="AF11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11.785272841225854</v>
      </c>
    </row>
    <row r="117" spans="1:32" x14ac:dyDescent="0.35">
      <c r="A117">
        <v>116</v>
      </c>
      <c r="B117" s="1" t="s">
        <v>182</v>
      </c>
      <c r="C117" s="1" t="s">
        <v>48</v>
      </c>
      <c r="D117">
        <v>20</v>
      </c>
      <c r="E117" s="1" t="s">
        <v>80</v>
      </c>
      <c r="F117">
        <v>13</v>
      </c>
      <c r="G117">
        <v>0</v>
      </c>
      <c r="H117">
        <v>3</v>
      </c>
      <c r="I117">
        <v>0.2</v>
      </c>
      <c r="J117">
        <v>1.1000000000000001</v>
      </c>
      <c r="K117">
        <v>0.214</v>
      </c>
      <c r="L117">
        <v>0.1</v>
      </c>
      <c r="M117">
        <v>0.5</v>
      </c>
      <c r="N117">
        <v>0.16700000000000001</v>
      </c>
      <c r="O117">
        <v>0.2</v>
      </c>
      <c r="P117">
        <v>0.6</v>
      </c>
      <c r="Q117">
        <v>0.25</v>
      </c>
      <c r="R117">
        <v>0.25</v>
      </c>
      <c r="S117">
        <v>0</v>
      </c>
      <c r="T117">
        <v>0</v>
      </c>
      <c r="V117">
        <v>0</v>
      </c>
      <c r="W117">
        <v>0.4</v>
      </c>
      <c r="X117">
        <v>0.4</v>
      </c>
      <c r="Y117">
        <v>0.4</v>
      </c>
      <c r="Z117">
        <v>0</v>
      </c>
      <c r="AA117">
        <v>0</v>
      </c>
      <c r="AB117">
        <v>0.4</v>
      </c>
      <c r="AC117">
        <v>0.1</v>
      </c>
      <c r="AD117">
        <v>0.5</v>
      </c>
      <c r="AE117" t="str">
        <f>IF(OR(_nba2122[[#This Row],[G]]&gt;=58,nba2122_advanced[[#This Row],[MP]]&gt;=1000),"Y","N")</f>
        <v>N</v>
      </c>
      <c r="AF11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15.150590016861143</v>
      </c>
    </row>
    <row r="118" spans="1:32" x14ac:dyDescent="0.35">
      <c r="A118">
        <v>117</v>
      </c>
      <c r="B118" s="1" t="s">
        <v>183</v>
      </c>
      <c r="C118" s="1" t="s">
        <v>28</v>
      </c>
      <c r="D118">
        <v>26</v>
      </c>
      <c r="E118" s="1" t="s">
        <v>86</v>
      </c>
      <c r="F118">
        <v>13</v>
      </c>
      <c r="G118">
        <v>0</v>
      </c>
      <c r="H118">
        <v>2.9</v>
      </c>
      <c r="I118">
        <v>0.4</v>
      </c>
      <c r="J118">
        <v>1.2</v>
      </c>
      <c r="K118">
        <v>0.33300000000000002</v>
      </c>
      <c r="L118">
        <v>0.1</v>
      </c>
      <c r="M118">
        <v>0.6</v>
      </c>
      <c r="N118">
        <v>0.125</v>
      </c>
      <c r="O118">
        <v>0.3</v>
      </c>
      <c r="P118">
        <v>0.5</v>
      </c>
      <c r="Q118">
        <v>0.57099999999999995</v>
      </c>
      <c r="R118">
        <v>0.36699999999999999</v>
      </c>
      <c r="S118">
        <v>0.2</v>
      </c>
      <c r="T118">
        <v>0.3</v>
      </c>
      <c r="U118">
        <v>0.75</v>
      </c>
      <c r="V118">
        <v>0.5</v>
      </c>
      <c r="W118">
        <v>0.5</v>
      </c>
      <c r="X118">
        <v>1.1000000000000001</v>
      </c>
      <c r="Y118">
        <v>0.2</v>
      </c>
      <c r="Z118">
        <v>0.1</v>
      </c>
      <c r="AA118">
        <v>0.1</v>
      </c>
      <c r="AB118">
        <v>0.3</v>
      </c>
      <c r="AC118">
        <v>0.5</v>
      </c>
      <c r="AD118">
        <v>1.1000000000000001</v>
      </c>
      <c r="AE118" t="str">
        <f>IF(OR(_nba2122[[#This Row],[G]]&gt;=58,nba2122_advanced[[#This Row],[MP]]&gt;=1000),"Y","N")</f>
        <v>N</v>
      </c>
      <c r="AF11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10.61690382562454</v>
      </c>
    </row>
    <row r="119" spans="1:32" x14ac:dyDescent="0.35">
      <c r="A119">
        <v>118</v>
      </c>
      <c r="B119" s="1" t="s">
        <v>184</v>
      </c>
      <c r="C119" s="1" t="s">
        <v>31</v>
      </c>
      <c r="D119">
        <v>31</v>
      </c>
      <c r="E119" s="1" t="s">
        <v>42</v>
      </c>
      <c r="F119">
        <v>48</v>
      </c>
      <c r="G119">
        <v>7</v>
      </c>
      <c r="H119">
        <v>15</v>
      </c>
      <c r="I119">
        <v>3.1</v>
      </c>
      <c r="J119">
        <v>6.8</v>
      </c>
      <c r="K119">
        <v>0.46</v>
      </c>
      <c r="L119">
        <v>0.8</v>
      </c>
      <c r="M119">
        <v>2.5</v>
      </c>
      <c r="N119">
        <v>0.30299999999999999</v>
      </c>
      <c r="O119">
        <v>2.2999999999999998</v>
      </c>
      <c r="P119">
        <v>4.2</v>
      </c>
      <c r="Q119">
        <v>0.55400000000000005</v>
      </c>
      <c r="R119">
        <v>0.51700000000000002</v>
      </c>
      <c r="S119">
        <v>2</v>
      </c>
      <c r="T119">
        <v>2.6</v>
      </c>
      <c r="U119">
        <v>0.76</v>
      </c>
      <c r="V119">
        <v>1.5</v>
      </c>
      <c r="W119">
        <v>4.0999999999999996</v>
      </c>
      <c r="X119">
        <v>5.6</v>
      </c>
      <c r="Y119">
        <v>1.5</v>
      </c>
      <c r="Z119">
        <v>0.7</v>
      </c>
      <c r="AA119">
        <v>0.4</v>
      </c>
      <c r="AB119">
        <v>1.8</v>
      </c>
      <c r="AC119">
        <v>2.9</v>
      </c>
      <c r="AD119">
        <v>9</v>
      </c>
      <c r="AE119" t="str">
        <f>IF(OR(_nba2122[[#This Row],[G]]&gt;=58,nba2122_advanced[[#This Row],[MP]]&gt;=1000),"Y","N")</f>
        <v>N</v>
      </c>
      <c r="AF11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6.0711505829752914</v>
      </c>
    </row>
    <row r="120" spans="1:32" x14ac:dyDescent="0.35">
      <c r="A120">
        <v>119</v>
      </c>
      <c r="B120" s="2" t="s">
        <v>185</v>
      </c>
      <c r="C120" s="1" t="s">
        <v>28</v>
      </c>
      <c r="D120">
        <v>31</v>
      </c>
      <c r="E120" s="1" t="s">
        <v>42</v>
      </c>
      <c r="F120">
        <v>71</v>
      </c>
      <c r="G120">
        <v>42</v>
      </c>
      <c r="H120">
        <v>27.3</v>
      </c>
      <c r="I120">
        <v>2.9</v>
      </c>
      <c r="J120">
        <v>7</v>
      </c>
      <c r="K120">
        <v>0.42</v>
      </c>
      <c r="L120">
        <v>1.8</v>
      </c>
      <c r="M120">
        <v>4.8</v>
      </c>
      <c r="N120">
        <v>0.378</v>
      </c>
      <c r="O120">
        <v>1.1000000000000001</v>
      </c>
      <c r="P120">
        <v>2.2000000000000002</v>
      </c>
      <c r="Q120">
        <v>0.50900000000000001</v>
      </c>
      <c r="R120">
        <v>0.54800000000000004</v>
      </c>
      <c r="S120">
        <v>0.8</v>
      </c>
      <c r="T120">
        <v>1</v>
      </c>
      <c r="U120">
        <v>0.84099999999999997</v>
      </c>
      <c r="V120">
        <v>0.8</v>
      </c>
      <c r="W120">
        <v>4.7</v>
      </c>
      <c r="X120">
        <v>5.5</v>
      </c>
      <c r="Y120">
        <v>1.3</v>
      </c>
      <c r="Z120">
        <v>1.5</v>
      </c>
      <c r="AA120">
        <v>1.3</v>
      </c>
      <c r="AB120">
        <v>1.1000000000000001</v>
      </c>
      <c r="AC120">
        <v>2.7</v>
      </c>
      <c r="AD120">
        <v>8.5</v>
      </c>
      <c r="AE120" t="str">
        <f>IF(OR(_nba2122[[#This Row],[G]]&gt;=58,nba2122_advanced[[#This Row],[MP]]&gt;=1000),"Y","N")</f>
        <v>Y</v>
      </c>
      <c r="AF12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8.6555135716149874</v>
      </c>
    </row>
    <row r="121" spans="1:32" x14ac:dyDescent="0.35">
      <c r="A121">
        <v>120</v>
      </c>
      <c r="B121" s="1" t="s">
        <v>187</v>
      </c>
      <c r="C121" s="1" t="s">
        <v>51</v>
      </c>
      <c r="D121">
        <v>31</v>
      </c>
      <c r="E121" s="1" t="s">
        <v>42</v>
      </c>
      <c r="F121">
        <v>78</v>
      </c>
      <c r="G121">
        <v>16</v>
      </c>
      <c r="H121">
        <v>20.5</v>
      </c>
      <c r="I121">
        <v>2.6</v>
      </c>
      <c r="J121">
        <v>5.7</v>
      </c>
      <c r="K121">
        <v>0.45400000000000001</v>
      </c>
      <c r="L121">
        <v>1</v>
      </c>
      <c r="M121">
        <v>3</v>
      </c>
      <c r="N121">
        <v>0.32900000000000001</v>
      </c>
      <c r="O121">
        <v>1.6</v>
      </c>
      <c r="P121">
        <v>2.7</v>
      </c>
      <c r="Q121">
        <v>0.59399999999999997</v>
      </c>
      <c r="R121">
        <v>0.54100000000000004</v>
      </c>
      <c r="S121">
        <v>0.5</v>
      </c>
      <c r="T121">
        <v>0.7</v>
      </c>
      <c r="U121">
        <v>0.75</v>
      </c>
      <c r="V121">
        <v>1.1000000000000001</v>
      </c>
      <c r="W121">
        <v>2.9</v>
      </c>
      <c r="X121">
        <v>4</v>
      </c>
      <c r="Y121">
        <v>1.2</v>
      </c>
      <c r="Z121">
        <v>0.6</v>
      </c>
      <c r="AA121">
        <v>0.5</v>
      </c>
      <c r="AB121">
        <v>0.9</v>
      </c>
      <c r="AC121">
        <v>1.9</v>
      </c>
      <c r="AD121">
        <v>6.6</v>
      </c>
      <c r="AE121" t="str">
        <f>IF(OR(_nba2122[[#This Row],[G]]&gt;=58,nba2122_advanced[[#This Row],[MP]]&gt;=1000),"Y","N")</f>
        <v>Y</v>
      </c>
      <c r="AF12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4.4543872444869761</v>
      </c>
    </row>
    <row r="122" spans="1:32" x14ac:dyDescent="0.35">
      <c r="A122">
        <v>121</v>
      </c>
      <c r="B122" s="1" t="s">
        <v>188</v>
      </c>
      <c r="C122" s="1" t="s">
        <v>28</v>
      </c>
      <c r="D122">
        <v>31</v>
      </c>
      <c r="E122" s="1" t="s">
        <v>68</v>
      </c>
      <c r="F122">
        <v>67</v>
      </c>
      <c r="G122">
        <v>67</v>
      </c>
      <c r="H122">
        <v>28.1</v>
      </c>
      <c r="I122">
        <v>3.2</v>
      </c>
      <c r="J122">
        <v>8.1</v>
      </c>
      <c r="K122">
        <v>0.39900000000000002</v>
      </c>
      <c r="L122">
        <v>1.9</v>
      </c>
      <c r="M122">
        <v>5.4</v>
      </c>
      <c r="N122">
        <v>0.34799999999999998</v>
      </c>
      <c r="O122">
        <v>1.3</v>
      </c>
      <c r="P122">
        <v>2.7</v>
      </c>
      <c r="Q122">
        <v>0.503</v>
      </c>
      <c r="R122">
        <v>0.51600000000000001</v>
      </c>
      <c r="S122">
        <v>1.1000000000000001</v>
      </c>
      <c r="T122">
        <v>1.3</v>
      </c>
      <c r="U122">
        <v>0.78900000000000003</v>
      </c>
      <c r="V122">
        <v>0.4</v>
      </c>
      <c r="W122">
        <v>4.8</v>
      </c>
      <c r="X122">
        <v>5.3</v>
      </c>
      <c r="Y122">
        <v>1.9</v>
      </c>
      <c r="Z122">
        <v>1.4</v>
      </c>
      <c r="AA122">
        <v>0.4</v>
      </c>
      <c r="AB122">
        <v>0.8</v>
      </c>
      <c r="AC122">
        <v>2.6</v>
      </c>
      <c r="AD122">
        <v>9.4</v>
      </c>
      <c r="AE122" t="str">
        <f>IF(OR(_nba2122[[#This Row],[G]]&gt;=58,nba2122_advanced[[#This Row],[MP]]&gt;=1000),"Y","N")</f>
        <v>Y</v>
      </c>
      <c r="AF12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5.5446373743280288</v>
      </c>
    </row>
    <row r="123" spans="1:32" x14ac:dyDescent="0.35">
      <c r="A123">
        <v>122</v>
      </c>
      <c r="B123" s="1" t="s">
        <v>189</v>
      </c>
      <c r="C123" s="1" t="s">
        <v>41</v>
      </c>
      <c r="D123">
        <v>22</v>
      </c>
      <c r="E123" s="1" t="s">
        <v>34</v>
      </c>
      <c r="F123">
        <v>37</v>
      </c>
      <c r="G123">
        <v>0</v>
      </c>
      <c r="H123">
        <v>9.1</v>
      </c>
      <c r="I123">
        <v>1.4</v>
      </c>
      <c r="J123">
        <v>3.6</v>
      </c>
      <c r="K123">
        <v>0.378</v>
      </c>
      <c r="L123">
        <v>0.3</v>
      </c>
      <c r="M123">
        <v>1.3</v>
      </c>
      <c r="N123">
        <v>0.255</v>
      </c>
      <c r="O123">
        <v>1.1000000000000001</v>
      </c>
      <c r="P123">
        <v>2.4</v>
      </c>
      <c r="Q123">
        <v>0.443</v>
      </c>
      <c r="R123">
        <v>0.42199999999999999</v>
      </c>
      <c r="S123">
        <v>0.4</v>
      </c>
      <c r="T123">
        <v>0.9</v>
      </c>
      <c r="U123">
        <v>0.47099999999999997</v>
      </c>
      <c r="V123">
        <v>0.4</v>
      </c>
      <c r="W123">
        <v>0.9</v>
      </c>
      <c r="X123">
        <v>1.3</v>
      </c>
      <c r="Y123">
        <v>0.9</v>
      </c>
      <c r="Z123">
        <v>0.5</v>
      </c>
      <c r="AA123">
        <v>0.1</v>
      </c>
      <c r="AB123">
        <v>0.5</v>
      </c>
      <c r="AC123">
        <v>1.1000000000000001</v>
      </c>
      <c r="AD123">
        <v>3.5</v>
      </c>
      <c r="AE123" t="str">
        <f>IF(OR(_nba2122[[#This Row],[G]]&gt;=58,nba2122_advanced[[#This Row],[MP]]&gt;=1000),"Y","N")</f>
        <v>N</v>
      </c>
      <c r="AF12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7.6958467414378005</v>
      </c>
    </row>
    <row r="124" spans="1:32" x14ac:dyDescent="0.35">
      <c r="A124">
        <v>123</v>
      </c>
      <c r="B124" s="1" t="s">
        <v>190</v>
      </c>
      <c r="C124" s="1" t="s">
        <v>41</v>
      </c>
      <c r="D124">
        <v>24</v>
      </c>
      <c r="E124" s="1" t="s">
        <v>114</v>
      </c>
      <c r="F124">
        <v>3</v>
      </c>
      <c r="G124">
        <v>0</v>
      </c>
      <c r="H124">
        <v>4</v>
      </c>
      <c r="I124">
        <v>0.3</v>
      </c>
      <c r="J124">
        <v>0.7</v>
      </c>
      <c r="K124">
        <v>0.5</v>
      </c>
      <c r="L124">
        <v>0</v>
      </c>
      <c r="M124">
        <v>0.3</v>
      </c>
      <c r="N124">
        <v>0</v>
      </c>
      <c r="O124">
        <v>0.3</v>
      </c>
      <c r="P124">
        <v>0.3</v>
      </c>
      <c r="Q124">
        <v>1</v>
      </c>
      <c r="R124">
        <v>0.5</v>
      </c>
      <c r="S124">
        <v>0</v>
      </c>
      <c r="T124">
        <v>0</v>
      </c>
      <c r="V124">
        <v>0.3</v>
      </c>
      <c r="W124">
        <v>0.7</v>
      </c>
      <c r="X124">
        <v>1</v>
      </c>
      <c r="Y124">
        <v>0.3</v>
      </c>
      <c r="Z124">
        <v>0</v>
      </c>
      <c r="AA124">
        <v>0</v>
      </c>
      <c r="AB124">
        <v>0</v>
      </c>
      <c r="AC124">
        <v>0.7</v>
      </c>
      <c r="AD124">
        <v>0.7</v>
      </c>
      <c r="AE124" t="str">
        <f>IF(OR(_nba2122[[#This Row],[G]]&gt;=58,nba2122_advanced[[#This Row],[MP]]&gt;=1000),"Y","N")</f>
        <v>N</v>
      </c>
      <c r="AF12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14.453394997039659</v>
      </c>
    </row>
    <row r="125" spans="1:32" x14ac:dyDescent="0.35">
      <c r="A125">
        <v>124</v>
      </c>
      <c r="B125" s="1" t="s">
        <v>191</v>
      </c>
      <c r="C125" s="1" t="s">
        <v>48</v>
      </c>
      <c r="D125">
        <v>20</v>
      </c>
      <c r="E125" s="1" t="s">
        <v>105</v>
      </c>
      <c r="F125">
        <v>64</v>
      </c>
      <c r="G125">
        <v>64</v>
      </c>
      <c r="H125">
        <v>32.6</v>
      </c>
      <c r="I125">
        <v>6.7</v>
      </c>
      <c r="J125">
        <v>16.100000000000001</v>
      </c>
      <c r="K125">
        <v>0.41599999999999998</v>
      </c>
      <c r="L125">
        <v>1.8</v>
      </c>
      <c r="M125">
        <v>5.7</v>
      </c>
      <c r="N125">
        <v>0.314</v>
      </c>
      <c r="O125">
        <v>4.9000000000000004</v>
      </c>
      <c r="P125">
        <v>10.4</v>
      </c>
      <c r="Q125">
        <v>0.47199999999999998</v>
      </c>
      <c r="R125">
        <v>0.47099999999999997</v>
      </c>
      <c r="S125">
        <v>2.2000000000000002</v>
      </c>
      <c r="T125">
        <v>2.6</v>
      </c>
      <c r="U125">
        <v>0.84499999999999997</v>
      </c>
      <c r="V125">
        <v>0.9</v>
      </c>
      <c r="W125">
        <v>4.5999999999999996</v>
      </c>
      <c r="X125">
        <v>5.5</v>
      </c>
      <c r="Y125">
        <v>5.6</v>
      </c>
      <c r="Z125">
        <v>1.2</v>
      </c>
      <c r="AA125">
        <v>0.7</v>
      </c>
      <c r="AB125">
        <v>3.7</v>
      </c>
      <c r="AC125">
        <v>3.1</v>
      </c>
      <c r="AD125">
        <v>17.399999999999999</v>
      </c>
      <c r="AE125" t="str">
        <f>IF(OR(_nba2122[[#This Row],[G]]&gt;=58,nba2122_advanced[[#This Row],[MP]]&gt;=1000),"Y","N")</f>
        <v>Y</v>
      </c>
      <c r="AF12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7.3760032253959409</v>
      </c>
    </row>
    <row r="126" spans="1:32" x14ac:dyDescent="0.35">
      <c r="A126">
        <v>125</v>
      </c>
      <c r="B126" s="1" t="s">
        <v>192</v>
      </c>
      <c r="C126" s="1" t="s">
        <v>41</v>
      </c>
      <c r="D126">
        <v>31</v>
      </c>
      <c r="E126" s="1" t="s">
        <v>42</v>
      </c>
      <c r="F126">
        <v>64</v>
      </c>
      <c r="G126">
        <v>64</v>
      </c>
      <c r="H126">
        <v>33.4</v>
      </c>
      <c r="I126">
        <v>5.6</v>
      </c>
      <c r="J126">
        <v>11.5</v>
      </c>
      <c r="K126">
        <v>0.48699999999999999</v>
      </c>
      <c r="L126">
        <v>2.5</v>
      </c>
      <c r="M126">
        <v>5.8</v>
      </c>
      <c r="N126">
        <v>0.42199999999999999</v>
      </c>
      <c r="O126">
        <v>3.2</v>
      </c>
      <c r="P126">
        <v>5.7</v>
      </c>
      <c r="Q126">
        <v>0.55300000000000005</v>
      </c>
      <c r="R126">
        <v>0.59399999999999997</v>
      </c>
      <c r="S126">
        <v>1.3</v>
      </c>
      <c r="T126">
        <v>1.5</v>
      </c>
      <c r="U126">
        <v>0.872</v>
      </c>
      <c r="V126">
        <v>0.3</v>
      </c>
      <c r="W126">
        <v>2.8</v>
      </c>
      <c r="X126">
        <v>3.1</v>
      </c>
      <c r="Y126">
        <v>3.6</v>
      </c>
      <c r="Z126">
        <v>0.8</v>
      </c>
      <c r="AA126">
        <v>0.2</v>
      </c>
      <c r="AB126">
        <v>1.7</v>
      </c>
      <c r="AC126">
        <v>2.2999999999999998</v>
      </c>
      <c r="AD126">
        <v>15</v>
      </c>
      <c r="AE126" t="str">
        <f>IF(OR(_nba2122[[#This Row],[G]]&gt;=58,nba2122_advanced[[#This Row],[MP]]&gt;=1000),"Y","N")</f>
        <v>Y</v>
      </c>
      <c r="AF12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4.5445065487871901</v>
      </c>
    </row>
    <row r="127" spans="1:32" x14ac:dyDescent="0.35">
      <c r="A127">
        <v>126</v>
      </c>
      <c r="B127" s="1" t="s">
        <v>193</v>
      </c>
      <c r="C127" s="1" t="s">
        <v>48</v>
      </c>
      <c r="D127">
        <v>33</v>
      </c>
      <c r="E127" s="1" t="s">
        <v>111</v>
      </c>
      <c r="F127">
        <v>64</v>
      </c>
      <c r="G127">
        <v>64</v>
      </c>
      <c r="H127">
        <v>34.5</v>
      </c>
      <c r="I127">
        <v>8.4</v>
      </c>
      <c r="J127">
        <v>19.100000000000001</v>
      </c>
      <c r="K127">
        <v>0.437</v>
      </c>
      <c r="L127">
        <v>4.5</v>
      </c>
      <c r="M127">
        <v>11.7</v>
      </c>
      <c r="N127">
        <v>0.38</v>
      </c>
      <c r="O127">
        <v>3.9</v>
      </c>
      <c r="P127">
        <v>7.4</v>
      </c>
      <c r="Q127">
        <v>0.52700000000000002</v>
      </c>
      <c r="R127">
        <v>0.55400000000000005</v>
      </c>
      <c r="S127">
        <v>4.3</v>
      </c>
      <c r="T127">
        <v>4.7</v>
      </c>
      <c r="U127">
        <v>0.92300000000000004</v>
      </c>
      <c r="V127">
        <v>0.5</v>
      </c>
      <c r="W127">
        <v>4.7</v>
      </c>
      <c r="X127">
        <v>5.2</v>
      </c>
      <c r="Y127">
        <v>6.3</v>
      </c>
      <c r="Z127">
        <v>1.3</v>
      </c>
      <c r="AA127">
        <v>0.4</v>
      </c>
      <c r="AB127">
        <v>3.2</v>
      </c>
      <c r="AC127">
        <v>2</v>
      </c>
      <c r="AD127">
        <v>25.5</v>
      </c>
      <c r="AE127" t="str">
        <f>IF(OR(_nba2122[[#This Row],[G]]&gt;=58,nba2122_advanced[[#This Row],[MP]]&gt;=1000),"Y","N")</f>
        <v>Y</v>
      </c>
      <c r="AF12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8.0325242969885782</v>
      </c>
    </row>
    <row r="128" spans="1:32" x14ac:dyDescent="0.35">
      <c r="A128">
        <v>127</v>
      </c>
      <c r="B128" s="1" t="s">
        <v>194</v>
      </c>
      <c r="C128" s="1" t="s">
        <v>31</v>
      </c>
      <c r="D128">
        <v>28</v>
      </c>
      <c r="E128" s="1" t="s">
        <v>56</v>
      </c>
      <c r="F128">
        <v>40</v>
      </c>
      <c r="G128">
        <v>40</v>
      </c>
      <c r="H128">
        <v>35.1</v>
      </c>
      <c r="I128">
        <v>9.3000000000000007</v>
      </c>
      <c r="J128">
        <v>17.399999999999999</v>
      </c>
      <c r="K128">
        <v>0.53200000000000003</v>
      </c>
      <c r="L128">
        <v>0.3</v>
      </c>
      <c r="M128">
        <v>1.8</v>
      </c>
      <c r="N128">
        <v>0.186</v>
      </c>
      <c r="O128">
        <v>8.9</v>
      </c>
      <c r="P128">
        <v>15.6</v>
      </c>
      <c r="Q128">
        <v>0.57099999999999995</v>
      </c>
      <c r="R128">
        <v>0.54200000000000004</v>
      </c>
      <c r="S128">
        <v>4.4000000000000004</v>
      </c>
      <c r="T128">
        <v>6.1</v>
      </c>
      <c r="U128">
        <v>0.71299999999999997</v>
      </c>
      <c r="V128">
        <v>2.7</v>
      </c>
      <c r="W128">
        <v>7.2</v>
      </c>
      <c r="X128">
        <v>9.9</v>
      </c>
      <c r="Y128">
        <v>3.1</v>
      </c>
      <c r="Z128">
        <v>1.2</v>
      </c>
      <c r="AA128">
        <v>2.2999999999999998</v>
      </c>
      <c r="AB128">
        <v>2.1</v>
      </c>
      <c r="AC128">
        <v>2.4</v>
      </c>
      <c r="AD128">
        <v>23.2</v>
      </c>
      <c r="AE128" t="str">
        <f>IF(OR(_nba2122[[#This Row],[G]]&gt;=58,nba2122_advanced[[#This Row],[MP]]&gt;=1000),"Y","N")</f>
        <v>Y</v>
      </c>
      <c r="AF12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12.409532022817329</v>
      </c>
    </row>
    <row r="129" spans="1:32" x14ac:dyDescent="0.35">
      <c r="A129">
        <v>128</v>
      </c>
      <c r="B129" s="1" t="s">
        <v>195</v>
      </c>
      <c r="C129" s="1" t="s">
        <v>31</v>
      </c>
      <c r="D129">
        <v>32</v>
      </c>
      <c r="E129" s="1" t="s">
        <v>46</v>
      </c>
      <c r="F129">
        <v>31</v>
      </c>
      <c r="G129">
        <v>3</v>
      </c>
      <c r="H129">
        <v>6.5</v>
      </c>
      <c r="I129">
        <v>0.4</v>
      </c>
      <c r="J129">
        <v>0.5</v>
      </c>
      <c r="K129">
        <v>0.68799999999999994</v>
      </c>
      <c r="L129">
        <v>0</v>
      </c>
      <c r="M129">
        <v>0</v>
      </c>
      <c r="O129">
        <v>0.4</v>
      </c>
      <c r="P129">
        <v>0.5</v>
      </c>
      <c r="Q129">
        <v>0.68799999999999994</v>
      </c>
      <c r="R129">
        <v>0.68799999999999994</v>
      </c>
      <c r="S129">
        <v>0.2</v>
      </c>
      <c r="T129">
        <v>0.5</v>
      </c>
      <c r="U129">
        <v>0.42899999999999999</v>
      </c>
      <c r="V129">
        <v>0.5</v>
      </c>
      <c r="W129">
        <v>1.6</v>
      </c>
      <c r="X129">
        <v>2.1</v>
      </c>
      <c r="Y129">
        <v>0.2</v>
      </c>
      <c r="Z129">
        <v>0.1</v>
      </c>
      <c r="AA129">
        <v>0.3</v>
      </c>
      <c r="AB129">
        <v>0.2</v>
      </c>
      <c r="AC129">
        <v>1.1000000000000001</v>
      </c>
      <c r="AD129">
        <v>0.9</v>
      </c>
      <c r="AE129" t="str">
        <f>IF(OR(_nba2122[[#This Row],[G]]&gt;=58,nba2122_advanced[[#This Row],[MP]]&gt;=1000),"Y","N")</f>
        <v>N</v>
      </c>
      <c r="AF12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15.54723260028288</v>
      </c>
    </row>
    <row r="130" spans="1:32" x14ac:dyDescent="0.35">
      <c r="A130">
        <v>129</v>
      </c>
      <c r="B130" s="1" t="s">
        <v>196</v>
      </c>
      <c r="C130" s="1" t="s">
        <v>41</v>
      </c>
      <c r="D130">
        <v>24</v>
      </c>
      <c r="E130" s="1" t="s">
        <v>82</v>
      </c>
      <c r="F130">
        <v>30</v>
      </c>
      <c r="G130">
        <v>11</v>
      </c>
      <c r="H130">
        <v>17.899999999999999</v>
      </c>
      <c r="I130">
        <v>3.8</v>
      </c>
      <c r="J130">
        <v>8.9</v>
      </c>
      <c r="K130">
        <v>0.42299999999999999</v>
      </c>
      <c r="L130">
        <v>1.6</v>
      </c>
      <c r="M130">
        <v>5</v>
      </c>
      <c r="N130">
        <v>0.32900000000000001</v>
      </c>
      <c r="O130">
        <v>2.1</v>
      </c>
      <c r="P130">
        <v>3.9</v>
      </c>
      <c r="Q130">
        <v>0.54200000000000004</v>
      </c>
      <c r="R130">
        <v>0.51500000000000001</v>
      </c>
      <c r="S130">
        <v>1.2</v>
      </c>
      <c r="T130">
        <v>1.5</v>
      </c>
      <c r="U130">
        <v>0.81799999999999995</v>
      </c>
      <c r="V130">
        <v>0.4</v>
      </c>
      <c r="W130">
        <v>2.8</v>
      </c>
      <c r="X130">
        <v>3.1</v>
      </c>
      <c r="Y130">
        <v>1.3</v>
      </c>
      <c r="Z130">
        <v>0.8</v>
      </c>
      <c r="AA130">
        <v>0.4</v>
      </c>
      <c r="AB130">
        <v>1.1000000000000001</v>
      </c>
      <c r="AC130">
        <v>2.2999999999999998</v>
      </c>
      <c r="AD130">
        <v>10.4</v>
      </c>
      <c r="AE130" t="str">
        <f>IF(OR(_nba2122[[#This Row],[G]]&gt;=58,nba2122_advanced[[#This Row],[MP]]&gt;=1000),"Y","N")</f>
        <v>N</v>
      </c>
      <c r="AF13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3.8500268407442815</v>
      </c>
    </row>
    <row r="131" spans="1:32" x14ac:dyDescent="0.35">
      <c r="A131">
        <v>130</v>
      </c>
      <c r="B131" s="1" t="s">
        <v>197</v>
      </c>
      <c r="C131" s="1" t="s">
        <v>28</v>
      </c>
      <c r="D131">
        <v>26</v>
      </c>
      <c r="E131" s="1" t="s">
        <v>96</v>
      </c>
      <c r="F131">
        <v>7</v>
      </c>
      <c r="G131">
        <v>0</v>
      </c>
      <c r="H131">
        <v>8</v>
      </c>
      <c r="I131">
        <v>1.1000000000000001</v>
      </c>
      <c r="J131">
        <v>2</v>
      </c>
      <c r="K131">
        <v>0.57099999999999995</v>
      </c>
      <c r="L131">
        <v>0.3</v>
      </c>
      <c r="M131">
        <v>0.6</v>
      </c>
      <c r="N131">
        <v>0.5</v>
      </c>
      <c r="O131">
        <v>0.9</v>
      </c>
      <c r="P131">
        <v>1.4</v>
      </c>
      <c r="Q131">
        <v>0.6</v>
      </c>
      <c r="R131">
        <v>0.64300000000000002</v>
      </c>
      <c r="S131">
        <v>0</v>
      </c>
      <c r="T131">
        <v>0</v>
      </c>
      <c r="V131">
        <v>0.1</v>
      </c>
      <c r="W131">
        <v>0.7</v>
      </c>
      <c r="X131">
        <v>0.9</v>
      </c>
      <c r="Y131">
        <v>0.7</v>
      </c>
      <c r="Z131">
        <v>0.1</v>
      </c>
      <c r="AA131">
        <v>0</v>
      </c>
      <c r="AB131">
        <v>0.3</v>
      </c>
      <c r="AC131">
        <v>0.3</v>
      </c>
      <c r="AD131">
        <v>2.6</v>
      </c>
      <c r="AE131" t="str">
        <f>IF(OR(_nba2122[[#This Row],[G]]&gt;=58,nba2122_advanced[[#This Row],[MP]]&gt;=1000),"Y","N")</f>
        <v>N</v>
      </c>
      <c r="AF13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11.610045544147296</v>
      </c>
    </row>
    <row r="132" spans="1:32" x14ac:dyDescent="0.35">
      <c r="A132">
        <v>131</v>
      </c>
      <c r="B132" s="1" t="s">
        <v>198</v>
      </c>
      <c r="C132" s="1" t="s">
        <v>31</v>
      </c>
      <c r="D132">
        <v>32</v>
      </c>
      <c r="E132" s="1" t="s">
        <v>36</v>
      </c>
      <c r="F132">
        <v>67</v>
      </c>
      <c r="G132">
        <v>15</v>
      </c>
      <c r="H132">
        <v>15.9</v>
      </c>
      <c r="I132">
        <v>2.4</v>
      </c>
      <c r="J132">
        <v>4.3</v>
      </c>
      <c r="K132">
        <v>0.56599999999999995</v>
      </c>
      <c r="L132">
        <v>0.3</v>
      </c>
      <c r="M132">
        <v>0.7</v>
      </c>
      <c r="N132">
        <v>0.40400000000000003</v>
      </c>
      <c r="O132">
        <v>2.2000000000000002</v>
      </c>
      <c r="P132">
        <v>3.6</v>
      </c>
      <c r="Q132">
        <v>0.59699999999999998</v>
      </c>
      <c r="R132">
        <v>0.59799999999999998</v>
      </c>
      <c r="S132">
        <v>1.1000000000000001</v>
      </c>
      <c r="T132">
        <v>1.5</v>
      </c>
      <c r="U132">
        <v>0.75</v>
      </c>
      <c r="V132">
        <v>1.6</v>
      </c>
      <c r="W132">
        <v>4.2</v>
      </c>
      <c r="X132">
        <v>5.8</v>
      </c>
      <c r="Y132">
        <v>0.7</v>
      </c>
      <c r="Z132">
        <v>0.4</v>
      </c>
      <c r="AA132">
        <v>0.6</v>
      </c>
      <c r="AB132">
        <v>1</v>
      </c>
      <c r="AC132">
        <v>2.6</v>
      </c>
      <c r="AD132">
        <v>6.3</v>
      </c>
      <c r="AE132" t="str">
        <f>IF(OR(_nba2122[[#This Row],[G]]&gt;=58,nba2122_advanced[[#This Row],[MP]]&gt;=1000),"Y","N")</f>
        <v>Y</v>
      </c>
      <c r="AF13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8.2056248487405146</v>
      </c>
    </row>
    <row r="133" spans="1:32" x14ac:dyDescent="0.35">
      <c r="A133">
        <v>132</v>
      </c>
      <c r="B133" s="1" t="s">
        <v>199</v>
      </c>
      <c r="C133" s="1" t="s">
        <v>28</v>
      </c>
      <c r="D133">
        <v>27</v>
      </c>
      <c r="E133" s="1" t="s">
        <v>32</v>
      </c>
      <c r="F133">
        <v>1</v>
      </c>
      <c r="G133">
        <v>0</v>
      </c>
      <c r="H133">
        <v>1</v>
      </c>
      <c r="I133">
        <v>0</v>
      </c>
      <c r="J133">
        <v>0</v>
      </c>
      <c r="L133">
        <v>0</v>
      </c>
      <c r="M133">
        <v>0</v>
      </c>
      <c r="O133">
        <v>0</v>
      </c>
      <c r="P133">
        <v>0</v>
      </c>
      <c r="S133">
        <v>0</v>
      </c>
      <c r="T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tr">
        <f>IF(OR(_nba2122[[#This Row],[G]]&gt;=58,nba2122_advanced[[#This Row],[MP]]&gt;=1000),"Y","N")</f>
        <v>N</v>
      </c>
      <c r="AF13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20</v>
      </c>
    </row>
    <row r="134" spans="1:32" x14ac:dyDescent="0.35">
      <c r="A134">
        <v>133</v>
      </c>
      <c r="B134" s="1" t="s">
        <v>200</v>
      </c>
      <c r="C134" s="1" t="s">
        <v>31</v>
      </c>
      <c r="D134">
        <v>23</v>
      </c>
      <c r="E134" s="1" t="s">
        <v>44</v>
      </c>
      <c r="F134">
        <v>1</v>
      </c>
      <c r="G134">
        <v>0</v>
      </c>
      <c r="H134">
        <v>3</v>
      </c>
      <c r="I134">
        <v>0</v>
      </c>
      <c r="J134">
        <v>0</v>
      </c>
      <c r="L134">
        <v>0</v>
      </c>
      <c r="M134">
        <v>0</v>
      </c>
      <c r="O134">
        <v>0</v>
      </c>
      <c r="P134">
        <v>0</v>
      </c>
      <c r="S134">
        <v>0</v>
      </c>
      <c r="T134">
        <v>0</v>
      </c>
      <c r="V134">
        <v>0</v>
      </c>
      <c r="W134">
        <v>1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1</v>
      </c>
      <c r="AD134">
        <v>0</v>
      </c>
      <c r="AE134" t="str">
        <f>IF(OR(_nba2122[[#This Row],[G]]&gt;=58,nba2122_advanced[[#This Row],[MP]]&gt;=1000),"Y","N")</f>
        <v>N</v>
      </c>
      <c r="AF13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25.579307008404641</v>
      </c>
    </row>
    <row r="135" spans="1:32" x14ac:dyDescent="0.35">
      <c r="A135">
        <v>134</v>
      </c>
      <c r="B135" s="1" t="s">
        <v>201</v>
      </c>
      <c r="C135" s="1" t="s">
        <v>28</v>
      </c>
      <c r="D135">
        <v>32</v>
      </c>
      <c r="E135" s="1" t="s">
        <v>75</v>
      </c>
      <c r="F135">
        <v>76</v>
      </c>
      <c r="G135">
        <v>76</v>
      </c>
      <c r="H135">
        <v>36.1</v>
      </c>
      <c r="I135">
        <v>10.199999999999999</v>
      </c>
      <c r="J135">
        <v>20.2</v>
      </c>
      <c r="K135">
        <v>0.504</v>
      </c>
      <c r="L135">
        <v>0.7</v>
      </c>
      <c r="M135">
        <v>1.9</v>
      </c>
      <c r="N135">
        <v>0.35199999999999998</v>
      </c>
      <c r="O135">
        <v>9.5</v>
      </c>
      <c r="P135">
        <v>18.3</v>
      </c>
      <c r="Q135">
        <v>0.52</v>
      </c>
      <c r="R135">
        <v>0.52100000000000002</v>
      </c>
      <c r="S135">
        <v>6.8</v>
      </c>
      <c r="T135">
        <v>7.8</v>
      </c>
      <c r="U135">
        <v>0.877</v>
      </c>
      <c r="V135">
        <v>0.7</v>
      </c>
      <c r="W135">
        <v>4.4000000000000004</v>
      </c>
      <c r="X135">
        <v>5.2</v>
      </c>
      <c r="Y135">
        <v>4.9000000000000004</v>
      </c>
      <c r="Z135">
        <v>0.9</v>
      </c>
      <c r="AA135">
        <v>0.3</v>
      </c>
      <c r="AB135">
        <v>2.4</v>
      </c>
      <c r="AC135">
        <v>2.2999999999999998</v>
      </c>
      <c r="AD135">
        <v>27.9</v>
      </c>
      <c r="AE135" t="str">
        <f>IF(OR(_nba2122[[#This Row],[G]]&gt;=58,nba2122_advanced[[#This Row],[MP]]&gt;=1000),"Y","N")</f>
        <v>Y</v>
      </c>
      <c r="AF13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7.6231596292784864</v>
      </c>
    </row>
    <row r="136" spans="1:32" x14ac:dyDescent="0.35">
      <c r="A136">
        <v>135</v>
      </c>
      <c r="B136" s="1" t="s">
        <v>202</v>
      </c>
      <c r="C136" s="1" t="s">
        <v>28</v>
      </c>
      <c r="D136">
        <v>25</v>
      </c>
      <c r="E136" s="1" t="s">
        <v>96</v>
      </c>
      <c r="F136">
        <v>13</v>
      </c>
      <c r="G136">
        <v>3</v>
      </c>
      <c r="H136">
        <v>14.5</v>
      </c>
      <c r="I136">
        <v>1.9</v>
      </c>
      <c r="J136">
        <v>3.6</v>
      </c>
      <c r="K136">
        <v>0.53200000000000003</v>
      </c>
      <c r="L136">
        <v>0</v>
      </c>
      <c r="M136">
        <v>0.4</v>
      </c>
      <c r="N136">
        <v>0</v>
      </c>
      <c r="O136">
        <v>1.9</v>
      </c>
      <c r="P136">
        <v>3.2</v>
      </c>
      <c r="Q136">
        <v>0.59499999999999997</v>
      </c>
      <c r="R136">
        <v>0.53200000000000003</v>
      </c>
      <c r="S136">
        <v>0.5</v>
      </c>
      <c r="T136">
        <v>0.8</v>
      </c>
      <c r="U136">
        <v>0.54500000000000004</v>
      </c>
      <c r="V136">
        <v>1.3</v>
      </c>
      <c r="W136">
        <v>3.2</v>
      </c>
      <c r="X136">
        <v>4.5</v>
      </c>
      <c r="Y136">
        <v>0.2</v>
      </c>
      <c r="Z136">
        <v>0.4</v>
      </c>
      <c r="AA136">
        <v>0.7</v>
      </c>
      <c r="AB136">
        <v>0.5</v>
      </c>
      <c r="AC136">
        <v>2.5</v>
      </c>
      <c r="AD136">
        <v>4.3</v>
      </c>
      <c r="AE136" t="str">
        <f>IF(OR(_nba2122[[#This Row],[G]]&gt;=58,nba2122_advanced[[#This Row],[MP]]&gt;=1000),"Y","N")</f>
        <v>N</v>
      </c>
      <c r="AF13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9.5110685932509291</v>
      </c>
    </row>
    <row r="137" spans="1:32" x14ac:dyDescent="0.35">
      <c r="A137">
        <v>136</v>
      </c>
      <c r="B137" s="1" t="s">
        <v>203</v>
      </c>
      <c r="C137" s="1" t="s">
        <v>31</v>
      </c>
      <c r="D137">
        <v>25</v>
      </c>
      <c r="E137" s="1" t="s">
        <v>105</v>
      </c>
      <c r="F137">
        <v>3</v>
      </c>
      <c r="G137">
        <v>0</v>
      </c>
      <c r="H137">
        <v>10.3</v>
      </c>
      <c r="I137">
        <v>1</v>
      </c>
      <c r="J137">
        <v>2.7</v>
      </c>
      <c r="K137">
        <v>0.375</v>
      </c>
      <c r="L137">
        <v>0</v>
      </c>
      <c r="M137">
        <v>0</v>
      </c>
      <c r="O137">
        <v>1</v>
      </c>
      <c r="P137">
        <v>2.7</v>
      </c>
      <c r="Q137">
        <v>0.375</v>
      </c>
      <c r="R137">
        <v>0.375</v>
      </c>
      <c r="S137">
        <v>1.7</v>
      </c>
      <c r="T137">
        <v>2</v>
      </c>
      <c r="U137">
        <v>0.83299999999999996</v>
      </c>
      <c r="V137">
        <v>1.3</v>
      </c>
      <c r="W137">
        <v>2.7</v>
      </c>
      <c r="X137">
        <v>4</v>
      </c>
      <c r="Y137">
        <v>0</v>
      </c>
      <c r="Z137">
        <v>0.3</v>
      </c>
      <c r="AA137">
        <v>0</v>
      </c>
      <c r="AB137">
        <v>0.3</v>
      </c>
      <c r="AC137">
        <v>2</v>
      </c>
      <c r="AD137">
        <v>3.7</v>
      </c>
      <c r="AE137" t="str">
        <f>IF(OR(_nba2122[[#This Row],[G]]&gt;=58,nba2122_advanced[[#This Row],[MP]]&gt;=1000),"Y","N")</f>
        <v>N</v>
      </c>
      <c r="AF13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12.496725020017708</v>
      </c>
    </row>
    <row r="138" spans="1:32" x14ac:dyDescent="0.35">
      <c r="A138">
        <v>137</v>
      </c>
      <c r="B138" s="1" t="s">
        <v>204</v>
      </c>
      <c r="C138" s="1" t="s">
        <v>41</v>
      </c>
      <c r="D138">
        <v>23</v>
      </c>
      <c r="E138" s="1" t="s">
        <v>105</v>
      </c>
      <c r="F138">
        <v>58</v>
      </c>
      <c r="G138">
        <v>29</v>
      </c>
      <c r="H138">
        <v>21.9</v>
      </c>
      <c r="I138">
        <v>4.5</v>
      </c>
      <c r="J138">
        <v>9.1</v>
      </c>
      <c r="K138">
        <v>0.496</v>
      </c>
      <c r="L138">
        <v>0.4</v>
      </c>
      <c r="M138">
        <v>1.6</v>
      </c>
      <c r="N138">
        <v>0.247</v>
      </c>
      <c r="O138">
        <v>4.0999999999999996</v>
      </c>
      <c r="P138">
        <v>7.5</v>
      </c>
      <c r="Q138">
        <v>0.55000000000000004</v>
      </c>
      <c r="R138">
        <v>0.51800000000000002</v>
      </c>
      <c r="S138">
        <v>1.6</v>
      </c>
      <c r="T138">
        <v>2.4</v>
      </c>
      <c r="U138">
        <v>0.65</v>
      </c>
      <c r="V138">
        <v>1.2</v>
      </c>
      <c r="W138">
        <v>3.6</v>
      </c>
      <c r="X138">
        <v>4.8</v>
      </c>
      <c r="Y138">
        <v>1.3</v>
      </c>
      <c r="Z138">
        <v>1.2</v>
      </c>
      <c r="AA138">
        <v>0.3</v>
      </c>
      <c r="AB138">
        <v>1</v>
      </c>
      <c r="AC138">
        <v>2.5</v>
      </c>
      <c r="AD138">
        <v>11</v>
      </c>
      <c r="AE138" t="str">
        <f>IF(OR(_nba2122[[#This Row],[G]]&gt;=58,nba2122_advanced[[#This Row],[MP]]&gt;=1000),"Y","N")</f>
        <v>Y</v>
      </c>
      <c r="AF13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5.2700805194084417</v>
      </c>
    </row>
    <row r="139" spans="1:32" x14ac:dyDescent="0.35">
      <c r="A139">
        <v>138</v>
      </c>
      <c r="B139" s="1" t="s">
        <v>205</v>
      </c>
      <c r="C139" s="1" t="s">
        <v>31</v>
      </c>
      <c r="D139">
        <v>32</v>
      </c>
      <c r="E139" s="1" t="s">
        <v>80</v>
      </c>
      <c r="F139">
        <v>44</v>
      </c>
      <c r="G139">
        <v>3</v>
      </c>
      <c r="H139">
        <v>8.4</v>
      </c>
      <c r="I139">
        <v>1.2</v>
      </c>
      <c r="J139">
        <v>2.5</v>
      </c>
      <c r="K139">
        <v>0.47299999999999998</v>
      </c>
      <c r="L139">
        <v>0.7</v>
      </c>
      <c r="M139">
        <v>1.5</v>
      </c>
      <c r="N139">
        <v>0.42599999999999999</v>
      </c>
      <c r="O139">
        <v>0.5</v>
      </c>
      <c r="P139">
        <v>1</v>
      </c>
      <c r="Q139">
        <v>0.54500000000000004</v>
      </c>
      <c r="R139">
        <v>0.60299999999999998</v>
      </c>
      <c r="S139">
        <v>0.4</v>
      </c>
      <c r="T139">
        <v>0.6</v>
      </c>
      <c r="U139">
        <v>0.73099999999999998</v>
      </c>
      <c r="V139">
        <v>0.7</v>
      </c>
      <c r="W139">
        <v>2</v>
      </c>
      <c r="X139">
        <v>2.8</v>
      </c>
      <c r="Y139">
        <v>0.8</v>
      </c>
      <c r="Z139">
        <v>0.3</v>
      </c>
      <c r="AA139">
        <v>0.3</v>
      </c>
      <c r="AB139">
        <v>0.5</v>
      </c>
      <c r="AC139">
        <v>1.2</v>
      </c>
      <c r="AD139">
        <v>3.5</v>
      </c>
      <c r="AE139" t="str">
        <f>IF(OR(_nba2122[[#This Row],[G]]&gt;=58,nba2122_advanced[[#This Row],[MP]]&gt;=1000),"Y","N")</f>
        <v>N</v>
      </c>
      <c r="AF13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7.1596985609538226</v>
      </c>
    </row>
    <row r="140" spans="1:32" x14ac:dyDescent="0.35">
      <c r="A140">
        <v>139</v>
      </c>
      <c r="B140" s="1" t="s">
        <v>206</v>
      </c>
      <c r="C140" s="1" t="s">
        <v>48</v>
      </c>
      <c r="D140">
        <v>28</v>
      </c>
      <c r="E140" s="1" t="s">
        <v>42</v>
      </c>
      <c r="F140">
        <v>67</v>
      </c>
      <c r="G140">
        <v>51</v>
      </c>
      <c r="H140">
        <v>29.6</v>
      </c>
      <c r="I140">
        <v>4.5999999999999996</v>
      </c>
      <c r="J140">
        <v>11</v>
      </c>
      <c r="K140">
        <v>0.41599999999999998</v>
      </c>
      <c r="L140">
        <v>1.7</v>
      </c>
      <c r="M140">
        <v>4.9000000000000004</v>
      </c>
      <c r="N140">
        <v>0.33900000000000002</v>
      </c>
      <c r="O140">
        <v>2.9</v>
      </c>
      <c r="P140">
        <v>6</v>
      </c>
      <c r="Q140">
        <v>0.47899999999999998</v>
      </c>
      <c r="R140">
        <v>0.49299999999999999</v>
      </c>
      <c r="S140">
        <v>2.9</v>
      </c>
      <c r="T140">
        <v>3.8</v>
      </c>
      <c r="U140">
        <v>0.77400000000000002</v>
      </c>
      <c r="V140">
        <v>0.7</v>
      </c>
      <c r="W140">
        <v>3.5</v>
      </c>
      <c r="X140">
        <v>4.2</v>
      </c>
      <c r="Y140">
        <v>5.2</v>
      </c>
      <c r="Z140">
        <v>0.7</v>
      </c>
      <c r="AA140">
        <v>0.2</v>
      </c>
      <c r="AB140">
        <v>1.6</v>
      </c>
      <c r="AC140">
        <v>2.2000000000000002</v>
      </c>
      <c r="AD140">
        <v>13.7</v>
      </c>
      <c r="AE140" t="str">
        <f>IF(OR(_nba2122[[#This Row],[G]]&gt;=58,nba2122_advanced[[#This Row],[MP]]&gt;=1000),"Y","N")</f>
        <v>Y</v>
      </c>
      <c r="AF14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4.683987446148814</v>
      </c>
    </row>
    <row r="141" spans="1:32" x14ac:dyDescent="0.35">
      <c r="A141">
        <v>140</v>
      </c>
      <c r="B141" s="1" t="s">
        <v>207</v>
      </c>
      <c r="C141" s="1" t="s">
        <v>41</v>
      </c>
      <c r="D141">
        <v>25</v>
      </c>
      <c r="E141" s="1" t="s">
        <v>42</v>
      </c>
      <c r="F141">
        <v>42</v>
      </c>
      <c r="G141">
        <v>1</v>
      </c>
      <c r="H141">
        <v>24</v>
      </c>
      <c r="I141">
        <v>2.8</v>
      </c>
      <c r="J141">
        <v>8</v>
      </c>
      <c r="K141">
        <v>0.35099999999999998</v>
      </c>
      <c r="L141">
        <v>1.8</v>
      </c>
      <c r="M141">
        <v>5.2</v>
      </c>
      <c r="N141">
        <v>0.33900000000000002</v>
      </c>
      <c r="O141">
        <v>1</v>
      </c>
      <c r="P141">
        <v>2.8</v>
      </c>
      <c r="Q141">
        <v>0.373</v>
      </c>
      <c r="R141">
        <v>0.46100000000000002</v>
      </c>
      <c r="S141">
        <v>1.7</v>
      </c>
      <c r="T141">
        <v>2</v>
      </c>
      <c r="U141">
        <v>0.84299999999999997</v>
      </c>
      <c r="V141">
        <v>1</v>
      </c>
      <c r="W141">
        <v>3.1</v>
      </c>
      <c r="X141">
        <v>4</v>
      </c>
      <c r="Y141">
        <v>2.8</v>
      </c>
      <c r="Z141">
        <v>1.1000000000000001</v>
      </c>
      <c r="AA141">
        <v>0.2</v>
      </c>
      <c r="AB141">
        <v>1.7</v>
      </c>
      <c r="AC141">
        <v>1.6</v>
      </c>
      <c r="AD141">
        <v>9</v>
      </c>
      <c r="AE141" t="str">
        <f>IF(OR(_nba2122[[#This Row],[G]]&gt;=58,nba2122_advanced[[#This Row],[MP]]&gt;=1000),"Y","N")</f>
        <v>Y</v>
      </c>
      <c r="AF14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4.7546586870341887</v>
      </c>
    </row>
    <row r="142" spans="1:32" x14ac:dyDescent="0.35">
      <c r="A142">
        <v>141</v>
      </c>
      <c r="B142" s="1" t="s">
        <v>208</v>
      </c>
      <c r="C142" s="1" t="s">
        <v>48</v>
      </c>
      <c r="D142">
        <v>22</v>
      </c>
      <c r="E142" s="1" t="s">
        <v>143</v>
      </c>
      <c r="F142">
        <v>65</v>
      </c>
      <c r="G142">
        <v>65</v>
      </c>
      <c r="H142">
        <v>35.4</v>
      </c>
      <c r="I142">
        <v>9.9</v>
      </c>
      <c r="J142">
        <v>21.6</v>
      </c>
      <c r="K142">
        <v>0.45700000000000002</v>
      </c>
      <c r="L142">
        <v>3.1</v>
      </c>
      <c r="M142">
        <v>8.8000000000000007</v>
      </c>
      <c r="N142">
        <v>0.35299999999999998</v>
      </c>
      <c r="O142">
        <v>6.8</v>
      </c>
      <c r="P142">
        <v>12.8</v>
      </c>
      <c r="Q142">
        <v>0.52800000000000002</v>
      </c>
      <c r="R142">
        <v>0.52900000000000003</v>
      </c>
      <c r="S142">
        <v>5.6</v>
      </c>
      <c r="T142">
        <v>7.5</v>
      </c>
      <c r="U142">
        <v>0.74399999999999999</v>
      </c>
      <c r="V142">
        <v>0.9</v>
      </c>
      <c r="W142">
        <v>8.3000000000000007</v>
      </c>
      <c r="X142">
        <v>9.1</v>
      </c>
      <c r="Y142">
        <v>8.6999999999999993</v>
      </c>
      <c r="Z142">
        <v>1.2</v>
      </c>
      <c r="AA142">
        <v>0.6</v>
      </c>
      <c r="AB142">
        <v>4.5</v>
      </c>
      <c r="AC142">
        <v>2.2000000000000002</v>
      </c>
      <c r="AD142">
        <v>28.4</v>
      </c>
      <c r="AE142" t="str">
        <f>IF(OR(_nba2122[[#This Row],[G]]&gt;=58,nba2122_advanced[[#This Row],[MP]]&gt;=1000),"Y","N")</f>
        <v>Y</v>
      </c>
      <c r="AF14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11.916494753663097</v>
      </c>
    </row>
    <row r="143" spans="1:32" x14ac:dyDescent="0.35">
      <c r="A143">
        <v>142</v>
      </c>
      <c r="B143" s="1" t="s">
        <v>209</v>
      </c>
      <c r="C143" s="1" t="s">
        <v>51</v>
      </c>
      <c r="D143">
        <v>22</v>
      </c>
      <c r="E143" s="1" t="s">
        <v>96</v>
      </c>
      <c r="F143">
        <v>51</v>
      </c>
      <c r="G143">
        <v>51</v>
      </c>
      <c r="H143">
        <v>32.6</v>
      </c>
      <c r="I143">
        <v>5.7</v>
      </c>
      <c r="J143">
        <v>14.2</v>
      </c>
      <c r="K143">
        <v>0.40400000000000003</v>
      </c>
      <c r="L143">
        <v>2.5</v>
      </c>
      <c r="M143">
        <v>7.7</v>
      </c>
      <c r="N143">
        <v>0.33200000000000002</v>
      </c>
      <c r="O143">
        <v>3.2</v>
      </c>
      <c r="P143">
        <v>6.6</v>
      </c>
      <c r="Q143">
        <v>0.48699999999999999</v>
      </c>
      <c r="R143">
        <v>0.49299999999999999</v>
      </c>
      <c r="S143">
        <v>3.2</v>
      </c>
      <c r="T143">
        <v>3.7</v>
      </c>
      <c r="U143">
        <v>0.84299999999999997</v>
      </c>
      <c r="V143">
        <v>0.7</v>
      </c>
      <c r="W143">
        <v>3.4</v>
      </c>
      <c r="X143">
        <v>4.2</v>
      </c>
      <c r="Y143">
        <v>1.7</v>
      </c>
      <c r="Z143">
        <v>0.9</v>
      </c>
      <c r="AA143">
        <v>0.4</v>
      </c>
      <c r="AB143">
        <v>1.7</v>
      </c>
      <c r="AC143">
        <v>2.9</v>
      </c>
      <c r="AD143">
        <v>17.2</v>
      </c>
      <c r="AE143" t="str">
        <f>IF(OR(_nba2122[[#This Row],[G]]&gt;=58,nba2122_advanced[[#This Row],[MP]]&gt;=1000),"Y","N")</f>
        <v>Y</v>
      </c>
      <c r="AF14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4.38939852515347</v>
      </c>
    </row>
    <row r="144" spans="1:32" x14ac:dyDescent="0.35">
      <c r="A144">
        <v>143</v>
      </c>
      <c r="B144" s="1" t="s">
        <v>210</v>
      </c>
      <c r="C144" s="1" t="s">
        <v>41</v>
      </c>
      <c r="D144">
        <v>22</v>
      </c>
      <c r="E144" s="1" t="s">
        <v>75</v>
      </c>
      <c r="F144">
        <v>77</v>
      </c>
      <c r="G144">
        <v>40</v>
      </c>
      <c r="H144">
        <v>27.4</v>
      </c>
      <c r="I144">
        <v>3.6</v>
      </c>
      <c r="J144">
        <v>6.9</v>
      </c>
      <c r="K144">
        <v>0.52</v>
      </c>
      <c r="L144">
        <v>0.9</v>
      </c>
      <c r="M144">
        <v>2.4</v>
      </c>
      <c r="N144">
        <v>0.376</v>
      </c>
      <c r="O144">
        <v>2.7</v>
      </c>
      <c r="P144">
        <v>4.5</v>
      </c>
      <c r="Q144">
        <v>0.59599999999999997</v>
      </c>
      <c r="R144">
        <v>0.58499999999999996</v>
      </c>
      <c r="S144">
        <v>0.7</v>
      </c>
      <c r="T144">
        <v>1</v>
      </c>
      <c r="U144">
        <v>0.67900000000000005</v>
      </c>
      <c r="V144">
        <v>0.4</v>
      </c>
      <c r="W144">
        <v>2.4</v>
      </c>
      <c r="X144">
        <v>2.8</v>
      </c>
      <c r="Y144">
        <v>3.3</v>
      </c>
      <c r="Z144">
        <v>0.8</v>
      </c>
      <c r="AA144">
        <v>0.4</v>
      </c>
      <c r="AB144">
        <v>1.4</v>
      </c>
      <c r="AC144">
        <v>2.4</v>
      </c>
      <c r="AD144">
        <v>8.8000000000000007</v>
      </c>
      <c r="AE144" t="str">
        <f>IF(OR(_nba2122[[#This Row],[G]]&gt;=58,nba2122_advanced[[#This Row],[MP]]&gt;=1000),"Y","N")</f>
        <v>Y</v>
      </c>
      <c r="AF14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4.0990290337426174</v>
      </c>
    </row>
    <row r="145" spans="1:32" x14ac:dyDescent="0.35">
      <c r="A145">
        <v>144</v>
      </c>
      <c r="B145" s="1" t="s">
        <v>211</v>
      </c>
      <c r="C145" s="1" t="s">
        <v>41</v>
      </c>
      <c r="D145">
        <v>27</v>
      </c>
      <c r="E145" s="1" t="s">
        <v>61</v>
      </c>
      <c r="F145">
        <v>2</v>
      </c>
      <c r="G145">
        <v>0</v>
      </c>
      <c r="H145">
        <v>10.5</v>
      </c>
      <c r="I145">
        <v>1</v>
      </c>
      <c r="J145">
        <v>2</v>
      </c>
      <c r="K145">
        <v>0.5</v>
      </c>
      <c r="L145">
        <v>0</v>
      </c>
      <c r="M145">
        <v>0.5</v>
      </c>
      <c r="N145">
        <v>0</v>
      </c>
      <c r="O145">
        <v>1</v>
      </c>
      <c r="P145">
        <v>1.5</v>
      </c>
      <c r="Q145">
        <v>0.66700000000000004</v>
      </c>
      <c r="R145">
        <v>0.5</v>
      </c>
      <c r="S145">
        <v>0</v>
      </c>
      <c r="T145">
        <v>0</v>
      </c>
      <c r="V145">
        <v>0</v>
      </c>
      <c r="W145">
        <v>1</v>
      </c>
      <c r="X145">
        <v>1</v>
      </c>
      <c r="Y145">
        <v>0.5</v>
      </c>
      <c r="Z145">
        <v>0</v>
      </c>
      <c r="AA145">
        <v>0</v>
      </c>
      <c r="AB145">
        <v>0</v>
      </c>
      <c r="AC145">
        <v>0</v>
      </c>
      <c r="AD145">
        <v>2</v>
      </c>
      <c r="AE145" t="str">
        <f>IF(OR(_nba2122[[#This Row],[G]]&gt;=58,nba2122_advanced[[#This Row],[MP]]&gt;=1000),"Y","N")</f>
        <v>N</v>
      </c>
      <c r="AF14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15.238567493713349</v>
      </c>
    </row>
    <row r="146" spans="1:32" x14ac:dyDescent="0.35">
      <c r="A146">
        <v>145</v>
      </c>
      <c r="B146" s="1" t="s">
        <v>212</v>
      </c>
      <c r="C146" s="1" t="s">
        <v>48</v>
      </c>
      <c r="D146">
        <v>22</v>
      </c>
      <c r="E146" s="1" t="s">
        <v>75</v>
      </c>
      <c r="F146">
        <v>11</v>
      </c>
      <c r="G146">
        <v>0</v>
      </c>
      <c r="H146">
        <v>7.7</v>
      </c>
      <c r="I146">
        <v>1</v>
      </c>
      <c r="J146">
        <v>2.1</v>
      </c>
      <c r="K146">
        <v>0.47799999999999998</v>
      </c>
      <c r="L146">
        <v>0.2</v>
      </c>
      <c r="M146">
        <v>0.8</v>
      </c>
      <c r="N146">
        <v>0.222</v>
      </c>
      <c r="O146">
        <v>0.8</v>
      </c>
      <c r="P146">
        <v>1.3</v>
      </c>
      <c r="Q146">
        <v>0.64300000000000002</v>
      </c>
      <c r="R146">
        <v>0.52200000000000002</v>
      </c>
      <c r="S146">
        <v>0.5</v>
      </c>
      <c r="T146">
        <v>0.8</v>
      </c>
      <c r="U146">
        <v>0.55600000000000005</v>
      </c>
      <c r="V146">
        <v>0.1</v>
      </c>
      <c r="W146">
        <v>0.7</v>
      </c>
      <c r="X146">
        <v>0.8</v>
      </c>
      <c r="Y146">
        <v>1.4</v>
      </c>
      <c r="Z146">
        <v>0.1</v>
      </c>
      <c r="AA146">
        <v>0</v>
      </c>
      <c r="AB146">
        <v>0.5</v>
      </c>
      <c r="AC146">
        <v>1</v>
      </c>
      <c r="AD146">
        <v>2.6</v>
      </c>
      <c r="AE146" t="str">
        <f>IF(OR(_nba2122[[#This Row],[G]]&gt;=58,nba2122_advanced[[#This Row],[MP]]&gt;=1000),"Y","N")</f>
        <v>N</v>
      </c>
      <c r="AF14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9.9633310932672075</v>
      </c>
    </row>
    <row r="147" spans="1:32" x14ac:dyDescent="0.35">
      <c r="A147">
        <v>146</v>
      </c>
      <c r="B147" s="1" t="s">
        <v>213</v>
      </c>
      <c r="C147" s="1" t="s">
        <v>28</v>
      </c>
      <c r="D147">
        <v>21</v>
      </c>
      <c r="E147" s="1" t="s">
        <v>56</v>
      </c>
      <c r="F147">
        <v>2</v>
      </c>
      <c r="G147">
        <v>0</v>
      </c>
      <c r="H147">
        <v>8</v>
      </c>
      <c r="I147">
        <v>2.5</v>
      </c>
      <c r="J147">
        <v>4</v>
      </c>
      <c r="K147">
        <v>0.625</v>
      </c>
      <c r="L147">
        <v>0.5</v>
      </c>
      <c r="M147">
        <v>1</v>
      </c>
      <c r="N147">
        <v>0.5</v>
      </c>
      <c r="O147">
        <v>2</v>
      </c>
      <c r="P147">
        <v>3</v>
      </c>
      <c r="Q147">
        <v>0.66700000000000004</v>
      </c>
      <c r="R147">
        <v>0.68799999999999994</v>
      </c>
      <c r="S147">
        <v>1.5</v>
      </c>
      <c r="T147">
        <v>2</v>
      </c>
      <c r="U147">
        <v>0.75</v>
      </c>
      <c r="V147">
        <v>1</v>
      </c>
      <c r="W147">
        <v>2</v>
      </c>
      <c r="X147">
        <v>3</v>
      </c>
      <c r="Y147">
        <v>0</v>
      </c>
      <c r="Z147">
        <v>1.5</v>
      </c>
      <c r="AA147">
        <v>1</v>
      </c>
      <c r="AB147">
        <v>1</v>
      </c>
      <c r="AC147">
        <v>0.5</v>
      </c>
      <c r="AD147">
        <v>7</v>
      </c>
      <c r="AE147" t="str">
        <f>IF(OR(_nba2122[[#This Row],[G]]&gt;=58,nba2122_advanced[[#This Row],[MP]]&gt;=1000),"Y","N")</f>
        <v>N</v>
      </c>
      <c r="AF14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21.855083632433072</v>
      </c>
    </row>
    <row r="148" spans="1:32" x14ac:dyDescent="0.35">
      <c r="A148">
        <v>147</v>
      </c>
      <c r="B148" s="1" t="s">
        <v>214</v>
      </c>
      <c r="C148" s="1" t="s">
        <v>48</v>
      </c>
      <c r="D148">
        <v>24</v>
      </c>
      <c r="E148" s="1" t="s">
        <v>42</v>
      </c>
      <c r="F148">
        <v>9</v>
      </c>
      <c r="G148">
        <v>0</v>
      </c>
      <c r="H148">
        <v>12</v>
      </c>
      <c r="I148">
        <v>0.9</v>
      </c>
      <c r="J148">
        <v>2.9</v>
      </c>
      <c r="K148">
        <v>0.308</v>
      </c>
      <c r="L148">
        <v>0.1</v>
      </c>
      <c r="M148">
        <v>1</v>
      </c>
      <c r="N148">
        <v>0.111</v>
      </c>
      <c r="O148">
        <v>0.8</v>
      </c>
      <c r="P148">
        <v>1.9</v>
      </c>
      <c r="Q148">
        <v>0.41199999999999998</v>
      </c>
      <c r="R148">
        <v>0.32700000000000001</v>
      </c>
      <c r="S148">
        <v>0.2</v>
      </c>
      <c r="T148">
        <v>0.2</v>
      </c>
      <c r="U148">
        <v>1</v>
      </c>
      <c r="V148">
        <v>0.9</v>
      </c>
      <c r="W148">
        <v>1.1000000000000001</v>
      </c>
      <c r="X148">
        <v>2</v>
      </c>
      <c r="Y148">
        <v>1.1000000000000001</v>
      </c>
      <c r="Z148">
        <v>0.6</v>
      </c>
      <c r="AA148">
        <v>0.1</v>
      </c>
      <c r="AB148">
        <v>0.6</v>
      </c>
      <c r="AC148">
        <v>0.6</v>
      </c>
      <c r="AD148">
        <v>2.1</v>
      </c>
      <c r="AE148" t="str">
        <f>IF(OR(_nba2122[[#This Row],[G]]&gt;=58,nba2122_advanced[[#This Row],[MP]]&gt;=1000),"Y","N")</f>
        <v>N</v>
      </c>
      <c r="AF14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9.3730861370228649</v>
      </c>
    </row>
    <row r="149" spans="1:32" x14ac:dyDescent="0.35">
      <c r="A149">
        <v>148</v>
      </c>
      <c r="B149" s="1" t="s">
        <v>215</v>
      </c>
      <c r="C149" s="1" t="s">
        <v>41</v>
      </c>
      <c r="D149">
        <v>25</v>
      </c>
      <c r="E149" s="1" t="s">
        <v>86</v>
      </c>
      <c r="F149">
        <v>18</v>
      </c>
      <c r="G149">
        <v>0</v>
      </c>
      <c r="H149">
        <v>18.899999999999999</v>
      </c>
      <c r="I149">
        <v>2</v>
      </c>
      <c r="J149">
        <v>5.5</v>
      </c>
      <c r="K149">
        <v>0.36399999999999999</v>
      </c>
      <c r="L149">
        <v>0.8</v>
      </c>
      <c r="M149">
        <v>2.7</v>
      </c>
      <c r="N149">
        <v>0.313</v>
      </c>
      <c r="O149">
        <v>1.2</v>
      </c>
      <c r="P149">
        <v>2.8</v>
      </c>
      <c r="Q149">
        <v>0.41199999999999998</v>
      </c>
      <c r="R149">
        <v>0.439</v>
      </c>
      <c r="S149">
        <v>0.6</v>
      </c>
      <c r="T149">
        <v>0.7</v>
      </c>
      <c r="U149">
        <v>0.76900000000000002</v>
      </c>
      <c r="V149">
        <v>0.8</v>
      </c>
      <c r="W149">
        <v>2.7</v>
      </c>
      <c r="X149">
        <v>3.5</v>
      </c>
      <c r="Y149">
        <v>1.6</v>
      </c>
      <c r="Z149">
        <v>0.6</v>
      </c>
      <c r="AA149">
        <v>0.3</v>
      </c>
      <c r="AB149">
        <v>0.7</v>
      </c>
      <c r="AC149">
        <v>1.8</v>
      </c>
      <c r="AD149">
        <v>5.4</v>
      </c>
      <c r="AE149" t="str">
        <f>IF(OR(_nba2122[[#This Row],[G]]&gt;=58,nba2122_advanced[[#This Row],[MP]]&gt;=1000),"Y","N")</f>
        <v>N</v>
      </c>
      <c r="AF14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5.0204856277503733</v>
      </c>
    </row>
    <row r="150" spans="1:32" x14ac:dyDescent="0.35">
      <c r="A150">
        <v>149</v>
      </c>
      <c r="B150" s="1" t="s">
        <v>216</v>
      </c>
      <c r="C150" s="1" t="s">
        <v>48</v>
      </c>
      <c r="D150">
        <v>35</v>
      </c>
      <c r="E150" s="1" t="s">
        <v>42</v>
      </c>
      <c r="F150">
        <v>21</v>
      </c>
      <c r="G150">
        <v>8</v>
      </c>
      <c r="H150">
        <v>23.7</v>
      </c>
      <c r="I150">
        <v>2.7</v>
      </c>
      <c r="J150">
        <v>7.2</v>
      </c>
      <c r="K150">
        <v>0.377</v>
      </c>
      <c r="L150">
        <v>0.8</v>
      </c>
      <c r="M150">
        <v>3</v>
      </c>
      <c r="N150">
        <v>0.254</v>
      </c>
      <c r="O150">
        <v>2</v>
      </c>
      <c r="P150">
        <v>4.2</v>
      </c>
      <c r="Q150">
        <v>0.46600000000000003</v>
      </c>
      <c r="R150">
        <v>0.43</v>
      </c>
      <c r="S150">
        <v>1.3</v>
      </c>
      <c r="T150">
        <v>1.6</v>
      </c>
      <c r="U150">
        <v>0.81799999999999995</v>
      </c>
      <c r="V150">
        <v>0.6</v>
      </c>
      <c r="W150">
        <v>2.5</v>
      </c>
      <c r="X150">
        <v>3.1</v>
      </c>
      <c r="Y150">
        <v>4.0999999999999996</v>
      </c>
      <c r="Z150">
        <v>0.9</v>
      </c>
      <c r="AA150">
        <v>0.2</v>
      </c>
      <c r="AB150">
        <v>1.6</v>
      </c>
      <c r="AC150">
        <v>2.1</v>
      </c>
      <c r="AD150">
        <v>7.5</v>
      </c>
      <c r="AE150" t="str">
        <f>IF(OR(_nba2122[[#This Row],[G]]&gt;=58,nba2122_advanced[[#This Row],[MP]]&gt;=1000),"Y","N")</f>
        <v>N</v>
      </c>
      <c r="AF15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5.3576572472737469</v>
      </c>
    </row>
    <row r="151" spans="1:32" x14ac:dyDescent="0.35">
      <c r="A151">
        <v>150</v>
      </c>
      <c r="B151" s="1" t="s">
        <v>217</v>
      </c>
      <c r="C151" s="1" t="s">
        <v>31</v>
      </c>
      <c r="D151">
        <v>28</v>
      </c>
      <c r="E151" s="1" t="s">
        <v>42</v>
      </c>
      <c r="F151">
        <v>73</v>
      </c>
      <c r="G151">
        <v>36</v>
      </c>
      <c r="H151">
        <v>19.7</v>
      </c>
      <c r="I151">
        <v>3.4</v>
      </c>
      <c r="J151">
        <v>5.9</v>
      </c>
      <c r="K151">
        <v>0.56999999999999995</v>
      </c>
      <c r="L151">
        <v>0</v>
      </c>
      <c r="M151">
        <v>0</v>
      </c>
      <c r="N151">
        <v>0</v>
      </c>
      <c r="O151">
        <v>3.4</v>
      </c>
      <c r="P151">
        <v>5.9</v>
      </c>
      <c r="Q151">
        <v>0.57399999999999995</v>
      </c>
      <c r="R151">
        <v>0.56999999999999995</v>
      </c>
      <c r="S151">
        <v>1.2</v>
      </c>
      <c r="T151">
        <v>2.2000000000000002</v>
      </c>
      <c r="U151">
        <v>0.52400000000000002</v>
      </c>
      <c r="V151">
        <v>3.1</v>
      </c>
      <c r="W151">
        <v>6.2</v>
      </c>
      <c r="X151">
        <v>9.3000000000000007</v>
      </c>
      <c r="Y151">
        <v>1.8</v>
      </c>
      <c r="Z151">
        <v>1.1000000000000001</v>
      </c>
      <c r="AA151">
        <v>0.9</v>
      </c>
      <c r="AB151">
        <v>1.6</v>
      </c>
      <c r="AC151">
        <v>2.6</v>
      </c>
      <c r="AD151">
        <v>7.9</v>
      </c>
      <c r="AE151" t="str">
        <f>IF(OR(_nba2122[[#This Row],[G]]&gt;=58,nba2122_advanced[[#This Row],[MP]]&gt;=1000),"Y","N")</f>
        <v>Y</v>
      </c>
      <c r="AF15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11.0186656399028</v>
      </c>
    </row>
    <row r="152" spans="1:32" x14ac:dyDescent="0.35">
      <c r="A152">
        <v>151</v>
      </c>
      <c r="B152" s="1" t="s">
        <v>218</v>
      </c>
      <c r="C152" s="1" t="s">
        <v>41</v>
      </c>
      <c r="D152">
        <v>24</v>
      </c>
      <c r="E152" s="1" t="s">
        <v>108</v>
      </c>
      <c r="F152">
        <v>55</v>
      </c>
      <c r="G152">
        <v>39</v>
      </c>
      <c r="H152">
        <v>28</v>
      </c>
      <c r="I152">
        <v>4.9000000000000004</v>
      </c>
      <c r="J152">
        <v>11.3</v>
      </c>
      <c r="K152">
        <v>0.432</v>
      </c>
      <c r="L152">
        <v>1.7</v>
      </c>
      <c r="M152">
        <v>4.5999999999999996</v>
      </c>
      <c r="N152">
        <v>0.36899999999999999</v>
      </c>
      <c r="O152">
        <v>3.2</v>
      </c>
      <c r="P152">
        <v>6.7</v>
      </c>
      <c r="Q152">
        <v>0.47499999999999998</v>
      </c>
      <c r="R152">
        <v>0.50700000000000001</v>
      </c>
      <c r="S152">
        <v>1.6</v>
      </c>
      <c r="T152">
        <v>2</v>
      </c>
      <c r="U152">
        <v>0.80400000000000005</v>
      </c>
      <c r="V152">
        <v>0.7</v>
      </c>
      <c r="W152">
        <v>3.4</v>
      </c>
      <c r="X152">
        <v>4.0999999999999996</v>
      </c>
      <c r="Y152">
        <v>2.1</v>
      </c>
      <c r="Z152">
        <v>1</v>
      </c>
      <c r="AA152">
        <v>0.2</v>
      </c>
      <c r="AB152">
        <v>1.6</v>
      </c>
      <c r="AC152">
        <v>1.7</v>
      </c>
      <c r="AD152">
        <v>13.1</v>
      </c>
      <c r="AE152" t="str">
        <f>IF(OR(_nba2122[[#This Row],[G]]&gt;=58,nba2122_advanced[[#This Row],[MP]]&gt;=1000),"Y","N")</f>
        <v>Y</v>
      </c>
      <c r="AF15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3.5303692498196253</v>
      </c>
    </row>
    <row r="153" spans="1:32" x14ac:dyDescent="0.35">
      <c r="A153">
        <v>152</v>
      </c>
      <c r="B153" s="1" t="s">
        <v>219</v>
      </c>
      <c r="C153" s="1" t="s">
        <v>48</v>
      </c>
      <c r="D153">
        <v>22</v>
      </c>
      <c r="E153" s="1" t="s">
        <v>39</v>
      </c>
      <c r="F153">
        <v>22</v>
      </c>
      <c r="G153">
        <v>7</v>
      </c>
      <c r="H153">
        <v>15.5</v>
      </c>
      <c r="I153">
        <v>1.8</v>
      </c>
      <c r="J153">
        <v>4.9000000000000004</v>
      </c>
      <c r="K153">
        <v>0.36099999999999999</v>
      </c>
      <c r="L153">
        <v>0.4</v>
      </c>
      <c r="M153">
        <v>1.7</v>
      </c>
      <c r="N153">
        <v>0.24299999999999999</v>
      </c>
      <c r="O153">
        <v>1.4</v>
      </c>
      <c r="P153">
        <v>3.2</v>
      </c>
      <c r="Q153">
        <v>0.42299999999999999</v>
      </c>
      <c r="R153">
        <v>0.40300000000000002</v>
      </c>
      <c r="S153">
        <v>0.8</v>
      </c>
      <c r="T153">
        <v>1</v>
      </c>
      <c r="U153">
        <v>0.81</v>
      </c>
      <c r="V153">
        <v>1.4</v>
      </c>
      <c r="W153">
        <v>1.7</v>
      </c>
      <c r="X153">
        <v>3</v>
      </c>
      <c r="Y153">
        <v>0.8</v>
      </c>
      <c r="Z153">
        <v>0.6</v>
      </c>
      <c r="AA153">
        <v>0.3</v>
      </c>
      <c r="AB153">
        <v>0.4</v>
      </c>
      <c r="AC153">
        <v>1.6</v>
      </c>
      <c r="AD153">
        <v>4.7</v>
      </c>
      <c r="AE153" t="str">
        <f>IF(OR(_nba2122[[#This Row],[G]]&gt;=58,nba2122_advanced[[#This Row],[MP]]&gt;=1000),"Y","N")</f>
        <v>N</v>
      </c>
      <c r="AF15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6.4013703299887847</v>
      </c>
    </row>
    <row r="154" spans="1:32" x14ac:dyDescent="0.35">
      <c r="A154">
        <v>153</v>
      </c>
      <c r="B154" s="1" t="s">
        <v>220</v>
      </c>
      <c r="C154" s="1" t="s">
        <v>48</v>
      </c>
      <c r="D154">
        <v>27</v>
      </c>
      <c r="E154" s="1" t="s">
        <v>114</v>
      </c>
      <c r="F154">
        <v>14</v>
      </c>
      <c r="G154">
        <v>3</v>
      </c>
      <c r="H154">
        <v>24</v>
      </c>
      <c r="I154">
        <v>3.1</v>
      </c>
      <c r="J154">
        <v>7.3</v>
      </c>
      <c r="K154">
        <v>0.43099999999999999</v>
      </c>
      <c r="L154">
        <v>0.1</v>
      </c>
      <c r="M154">
        <v>0.8</v>
      </c>
      <c r="N154">
        <v>9.0999999999999998E-2</v>
      </c>
      <c r="O154">
        <v>3.1</v>
      </c>
      <c r="P154">
        <v>6.5</v>
      </c>
      <c r="Q154">
        <v>0.47299999999999998</v>
      </c>
      <c r="R154">
        <v>0.436</v>
      </c>
      <c r="S154">
        <v>1.2</v>
      </c>
      <c r="T154">
        <v>1.3</v>
      </c>
      <c r="U154">
        <v>0.94399999999999995</v>
      </c>
      <c r="V154">
        <v>0.6</v>
      </c>
      <c r="W154">
        <v>2.9</v>
      </c>
      <c r="X154">
        <v>3.5</v>
      </c>
      <c r="Y154">
        <v>5.6</v>
      </c>
      <c r="Z154">
        <v>1.6</v>
      </c>
      <c r="AA154">
        <v>0.2</v>
      </c>
      <c r="AB154">
        <v>2.2999999999999998</v>
      </c>
      <c r="AC154">
        <v>2.7</v>
      </c>
      <c r="AD154">
        <v>7.6</v>
      </c>
      <c r="AE154" t="str">
        <f>IF(OR(_nba2122[[#This Row],[G]]&gt;=58,nba2122_advanced[[#This Row],[MP]]&gt;=1000),"Y","N")</f>
        <v>N</v>
      </c>
      <c r="AF15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10.476526918926631</v>
      </c>
    </row>
    <row r="155" spans="1:32" x14ac:dyDescent="0.35">
      <c r="A155">
        <v>154</v>
      </c>
      <c r="B155" s="1" t="s">
        <v>221</v>
      </c>
      <c r="C155" s="1" t="s">
        <v>28</v>
      </c>
      <c r="D155">
        <v>33</v>
      </c>
      <c r="E155" s="1" t="s">
        <v>39</v>
      </c>
      <c r="F155">
        <v>55</v>
      </c>
      <c r="G155">
        <v>55</v>
      </c>
      <c r="H155">
        <v>37.200000000000003</v>
      </c>
      <c r="I155">
        <v>10.5</v>
      </c>
      <c r="J155">
        <v>20.3</v>
      </c>
      <c r="K155">
        <v>0.51800000000000002</v>
      </c>
      <c r="L155">
        <v>2.1</v>
      </c>
      <c r="M155">
        <v>5.5</v>
      </c>
      <c r="N155">
        <v>0.38300000000000001</v>
      </c>
      <c r="O155">
        <v>8.4</v>
      </c>
      <c r="P155">
        <v>14.8</v>
      </c>
      <c r="Q155">
        <v>0.56799999999999995</v>
      </c>
      <c r="R155">
        <v>0.56999999999999995</v>
      </c>
      <c r="S155">
        <v>6.8</v>
      </c>
      <c r="T155">
        <v>7.4</v>
      </c>
      <c r="U155">
        <v>0.91</v>
      </c>
      <c r="V155">
        <v>0.5</v>
      </c>
      <c r="W155">
        <v>6.9</v>
      </c>
      <c r="X155">
        <v>7.4</v>
      </c>
      <c r="Y155">
        <v>6.4</v>
      </c>
      <c r="Z155">
        <v>0.9</v>
      </c>
      <c r="AA155">
        <v>0.9</v>
      </c>
      <c r="AB155">
        <v>3.5</v>
      </c>
      <c r="AC155">
        <v>2.1</v>
      </c>
      <c r="AD155">
        <v>29.9</v>
      </c>
      <c r="AE155" t="str">
        <f>IF(OR(_nba2122[[#This Row],[G]]&gt;=58,nba2122_advanced[[#This Row],[MP]]&gt;=1000),"Y","N")</f>
        <v>Y</v>
      </c>
      <c r="AF15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9.5538544629619295</v>
      </c>
    </row>
    <row r="156" spans="1:32" x14ac:dyDescent="0.35">
      <c r="A156">
        <v>155</v>
      </c>
      <c r="B156" s="1" t="s">
        <v>222</v>
      </c>
      <c r="C156" s="1" t="s">
        <v>31</v>
      </c>
      <c r="D156">
        <v>24</v>
      </c>
      <c r="E156" s="1" t="s">
        <v>65</v>
      </c>
      <c r="F156">
        <v>1</v>
      </c>
      <c r="G156">
        <v>0</v>
      </c>
      <c r="H156">
        <v>3</v>
      </c>
      <c r="I156">
        <v>0</v>
      </c>
      <c r="J156">
        <v>0</v>
      </c>
      <c r="L156">
        <v>0</v>
      </c>
      <c r="M156">
        <v>0</v>
      </c>
      <c r="O156">
        <v>0</v>
      </c>
      <c r="P156">
        <v>0</v>
      </c>
      <c r="S156">
        <v>0</v>
      </c>
      <c r="T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tr">
        <f>IF(OR(_nba2122[[#This Row],[G]]&gt;=58,nba2122_advanced[[#This Row],[MP]]&gt;=1000),"Y","N")</f>
        <v>N</v>
      </c>
      <c r="AF15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20</v>
      </c>
    </row>
    <row r="157" spans="1:32" x14ac:dyDescent="0.35">
      <c r="A157">
        <v>156</v>
      </c>
      <c r="B157" s="1" t="s">
        <v>223</v>
      </c>
      <c r="C157" s="1" t="s">
        <v>41</v>
      </c>
      <c r="D157">
        <v>20</v>
      </c>
      <c r="E157" s="1" t="s">
        <v>99</v>
      </c>
      <c r="F157">
        <v>72</v>
      </c>
      <c r="G157">
        <v>72</v>
      </c>
      <c r="H157">
        <v>34.299999999999997</v>
      </c>
      <c r="I157">
        <v>7.6</v>
      </c>
      <c r="J157">
        <v>17.3</v>
      </c>
      <c r="K157">
        <v>0.441</v>
      </c>
      <c r="L157">
        <v>3</v>
      </c>
      <c r="M157">
        <v>8.4</v>
      </c>
      <c r="N157">
        <v>0.35699999999999998</v>
      </c>
      <c r="O157">
        <v>4.5999999999999996</v>
      </c>
      <c r="P157">
        <v>8.9</v>
      </c>
      <c r="Q157">
        <v>0.51900000000000002</v>
      </c>
      <c r="R157">
        <v>0.52700000000000002</v>
      </c>
      <c r="S157">
        <v>3.1</v>
      </c>
      <c r="T157">
        <v>3.9</v>
      </c>
      <c r="U157">
        <v>0.78600000000000003</v>
      </c>
      <c r="V157">
        <v>0.9</v>
      </c>
      <c r="W157">
        <v>3.9</v>
      </c>
      <c r="X157">
        <v>4.8</v>
      </c>
      <c r="Y157">
        <v>3.8</v>
      </c>
      <c r="Z157">
        <v>1.5</v>
      </c>
      <c r="AA157">
        <v>0.6</v>
      </c>
      <c r="AB157">
        <v>2.6</v>
      </c>
      <c r="AC157">
        <v>2.2999999999999998</v>
      </c>
      <c r="AD157">
        <v>21.3</v>
      </c>
      <c r="AE157" t="str">
        <f>IF(OR(_nba2122[[#This Row],[G]]&gt;=58,nba2122_advanced[[#This Row],[MP]]&gt;=1000),"Y","N")</f>
        <v>Y</v>
      </c>
      <c r="AF15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4.3596022423343195</v>
      </c>
    </row>
    <row r="158" spans="1:32" x14ac:dyDescent="0.35">
      <c r="A158">
        <v>157</v>
      </c>
      <c r="B158" s="1" t="s">
        <v>224</v>
      </c>
      <c r="C158" s="1" t="s">
        <v>41</v>
      </c>
      <c r="D158">
        <v>23</v>
      </c>
      <c r="E158" s="1" t="s">
        <v>105</v>
      </c>
      <c r="F158">
        <v>4</v>
      </c>
      <c r="G158">
        <v>0</v>
      </c>
      <c r="H158">
        <v>19.8</v>
      </c>
      <c r="I158">
        <v>2.2999999999999998</v>
      </c>
      <c r="J158">
        <v>7.5</v>
      </c>
      <c r="K158">
        <v>0.3</v>
      </c>
      <c r="L158">
        <v>1</v>
      </c>
      <c r="M158">
        <v>4</v>
      </c>
      <c r="N158">
        <v>0.25</v>
      </c>
      <c r="O158">
        <v>1.3</v>
      </c>
      <c r="P158">
        <v>3.5</v>
      </c>
      <c r="Q158">
        <v>0.35699999999999998</v>
      </c>
      <c r="R158">
        <v>0.36699999999999999</v>
      </c>
      <c r="S158">
        <v>0.3</v>
      </c>
      <c r="T158">
        <v>0.3</v>
      </c>
      <c r="U158">
        <v>1</v>
      </c>
      <c r="V158">
        <v>0.5</v>
      </c>
      <c r="W158">
        <v>1</v>
      </c>
      <c r="X158">
        <v>1.5</v>
      </c>
      <c r="Y158">
        <v>3.5</v>
      </c>
      <c r="Z158">
        <v>0.5</v>
      </c>
      <c r="AA158">
        <v>0</v>
      </c>
      <c r="AB158">
        <v>1.3</v>
      </c>
      <c r="AC158">
        <v>1</v>
      </c>
      <c r="AD158">
        <v>5.8</v>
      </c>
      <c r="AE158" t="str">
        <f>IF(OR(_nba2122[[#This Row],[G]]&gt;=58,nba2122_advanced[[#This Row],[MP]]&gt;=1000),"Y","N")</f>
        <v>N</v>
      </c>
      <c r="AF15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9.3543114991317502</v>
      </c>
    </row>
    <row r="159" spans="1:32" x14ac:dyDescent="0.35">
      <c r="A159">
        <v>158</v>
      </c>
      <c r="B159" s="1" t="s">
        <v>225</v>
      </c>
      <c r="C159" s="1" t="s">
        <v>51</v>
      </c>
      <c r="D159">
        <v>21</v>
      </c>
      <c r="E159" s="1" t="s">
        <v>39</v>
      </c>
      <c r="F159">
        <v>48</v>
      </c>
      <c r="G159">
        <v>23</v>
      </c>
      <c r="H159">
        <v>20.6</v>
      </c>
      <c r="I159">
        <v>2.2999999999999998</v>
      </c>
      <c r="J159">
        <v>5.6</v>
      </c>
      <c r="K159">
        <v>0.41199999999999998</v>
      </c>
      <c r="L159">
        <v>1</v>
      </c>
      <c r="M159">
        <v>2.8</v>
      </c>
      <c r="N159">
        <v>0.35299999999999998</v>
      </c>
      <c r="O159">
        <v>1.3</v>
      </c>
      <c r="P159">
        <v>2.7</v>
      </c>
      <c r="Q159">
        <v>0.47299999999999998</v>
      </c>
      <c r="R159">
        <v>0.502</v>
      </c>
      <c r="S159">
        <v>0.3</v>
      </c>
      <c r="T159">
        <v>0.4</v>
      </c>
      <c r="U159">
        <v>0.84199999999999997</v>
      </c>
      <c r="V159">
        <v>0.9</v>
      </c>
      <c r="W159">
        <v>2.7</v>
      </c>
      <c r="X159">
        <v>3.6</v>
      </c>
      <c r="Y159">
        <v>0.6</v>
      </c>
      <c r="Z159">
        <v>0.6</v>
      </c>
      <c r="AA159">
        <v>0.5</v>
      </c>
      <c r="AB159">
        <v>0.9</v>
      </c>
      <c r="AC159">
        <v>1.8</v>
      </c>
      <c r="AD159">
        <v>5.9</v>
      </c>
      <c r="AE159" t="str">
        <f>IF(OR(_nba2122[[#This Row],[G]]&gt;=58,nba2122_advanced[[#This Row],[MP]]&gt;=1000),"Y","N")</f>
        <v>N</v>
      </c>
      <c r="AF15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5.6704580682594061</v>
      </c>
    </row>
    <row r="160" spans="1:32" x14ac:dyDescent="0.35">
      <c r="A160">
        <v>159</v>
      </c>
      <c r="B160" s="1" t="s">
        <v>226</v>
      </c>
      <c r="C160" s="1" t="s">
        <v>41</v>
      </c>
      <c r="D160">
        <v>25</v>
      </c>
      <c r="E160" s="1" t="s">
        <v>96</v>
      </c>
      <c r="F160">
        <v>2</v>
      </c>
      <c r="G160">
        <v>0</v>
      </c>
      <c r="H160">
        <v>5.5</v>
      </c>
      <c r="I160">
        <v>0.5</v>
      </c>
      <c r="J160">
        <v>2</v>
      </c>
      <c r="K160">
        <v>0.25</v>
      </c>
      <c r="L160">
        <v>0.5</v>
      </c>
      <c r="M160">
        <v>2</v>
      </c>
      <c r="N160">
        <v>0.25</v>
      </c>
      <c r="O160">
        <v>0</v>
      </c>
      <c r="P160">
        <v>0</v>
      </c>
      <c r="R160">
        <v>0.375</v>
      </c>
      <c r="S160">
        <v>0</v>
      </c>
      <c r="T160">
        <v>0</v>
      </c>
      <c r="V160">
        <v>0</v>
      </c>
      <c r="W160">
        <v>1.5</v>
      </c>
      <c r="X160">
        <v>1.5</v>
      </c>
      <c r="Y160">
        <v>0</v>
      </c>
      <c r="Z160">
        <v>0</v>
      </c>
      <c r="AA160">
        <v>0</v>
      </c>
      <c r="AB160">
        <v>0.5</v>
      </c>
      <c r="AC160">
        <v>0</v>
      </c>
      <c r="AD160">
        <v>1.5</v>
      </c>
      <c r="AE160" t="str">
        <f>IF(OR(_nba2122[[#This Row],[G]]&gt;=58,nba2122_advanced[[#This Row],[MP]]&gt;=1000),"Y","N")</f>
        <v>N</v>
      </c>
      <c r="AF16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16.017870988746832</v>
      </c>
    </row>
    <row r="161" spans="1:32" x14ac:dyDescent="0.35">
      <c r="A161">
        <v>160</v>
      </c>
      <c r="B161" s="1" t="s">
        <v>227</v>
      </c>
      <c r="C161" s="1" t="s">
        <v>51</v>
      </c>
      <c r="D161">
        <v>21</v>
      </c>
      <c r="E161" s="1" t="s">
        <v>114</v>
      </c>
      <c r="F161">
        <v>58</v>
      </c>
      <c r="G161">
        <v>28</v>
      </c>
      <c r="H161">
        <v>20.2</v>
      </c>
      <c r="I161">
        <v>2.1</v>
      </c>
      <c r="J161">
        <v>5.3</v>
      </c>
      <c r="K161">
        <v>0.39300000000000002</v>
      </c>
      <c r="L161">
        <v>0.6</v>
      </c>
      <c r="M161">
        <v>2.2000000000000002</v>
      </c>
      <c r="N161">
        <v>0.29399999999999998</v>
      </c>
      <c r="O161">
        <v>1.4</v>
      </c>
      <c r="P161">
        <v>3.1</v>
      </c>
      <c r="Q161">
        <v>0.46200000000000002</v>
      </c>
      <c r="R161">
        <v>0.45300000000000001</v>
      </c>
      <c r="S161">
        <v>1</v>
      </c>
      <c r="T161">
        <v>1.4</v>
      </c>
      <c r="U161">
        <v>0.71399999999999997</v>
      </c>
      <c r="V161">
        <v>1.1000000000000001</v>
      </c>
      <c r="W161">
        <v>2.8</v>
      </c>
      <c r="X161">
        <v>3.9</v>
      </c>
      <c r="Y161">
        <v>1.5</v>
      </c>
      <c r="Z161">
        <v>0.6</v>
      </c>
      <c r="AA161">
        <v>0.3</v>
      </c>
      <c r="AB161">
        <v>1</v>
      </c>
      <c r="AC161">
        <v>2</v>
      </c>
      <c r="AD161">
        <v>5.8</v>
      </c>
      <c r="AE161" t="str">
        <f>IF(OR(_nba2122[[#This Row],[G]]&gt;=58,nba2122_advanced[[#This Row],[MP]]&gt;=1000),"Y","N")</f>
        <v>Y</v>
      </c>
      <c r="AF16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4.3035390930854032</v>
      </c>
    </row>
    <row r="162" spans="1:32" x14ac:dyDescent="0.35">
      <c r="A162">
        <v>161</v>
      </c>
      <c r="B162" s="1" t="s">
        <v>228</v>
      </c>
      <c r="C162" s="1" t="s">
        <v>41</v>
      </c>
      <c r="D162">
        <v>34</v>
      </c>
      <c r="E162" s="1" t="s">
        <v>56</v>
      </c>
      <c r="F162">
        <v>43</v>
      </c>
      <c r="G162">
        <v>9</v>
      </c>
      <c r="H162">
        <v>18.8</v>
      </c>
      <c r="I162">
        <v>2.2999999999999998</v>
      </c>
      <c r="J162">
        <v>5.5</v>
      </c>
      <c r="K162">
        <v>0.41399999999999998</v>
      </c>
      <c r="L162">
        <v>1.9</v>
      </c>
      <c r="M162">
        <v>4.9000000000000004</v>
      </c>
      <c r="N162">
        <v>0.38900000000000001</v>
      </c>
      <c r="O162">
        <v>0.4</v>
      </c>
      <c r="P162">
        <v>0.6</v>
      </c>
      <c r="Q162">
        <v>0.61499999999999999</v>
      </c>
      <c r="R162">
        <v>0.58599999999999997</v>
      </c>
      <c r="S162">
        <v>0.2</v>
      </c>
      <c r="T162">
        <v>0.3</v>
      </c>
      <c r="U162">
        <v>0.81799999999999995</v>
      </c>
      <c r="V162">
        <v>0.2</v>
      </c>
      <c r="W162">
        <v>1.6</v>
      </c>
      <c r="X162">
        <v>1.8</v>
      </c>
      <c r="Y162">
        <v>0.7</v>
      </c>
      <c r="Z162">
        <v>0.5</v>
      </c>
      <c r="AA162">
        <v>0.1</v>
      </c>
      <c r="AB162">
        <v>0.4</v>
      </c>
      <c r="AC162">
        <v>1</v>
      </c>
      <c r="AD162">
        <v>6.7</v>
      </c>
      <c r="AE162" t="str">
        <f>IF(OR(_nba2122[[#This Row],[G]]&gt;=58,nba2122_advanced[[#This Row],[MP]]&gt;=1000),"Y","N")</f>
        <v>N</v>
      </c>
      <c r="AF16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9.6311417007813578</v>
      </c>
    </row>
    <row r="163" spans="1:32" x14ac:dyDescent="0.35">
      <c r="A163">
        <v>162</v>
      </c>
      <c r="B163" s="1" t="s">
        <v>229</v>
      </c>
      <c r="C163" s="1" t="s">
        <v>31</v>
      </c>
      <c r="D163">
        <v>27</v>
      </c>
      <c r="E163" s="1" t="s">
        <v>89</v>
      </c>
      <c r="F163">
        <v>68</v>
      </c>
      <c r="G163">
        <v>68</v>
      </c>
      <c r="H163">
        <v>33.799999999999997</v>
      </c>
      <c r="I163">
        <v>9.8000000000000007</v>
      </c>
      <c r="J163">
        <v>19.600000000000001</v>
      </c>
      <c r="K163">
        <v>0.499</v>
      </c>
      <c r="L163">
        <v>1.4</v>
      </c>
      <c r="M163">
        <v>3.7</v>
      </c>
      <c r="N163">
        <v>0.371</v>
      </c>
      <c r="O163">
        <v>8.4</v>
      </c>
      <c r="P163">
        <v>15.9</v>
      </c>
      <c r="Q163">
        <v>0.52900000000000003</v>
      </c>
      <c r="R163">
        <v>0.53400000000000003</v>
      </c>
      <c r="S163">
        <v>9.6</v>
      </c>
      <c r="T163">
        <v>11.8</v>
      </c>
      <c r="U163">
        <v>0.81399999999999995</v>
      </c>
      <c r="V163">
        <v>2.1</v>
      </c>
      <c r="W163">
        <v>9.6</v>
      </c>
      <c r="X163">
        <v>11.7</v>
      </c>
      <c r="Y163">
        <v>4.2</v>
      </c>
      <c r="Z163">
        <v>1.1000000000000001</v>
      </c>
      <c r="AA163">
        <v>1.5</v>
      </c>
      <c r="AB163">
        <v>3.1</v>
      </c>
      <c r="AC163">
        <v>2.7</v>
      </c>
      <c r="AD163">
        <v>30.6</v>
      </c>
      <c r="AE163" t="str">
        <f>IF(OR(_nba2122[[#This Row],[G]]&gt;=58,nba2122_advanced[[#This Row],[MP]]&gt;=1000),"Y","N")</f>
        <v>Y</v>
      </c>
      <c r="AF16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13.891558718554647</v>
      </c>
    </row>
    <row r="164" spans="1:32" x14ac:dyDescent="0.35">
      <c r="A164">
        <v>163</v>
      </c>
      <c r="B164" s="1" t="s">
        <v>230</v>
      </c>
      <c r="C164" s="1" t="s">
        <v>51</v>
      </c>
      <c r="D164">
        <v>31</v>
      </c>
      <c r="E164" s="1" t="s">
        <v>42</v>
      </c>
      <c r="F164">
        <v>7</v>
      </c>
      <c r="G164">
        <v>0</v>
      </c>
      <c r="H164">
        <v>8</v>
      </c>
      <c r="I164">
        <v>1.6</v>
      </c>
      <c r="J164">
        <v>3.4</v>
      </c>
      <c r="K164">
        <v>0.45800000000000002</v>
      </c>
      <c r="L164">
        <v>0.4</v>
      </c>
      <c r="M164">
        <v>1.1000000000000001</v>
      </c>
      <c r="N164">
        <v>0.375</v>
      </c>
      <c r="O164">
        <v>1.1000000000000001</v>
      </c>
      <c r="P164">
        <v>2.2999999999999998</v>
      </c>
      <c r="Q164">
        <v>0.5</v>
      </c>
      <c r="R164">
        <v>0.52100000000000002</v>
      </c>
      <c r="S164">
        <v>0.6</v>
      </c>
      <c r="T164">
        <v>0.7</v>
      </c>
      <c r="U164">
        <v>0.8</v>
      </c>
      <c r="V164">
        <v>0.7</v>
      </c>
      <c r="W164">
        <v>1</v>
      </c>
      <c r="X164">
        <v>1.7</v>
      </c>
      <c r="Y164">
        <v>0.4</v>
      </c>
      <c r="Z164">
        <v>0.3</v>
      </c>
      <c r="AA164">
        <v>0.3</v>
      </c>
      <c r="AB164">
        <v>0.3</v>
      </c>
      <c r="AC164">
        <v>0.7</v>
      </c>
      <c r="AD164">
        <v>4.0999999999999996</v>
      </c>
      <c r="AE164" t="str">
        <f>IF(OR(_nba2122[[#This Row],[G]]&gt;=58,nba2122_advanced[[#This Row],[MP]]&gt;=1000),"Y","N")</f>
        <v>N</v>
      </c>
      <c r="AF16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7.3165023574796635</v>
      </c>
    </row>
    <row r="165" spans="1:32" x14ac:dyDescent="0.35">
      <c r="A165">
        <v>164</v>
      </c>
      <c r="B165" s="1" t="s">
        <v>231</v>
      </c>
      <c r="C165" s="1" t="s">
        <v>31</v>
      </c>
      <c r="D165">
        <v>24</v>
      </c>
      <c r="E165" s="1" t="s">
        <v>42</v>
      </c>
      <c r="F165">
        <v>71</v>
      </c>
      <c r="G165">
        <v>31</v>
      </c>
      <c r="H165">
        <v>17.5</v>
      </c>
      <c r="I165">
        <v>3.1</v>
      </c>
      <c r="J165">
        <v>5.2</v>
      </c>
      <c r="K165">
        <v>0.59599999999999997</v>
      </c>
      <c r="L165">
        <v>0.1</v>
      </c>
      <c r="M165">
        <v>0.3</v>
      </c>
      <c r="N165">
        <v>0.217</v>
      </c>
      <c r="O165">
        <v>3</v>
      </c>
      <c r="P165">
        <v>4.9000000000000004</v>
      </c>
      <c r="Q165">
        <v>0.621</v>
      </c>
      <c r="R165">
        <v>0.60199999999999998</v>
      </c>
      <c r="S165">
        <v>1.4</v>
      </c>
      <c r="T165">
        <v>1.8</v>
      </c>
      <c r="U165">
        <v>0.76200000000000001</v>
      </c>
      <c r="V165">
        <v>1.8</v>
      </c>
      <c r="W165">
        <v>3.5</v>
      </c>
      <c r="X165">
        <v>5.4</v>
      </c>
      <c r="Y165">
        <v>1.2</v>
      </c>
      <c r="Z165">
        <v>0.4</v>
      </c>
      <c r="AA165">
        <v>0.6</v>
      </c>
      <c r="AB165">
        <v>1.1000000000000001</v>
      </c>
      <c r="AC165">
        <v>1.7</v>
      </c>
      <c r="AD165">
        <v>7.7</v>
      </c>
      <c r="AE165" t="str">
        <f>IF(OR(_nba2122[[#This Row],[G]]&gt;=58,nba2122_advanced[[#This Row],[MP]]&gt;=1000),"Y","N")</f>
        <v>Y</v>
      </c>
      <c r="AF16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6.7708087129997905</v>
      </c>
    </row>
    <row r="166" spans="1:32" x14ac:dyDescent="0.35">
      <c r="A166">
        <v>165</v>
      </c>
      <c r="B166" s="1" t="s">
        <v>232</v>
      </c>
      <c r="C166" s="1" t="s">
        <v>31</v>
      </c>
      <c r="D166">
        <v>26</v>
      </c>
      <c r="E166" s="1" t="s">
        <v>46</v>
      </c>
      <c r="F166">
        <v>11</v>
      </c>
      <c r="G166">
        <v>1</v>
      </c>
      <c r="H166">
        <v>5.4</v>
      </c>
      <c r="I166">
        <v>0.5</v>
      </c>
      <c r="J166">
        <v>1.1000000000000001</v>
      </c>
      <c r="K166">
        <v>0.41699999999999998</v>
      </c>
      <c r="L166">
        <v>0</v>
      </c>
      <c r="M166">
        <v>0</v>
      </c>
      <c r="O166">
        <v>0.5</v>
      </c>
      <c r="P166">
        <v>1.1000000000000001</v>
      </c>
      <c r="Q166">
        <v>0.41699999999999998</v>
      </c>
      <c r="R166">
        <v>0.41699999999999998</v>
      </c>
      <c r="S166">
        <v>0.2</v>
      </c>
      <c r="T166">
        <v>0.6</v>
      </c>
      <c r="U166">
        <v>0.28599999999999998</v>
      </c>
      <c r="V166">
        <v>0.6</v>
      </c>
      <c r="W166">
        <v>1.5</v>
      </c>
      <c r="X166">
        <v>2.1</v>
      </c>
      <c r="Y166">
        <v>0.2</v>
      </c>
      <c r="Z166">
        <v>0</v>
      </c>
      <c r="AA166">
        <v>0.5</v>
      </c>
      <c r="AB166">
        <v>0.3</v>
      </c>
      <c r="AC166">
        <v>0.3</v>
      </c>
      <c r="AD166">
        <v>1.1000000000000001</v>
      </c>
      <c r="AE166" t="str">
        <f>IF(OR(_nba2122[[#This Row],[G]]&gt;=58,nba2122_advanced[[#This Row],[MP]]&gt;=1000),"Y","N")</f>
        <v>N</v>
      </c>
      <c r="AF16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17.430502479397312</v>
      </c>
    </row>
    <row r="167" spans="1:32" x14ac:dyDescent="0.35">
      <c r="A167">
        <v>166</v>
      </c>
      <c r="B167" s="1" t="s">
        <v>233</v>
      </c>
      <c r="C167" s="1" t="s">
        <v>31</v>
      </c>
      <c r="D167">
        <v>30</v>
      </c>
      <c r="E167" s="1" t="s">
        <v>96</v>
      </c>
      <c r="F167">
        <v>39</v>
      </c>
      <c r="G167">
        <v>18</v>
      </c>
      <c r="H167">
        <v>16.7</v>
      </c>
      <c r="I167">
        <v>2.4</v>
      </c>
      <c r="J167">
        <v>4.7</v>
      </c>
      <c r="K167">
        <v>0.51600000000000001</v>
      </c>
      <c r="L167">
        <v>0.1</v>
      </c>
      <c r="M167">
        <v>0.4</v>
      </c>
      <c r="N167">
        <v>0.125</v>
      </c>
      <c r="O167">
        <v>2.4</v>
      </c>
      <c r="P167">
        <v>4.3</v>
      </c>
      <c r="Q167">
        <v>0.55400000000000005</v>
      </c>
      <c r="R167">
        <v>0.52200000000000002</v>
      </c>
      <c r="S167">
        <v>0.4</v>
      </c>
      <c r="T167">
        <v>0.6</v>
      </c>
      <c r="U167">
        <v>0.64</v>
      </c>
      <c r="V167">
        <v>1.5</v>
      </c>
      <c r="W167">
        <v>3.2</v>
      </c>
      <c r="X167">
        <v>4.7</v>
      </c>
      <c r="Y167">
        <v>0.6</v>
      </c>
      <c r="Z167">
        <v>0.4</v>
      </c>
      <c r="AA167">
        <v>0.3</v>
      </c>
      <c r="AB167">
        <v>0.2</v>
      </c>
      <c r="AC167">
        <v>1.6</v>
      </c>
      <c r="AD167">
        <v>5.3</v>
      </c>
      <c r="AE167" t="str">
        <f>IF(OR(_nba2122[[#This Row],[G]]&gt;=58,nba2122_advanced[[#This Row],[MP]]&gt;=1000),"Y","N")</f>
        <v>N</v>
      </c>
      <c r="AF16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7.9868963508136064</v>
      </c>
    </row>
    <row r="168" spans="1:32" x14ac:dyDescent="0.35">
      <c r="A168">
        <v>167</v>
      </c>
      <c r="B168" s="1" t="s">
        <v>234</v>
      </c>
      <c r="C168" s="1" t="s">
        <v>31</v>
      </c>
      <c r="D168">
        <v>23</v>
      </c>
      <c r="E168" s="1" t="s">
        <v>42</v>
      </c>
      <c r="F168">
        <v>30</v>
      </c>
      <c r="G168">
        <v>0</v>
      </c>
      <c r="H168">
        <v>5.0999999999999996</v>
      </c>
      <c r="I168">
        <v>1.2</v>
      </c>
      <c r="J168">
        <v>1.8</v>
      </c>
      <c r="K168">
        <v>0.65500000000000003</v>
      </c>
      <c r="L168">
        <v>0</v>
      </c>
      <c r="M168">
        <v>0.1</v>
      </c>
      <c r="N168">
        <v>0.5</v>
      </c>
      <c r="O168">
        <v>1.2</v>
      </c>
      <c r="P168">
        <v>1.8</v>
      </c>
      <c r="Q168">
        <v>0.66</v>
      </c>
      <c r="R168">
        <v>0.66400000000000003</v>
      </c>
      <c r="S168">
        <v>0.5</v>
      </c>
      <c r="T168">
        <v>0.8</v>
      </c>
      <c r="U168">
        <v>0.625</v>
      </c>
      <c r="V168">
        <v>0.6</v>
      </c>
      <c r="W168">
        <v>1.2</v>
      </c>
      <c r="X168">
        <v>1.8</v>
      </c>
      <c r="Y168">
        <v>0.2</v>
      </c>
      <c r="Z168">
        <v>0</v>
      </c>
      <c r="AA168">
        <v>0.4</v>
      </c>
      <c r="AB168">
        <v>0.5</v>
      </c>
      <c r="AC168">
        <v>0.8</v>
      </c>
      <c r="AD168">
        <v>2.9</v>
      </c>
      <c r="AE168" t="str">
        <f>IF(OR(_nba2122[[#This Row],[G]]&gt;=58,nba2122_advanced[[#This Row],[MP]]&gt;=1000),"Y","N")</f>
        <v>N</v>
      </c>
      <c r="AF16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13.655770911778585</v>
      </c>
    </row>
    <row r="169" spans="1:32" x14ac:dyDescent="0.35">
      <c r="A169">
        <v>168</v>
      </c>
      <c r="B169" s="1" t="s">
        <v>235</v>
      </c>
      <c r="C169" s="1" t="s">
        <v>28</v>
      </c>
      <c r="D169">
        <v>28</v>
      </c>
      <c r="E169" s="1" t="s">
        <v>143</v>
      </c>
      <c r="F169">
        <v>80</v>
      </c>
      <c r="G169">
        <v>80</v>
      </c>
      <c r="H169">
        <v>33.1</v>
      </c>
      <c r="I169">
        <v>4.0999999999999996</v>
      </c>
      <c r="J169">
        <v>8.6999999999999993</v>
      </c>
      <c r="K169">
        <v>0.47099999999999997</v>
      </c>
      <c r="L169">
        <v>2.2000000000000002</v>
      </c>
      <c r="M169">
        <v>5.4</v>
      </c>
      <c r="N169">
        <v>0.39500000000000002</v>
      </c>
      <c r="O169">
        <v>1.9</v>
      </c>
      <c r="P169">
        <v>3.2</v>
      </c>
      <c r="Q169">
        <v>0.59899999999999998</v>
      </c>
      <c r="R169">
        <v>0.59499999999999997</v>
      </c>
      <c r="S169">
        <v>0.7</v>
      </c>
      <c r="T169">
        <v>1</v>
      </c>
      <c r="U169">
        <v>0.67500000000000004</v>
      </c>
      <c r="V169">
        <v>1.5</v>
      </c>
      <c r="W169">
        <v>3.2</v>
      </c>
      <c r="X169">
        <v>4.7</v>
      </c>
      <c r="Y169">
        <v>1.9</v>
      </c>
      <c r="Z169">
        <v>1.1000000000000001</v>
      </c>
      <c r="AA169">
        <v>0.5</v>
      </c>
      <c r="AB169">
        <v>1</v>
      </c>
      <c r="AC169">
        <v>2.2999999999999998</v>
      </c>
      <c r="AD169">
        <v>11</v>
      </c>
      <c r="AE169" t="str">
        <f>IF(OR(_nba2122[[#This Row],[G]]&gt;=58,nba2122_advanced[[#This Row],[MP]]&gt;=1000),"Y","N")</f>
        <v>Y</v>
      </c>
      <c r="AF16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4.3370789398102501</v>
      </c>
    </row>
    <row r="170" spans="1:32" x14ac:dyDescent="0.35">
      <c r="A170">
        <v>169</v>
      </c>
      <c r="B170" s="1" t="s">
        <v>236</v>
      </c>
      <c r="C170" s="1" t="s">
        <v>28</v>
      </c>
      <c r="D170">
        <v>24</v>
      </c>
      <c r="E170" s="1" t="s">
        <v>42</v>
      </c>
      <c r="F170">
        <v>15</v>
      </c>
      <c r="G170">
        <v>0</v>
      </c>
      <c r="H170">
        <v>4.2</v>
      </c>
      <c r="I170">
        <v>0.5</v>
      </c>
      <c r="J170">
        <v>1.3</v>
      </c>
      <c r="K170">
        <v>0.42099999999999999</v>
      </c>
      <c r="L170">
        <v>0.3</v>
      </c>
      <c r="M170">
        <v>0.7</v>
      </c>
      <c r="N170">
        <v>0.5</v>
      </c>
      <c r="O170">
        <v>0.2</v>
      </c>
      <c r="P170">
        <v>0.6</v>
      </c>
      <c r="Q170">
        <v>0.33300000000000002</v>
      </c>
      <c r="R170">
        <v>0.55300000000000005</v>
      </c>
      <c r="S170">
        <v>0</v>
      </c>
      <c r="T170">
        <v>0</v>
      </c>
      <c r="V170">
        <v>0.1</v>
      </c>
      <c r="W170">
        <v>1</v>
      </c>
      <c r="X170">
        <v>1.1000000000000001</v>
      </c>
      <c r="Y170">
        <v>0.3</v>
      </c>
      <c r="Z170">
        <v>0</v>
      </c>
      <c r="AA170">
        <v>0</v>
      </c>
      <c r="AB170">
        <v>0.1</v>
      </c>
      <c r="AC170">
        <v>0.3</v>
      </c>
      <c r="AD170">
        <v>1.4</v>
      </c>
      <c r="AE170" t="str">
        <f>IF(OR(_nba2122[[#This Row],[G]]&gt;=58,nba2122_advanced[[#This Row],[MP]]&gt;=1000),"Y","N")</f>
        <v>N</v>
      </c>
      <c r="AF17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12.586466654612817</v>
      </c>
    </row>
    <row r="171" spans="1:32" x14ac:dyDescent="0.35">
      <c r="A171">
        <v>170</v>
      </c>
      <c r="B171" s="1" t="s">
        <v>237</v>
      </c>
      <c r="C171" s="1" t="s">
        <v>48</v>
      </c>
      <c r="D171">
        <v>23</v>
      </c>
      <c r="E171" s="1" t="s">
        <v>32</v>
      </c>
      <c r="F171">
        <v>44</v>
      </c>
      <c r="G171">
        <v>5</v>
      </c>
      <c r="H171">
        <v>12.2</v>
      </c>
      <c r="I171">
        <v>1.6</v>
      </c>
      <c r="J171">
        <v>4.2</v>
      </c>
      <c r="K171">
        <v>0.39300000000000002</v>
      </c>
      <c r="L171">
        <v>0.7</v>
      </c>
      <c r="M171">
        <v>2</v>
      </c>
      <c r="N171">
        <v>0.33300000000000002</v>
      </c>
      <c r="O171">
        <v>1</v>
      </c>
      <c r="P171">
        <v>2.1</v>
      </c>
      <c r="Q171">
        <v>0.45200000000000001</v>
      </c>
      <c r="R171">
        <v>0.47499999999999998</v>
      </c>
      <c r="S171">
        <v>0.3</v>
      </c>
      <c r="T171">
        <v>0.5</v>
      </c>
      <c r="U171">
        <v>0.625</v>
      </c>
      <c r="V171">
        <v>0.2</v>
      </c>
      <c r="W171">
        <v>1.2</v>
      </c>
      <c r="X171">
        <v>1.4</v>
      </c>
      <c r="Y171">
        <v>1.6</v>
      </c>
      <c r="Z171">
        <v>0.5</v>
      </c>
      <c r="AA171">
        <v>0.1</v>
      </c>
      <c r="AB171">
        <v>0.3</v>
      </c>
      <c r="AC171">
        <v>1</v>
      </c>
      <c r="AD171">
        <v>4.3</v>
      </c>
      <c r="AE171" t="str">
        <f>IF(OR(_nba2122[[#This Row],[G]]&gt;=58,nba2122_advanced[[#This Row],[MP]]&gt;=1000),"Y","N")</f>
        <v>N</v>
      </c>
      <c r="AF17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7.8385463095670254</v>
      </c>
    </row>
    <row r="172" spans="1:32" x14ac:dyDescent="0.35">
      <c r="A172">
        <v>171</v>
      </c>
      <c r="B172" s="1" t="s">
        <v>238</v>
      </c>
      <c r="C172" s="1" t="s">
        <v>41</v>
      </c>
      <c r="D172">
        <v>28</v>
      </c>
      <c r="E172" s="1" t="s">
        <v>42</v>
      </c>
      <c r="F172">
        <v>75</v>
      </c>
      <c r="G172">
        <v>2</v>
      </c>
      <c r="H172">
        <v>17.100000000000001</v>
      </c>
      <c r="I172">
        <v>3.1</v>
      </c>
      <c r="J172">
        <v>7.2</v>
      </c>
      <c r="K172">
        <v>0.42899999999999999</v>
      </c>
      <c r="L172">
        <v>1.6</v>
      </c>
      <c r="M172">
        <v>3.9</v>
      </c>
      <c r="N172">
        <v>0.41399999999999998</v>
      </c>
      <c r="O172">
        <v>1.5</v>
      </c>
      <c r="P172">
        <v>3.3</v>
      </c>
      <c r="Q172">
        <v>0.44700000000000001</v>
      </c>
      <c r="R172">
        <v>0.54200000000000004</v>
      </c>
      <c r="S172">
        <v>1.1000000000000001</v>
      </c>
      <c r="T172">
        <v>1.2</v>
      </c>
      <c r="U172">
        <v>0.90800000000000003</v>
      </c>
      <c r="V172">
        <v>0.1</v>
      </c>
      <c r="W172">
        <v>1.1000000000000001</v>
      </c>
      <c r="X172">
        <v>1.2</v>
      </c>
      <c r="Y172">
        <v>1</v>
      </c>
      <c r="Z172">
        <v>0.3</v>
      </c>
      <c r="AA172">
        <v>0.1</v>
      </c>
      <c r="AB172">
        <v>0.7</v>
      </c>
      <c r="AC172">
        <v>1.3</v>
      </c>
      <c r="AD172">
        <v>8.8000000000000007</v>
      </c>
      <c r="AE172" t="str">
        <f>IF(OR(_nba2122[[#This Row],[G]]&gt;=58,nba2122_advanced[[#This Row],[MP]]&gt;=1000),"Y","N")</f>
        <v>Y</v>
      </c>
      <c r="AF17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8.0401565410542677</v>
      </c>
    </row>
    <row r="173" spans="1:32" x14ac:dyDescent="0.35">
      <c r="A173">
        <v>172</v>
      </c>
      <c r="B173" s="1" t="s">
        <v>239</v>
      </c>
      <c r="C173" s="1" t="s">
        <v>51</v>
      </c>
      <c r="D173">
        <v>24</v>
      </c>
      <c r="E173" s="1" t="s">
        <v>58</v>
      </c>
      <c r="F173">
        <v>5</v>
      </c>
      <c r="G173">
        <v>0</v>
      </c>
      <c r="H173">
        <v>14.8</v>
      </c>
      <c r="I173">
        <v>1.2</v>
      </c>
      <c r="J173">
        <v>4</v>
      </c>
      <c r="K173">
        <v>0.3</v>
      </c>
      <c r="L173">
        <v>0.4</v>
      </c>
      <c r="M173">
        <v>3</v>
      </c>
      <c r="N173">
        <v>0.13300000000000001</v>
      </c>
      <c r="O173">
        <v>0.8</v>
      </c>
      <c r="P173">
        <v>1</v>
      </c>
      <c r="Q173">
        <v>0.8</v>
      </c>
      <c r="R173">
        <v>0.35</v>
      </c>
      <c r="S173">
        <v>0</v>
      </c>
      <c r="T173">
        <v>0</v>
      </c>
      <c r="V173">
        <v>0.4</v>
      </c>
      <c r="W173">
        <v>2.6</v>
      </c>
      <c r="X173">
        <v>3</v>
      </c>
      <c r="Y173">
        <v>0.4</v>
      </c>
      <c r="Z173">
        <v>0.2</v>
      </c>
      <c r="AA173">
        <v>0</v>
      </c>
      <c r="AB173">
        <v>0.8</v>
      </c>
      <c r="AC173">
        <v>1.4</v>
      </c>
      <c r="AD173">
        <v>2.8</v>
      </c>
      <c r="AE173" t="str">
        <f>IF(OR(_nba2122[[#This Row],[G]]&gt;=58,nba2122_advanced[[#This Row],[MP]]&gt;=1000),"Y","N")</f>
        <v>N</v>
      </c>
      <c r="AF17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12.867227565433588</v>
      </c>
    </row>
    <row r="174" spans="1:32" x14ac:dyDescent="0.35">
      <c r="A174">
        <v>173</v>
      </c>
      <c r="B174" s="1" t="s">
        <v>240</v>
      </c>
      <c r="C174" s="1" t="s">
        <v>48</v>
      </c>
      <c r="D174">
        <v>23</v>
      </c>
      <c r="E174" s="1" t="s">
        <v>70</v>
      </c>
      <c r="F174">
        <v>60</v>
      </c>
      <c r="G174">
        <v>6</v>
      </c>
      <c r="H174">
        <v>12.8</v>
      </c>
      <c r="I174">
        <v>1.3</v>
      </c>
      <c r="J174">
        <v>2.6</v>
      </c>
      <c r="K174">
        <v>0.49</v>
      </c>
      <c r="L174">
        <v>0.1</v>
      </c>
      <c r="M174">
        <v>0.5</v>
      </c>
      <c r="N174">
        <v>0.185</v>
      </c>
      <c r="O174">
        <v>1.2</v>
      </c>
      <c r="P174">
        <v>2.1</v>
      </c>
      <c r="Q174">
        <v>0.55500000000000005</v>
      </c>
      <c r="R174">
        <v>0.50600000000000001</v>
      </c>
      <c r="S174">
        <v>0.6</v>
      </c>
      <c r="T174">
        <v>0.8</v>
      </c>
      <c r="U174">
        <v>0.79200000000000004</v>
      </c>
      <c r="V174">
        <v>0.4</v>
      </c>
      <c r="W174">
        <v>1.3</v>
      </c>
      <c r="X174">
        <v>1.7</v>
      </c>
      <c r="Y174">
        <v>1.8</v>
      </c>
      <c r="Z174">
        <v>0.5</v>
      </c>
      <c r="AA174">
        <v>0.1</v>
      </c>
      <c r="AB174">
        <v>0.8</v>
      </c>
      <c r="AC174">
        <v>0.7</v>
      </c>
      <c r="AD174">
        <v>3.3</v>
      </c>
      <c r="AE174" t="str">
        <f>IF(OR(_nba2122[[#This Row],[G]]&gt;=58,nba2122_advanced[[#This Row],[MP]]&gt;=1000),"Y","N")</f>
        <v>Y</v>
      </c>
      <c r="AF17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8.260450157274251</v>
      </c>
    </row>
    <row r="175" spans="1:32" x14ac:dyDescent="0.35">
      <c r="A175">
        <v>174</v>
      </c>
      <c r="B175" s="1" t="s">
        <v>241</v>
      </c>
      <c r="C175" s="1" t="s">
        <v>41</v>
      </c>
      <c r="D175">
        <v>29</v>
      </c>
      <c r="E175" s="1" t="s">
        <v>61</v>
      </c>
      <c r="F175">
        <v>80</v>
      </c>
      <c r="G175">
        <v>80</v>
      </c>
      <c r="H175">
        <v>29.5</v>
      </c>
      <c r="I175">
        <v>5</v>
      </c>
      <c r="J175">
        <v>12.1</v>
      </c>
      <c r="K175">
        <v>0.41699999999999998</v>
      </c>
      <c r="L175">
        <v>3</v>
      </c>
      <c r="M175">
        <v>7.7</v>
      </c>
      <c r="N175">
        <v>0.38900000000000001</v>
      </c>
      <c r="O175">
        <v>2</v>
      </c>
      <c r="P175">
        <v>4.3</v>
      </c>
      <c r="Q175">
        <v>0.46500000000000002</v>
      </c>
      <c r="R175">
        <v>0.54100000000000004</v>
      </c>
      <c r="S175">
        <v>1</v>
      </c>
      <c r="T175">
        <v>1.4</v>
      </c>
      <c r="U175">
        <v>0.70799999999999996</v>
      </c>
      <c r="V175">
        <v>0.4</v>
      </c>
      <c r="W175">
        <v>2.2000000000000002</v>
      </c>
      <c r="X175">
        <v>2.6</v>
      </c>
      <c r="Y175">
        <v>2.1</v>
      </c>
      <c r="Z175">
        <v>1</v>
      </c>
      <c r="AA175">
        <v>0.3</v>
      </c>
      <c r="AB175">
        <v>1.3</v>
      </c>
      <c r="AC175">
        <v>2.2999999999999998</v>
      </c>
      <c r="AD175">
        <v>14.1</v>
      </c>
      <c r="AE175" t="str">
        <f>IF(OR(_nba2122[[#This Row],[G]]&gt;=58,nba2122_advanced[[#This Row],[MP]]&gt;=1000),"Y","N")</f>
        <v>Y</v>
      </c>
      <c r="AF17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4.9508770318380817</v>
      </c>
    </row>
    <row r="176" spans="1:32" x14ac:dyDescent="0.35">
      <c r="A176">
        <v>175</v>
      </c>
      <c r="B176" s="1" t="s">
        <v>242</v>
      </c>
      <c r="C176" s="1" t="s">
        <v>48</v>
      </c>
      <c r="D176">
        <v>24</v>
      </c>
      <c r="E176" s="1" t="s">
        <v>82</v>
      </c>
      <c r="F176">
        <v>59</v>
      </c>
      <c r="G176">
        <v>59</v>
      </c>
      <c r="H176">
        <v>35.299999999999997</v>
      </c>
      <c r="I176">
        <v>8.6999999999999993</v>
      </c>
      <c r="J176">
        <v>18.5</v>
      </c>
      <c r="K176">
        <v>0.47299999999999998</v>
      </c>
      <c r="L176">
        <v>1.3</v>
      </c>
      <c r="M176">
        <v>4.2</v>
      </c>
      <c r="N176">
        <v>0.29699999999999999</v>
      </c>
      <c r="O176">
        <v>7.5</v>
      </c>
      <c r="P176">
        <v>14.3</v>
      </c>
      <c r="Q176">
        <v>0.52400000000000002</v>
      </c>
      <c r="R176">
        <v>0.50600000000000001</v>
      </c>
      <c r="S176">
        <v>4.4000000000000004</v>
      </c>
      <c r="T176">
        <v>5.9</v>
      </c>
      <c r="U176">
        <v>0.75</v>
      </c>
      <c r="V176">
        <v>0.4</v>
      </c>
      <c r="W176">
        <v>3.5</v>
      </c>
      <c r="X176">
        <v>3.9</v>
      </c>
      <c r="Y176">
        <v>5.6</v>
      </c>
      <c r="Z176">
        <v>1.2</v>
      </c>
      <c r="AA176">
        <v>0.4</v>
      </c>
      <c r="AB176">
        <v>2.8</v>
      </c>
      <c r="AC176">
        <v>2.9</v>
      </c>
      <c r="AD176">
        <v>23.2</v>
      </c>
      <c r="AE176" t="str">
        <f>IF(OR(_nba2122[[#This Row],[G]]&gt;=58,nba2122_advanced[[#This Row],[MP]]&gt;=1000),"Y","N")</f>
        <v>Y</v>
      </c>
      <c r="AF17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7.1556701256940416</v>
      </c>
    </row>
    <row r="177" spans="1:32" x14ac:dyDescent="0.35">
      <c r="A177">
        <v>176</v>
      </c>
      <c r="B177" s="1" t="s">
        <v>243</v>
      </c>
      <c r="C177" s="1" t="s">
        <v>41</v>
      </c>
      <c r="D177">
        <v>25</v>
      </c>
      <c r="E177" s="1" t="s">
        <v>96</v>
      </c>
      <c r="F177">
        <v>3</v>
      </c>
      <c r="G177">
        <v>0</v>
      </c>
      <c r="H177">
        <v>40</v>
      </c>
      <c r="I177">
        <v>4.3</v>
      </c>
      <c r="J177">
        <v>16</v>
      </c>
      <c r="K177">
        <v>0.27100000000000002</v>
      </c>
      <c r="L177">
        <v>0.3</v>
      </c>
      <c r="M177">
        <v>7</v>
      </c>
      <c r="N177">
        <v>4.8000000000000001E-2</v>
      </c>
      <c r="O177">
        <v>4</v>
      </c>
      <c r="P177">
        <v>9</v>
      </c>
      <c r="Q177">
        <v>0.44400000000000001</v>
      </c>
      <c r="R177">
        <v>0.28100000000000003</v>
      </c>
      <c r="S177">
        <v>1.7</v>
      </c>
      <c r="T177">
        <v>2.2999999999999998</v>
      </c>
      <c r="U177">
        <v>0.71399999999999997</v>
      </c>
      <c r="V177">
        <v>1.7</v>
      </c>
      <c r="W177">
        <v>2.7</v>
      </c>
      <c r="X177">
        <v>4.3</v>
      </c>
      <c r="Y177">
        <v>0.3</v>
      </c>
      <c r="Z177">
        <v>0.3</v>
      </c>
      <c r="AA177">
        <v>0</v>
      </c>
      <c r="AB177">
        <v>1</v>
      </c>
      <c r="AC177">
        <v>2.7</v>
      </c>
      <c r="AD177">
        <v>10.7</v>
      </c>
      <c r="AE177" t="str">
        <f>IF(OR(_nba2122[[#This Row],[G]]&gt;=58,nba2122_advanced[[#This Row],[MP]]&gt;=1000),"Y","N")</f>
        <v>N</v>
      </c>
      <c r="AF17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10.448431220704064</v>
      </c>
    </row>
    <row r="178" spans="1:32" x14ac:dyDescent="0.35">
      <c r="A178">
        <v>177</v>
      </c>
      <c r="B178" s="1" t="s">
        <v>244</v>
      </c>
      <c r="C178" s="1" t="s">
        <v>48</v>
      </c>
      <c r="D178">
        <v>31</v>
      </c>
      <c r="E178" s="1" t="s">
        <v>42</v>
      </c>
      <c r="F178">
        <v>12</v>
      </c>
      <c r="G178">
        <v>3</v>
      </c>
      <c r="H178">
        <v>17.3</v>
      </c>
      <c r="I178">
        <v>1.2</v>
      </c>
      <c r="J178">
        <v>3.8</v>
      </c>
      <c r="K178">
        <v>0.311</v>
      </c>
      <c r="L178">
        <v>0.5</v>
      </c>
      <c r="M178">
        <v>1.4</v>
      </c>
      <c r="N178">
        <v>0.35299999999999998</v>
      </c>
      <c r="O178">
        <v>0.7</v>
      </c>
      <c r="P178">
        <v>2.2999999999999998</v>
      </c>
      <c r="Q178">
        <v>0.28599999999999998</v>
      </c>
      <c r="R178">
        <v>0.378</v>
      </c>
      <c r="S178">
        <v>0.4</v>
      </c>
      <c r="T178">
        <v>0.8</v>
      </c>
      <c r="U178">
        <v>0.55600000000000005</v>
      </c>
      <c r="V178">
        <v>0.4</v>
      </c>
      <c r="W178">
        <v>1.2</v>
      </c>
      <c r="X178">
        <v>1.6</v>
      </c>
      <c r="Y178">
        <v>2.8</v>
      </c>
      <c r="Z178">
        <v>0.3</v>
      </c>
      <c r="AA178">
        <v>0.1</v>
      </c>
      <c r="AB178">
        <v>1.3</v>
      </c>
      <c r="AC178">
        <v>2.2999999999999998</v>
      </c>
      <c r="AD178">
        <v>3.3</v>
      </c>
      <c r="AE178" t="str">
        <f>IF(OR(_nba2122[[#This Row],[G]]&gt;=58,nba2122_advanced[[#This Row],[MP]]&gt;=1000),"Y","N")</f>
        <v>N</v>
      </c>
      <c r="AF17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8.7153113762659835</v>
      </c>
    </row>
    <row r="179" spans="1:32" x14ac:dyDescent="0.35">
      <c r="A179">
        <v>178</v>
      </c>
      <c r="B179" s="1" t="s">
        <v>245</v>
      </c>
      <c r="C179" s="1" t="s">
        <v>31</v>
      </c>
      <c r="D179">
        <v>29</v>
      </c>
      <c r="E179" s="1" t="s">
        <v>140</v>
      </c>
      <c r="F179">
        <v>35</v>
      </c>
      <c r="G179">
        <v>1</v>
      </c>
      <c r="H179">
        <v>11.7</v>
      </c>
      <c r="I179">
        <v>1.5</v>
      </c>
      <c r="J179">
        <v>2.8</v>
      </c>
      <c r="K179">
        <v>0.52600000000000002</v>
      </c>
      <c r="L179">
        <v>0.1</v>
      </c>
      <c r="M179">
        <v>0.1</v>
      </c>
      <c r="N179">
        <v>0.4</v>
      </c>
      <c r="O179">
        <v>1.4</v>
      </c>
      <c r="P179">
        <v>2.6</v>
      </c>
      <c r="Q179">
        <v>0.53300000000000003</v>
      </c>
      <c r="R179">
        <v>0.53600000000000003</v>
      </c>
      <c r="S179">
        <v>0.7</v>
      </c>
      <c r="T179">
        <v>0.8</v>
      </c>
      <c r="U179">
        <v>0.85699999999999998</v>
      </c>
      <c r="V179">
        <v>1.7</v>
      </c>
      <c r="W179">
        <v>2.8</v>
      </c>
      <c r="X179">
        <v>4.5999999999999996</v>
      </c>
      <c r="Y179">
        <v>0.2</v>
      </c>
      <c r="Z179">
        <v>0.1</v>
      </c>
      <c r="AA179">
        <v>0.4</v>
      </c>
      <c r="AB179">
        <v>0.6</v>
      </c>
      <c r="AC179">
        <v>1.2</v>
      </c>
      <c r="AD179">
        <v>3.7</v>
      </c>
      <c r="AE179" t="str">
        <f>IF(OR(_nba2122[[#This Row],[G]]&gt;=58,nba2122_advanced[[#This Row],[MP]]&gt;=1000),"Y","N")</f>
        <v>N</v>
      </c>
      <c r="AF17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9.1168602397265275</v>
      </c>
    </row>
    <row r="180" spans="1:32" x14ac:dyDescent="0.35">
      <c r="A180">
        <v>179</v>
      </c>
      <c r="B180" s="1" t="s">
        <v>246</v>
      </c>
      <c r="C180" s="1" t="s">
        <v>48</v>
      </c>
      <c r="D180">
        <v>23</v>
      </c>
      <c r="E180" s="1" t="s">
        <v>58</v>
      </c>
      <c r="F180">
        <v>18</v>
      </c>
      <c r="G180">
        <v>3</v>
      </c>
      <c r="H180">
        <v>20</v>
      </c>
      <c r="I180">
        <v>4.5999999999999996</v>
      </c>
      <c r="J180">
        <v>9.6999999999999993</v>
      </c>
      <c r="K180">
        <v>0.47399999999999998</v>
      </c>
      <c r="L180">
        <v>0.2</v>
      </c>
      <c r="M180">
        <v>0.9</v>
      </c>
      <c r="N180">
        <v>0.23499999999999999</v>
      </c>
      <c r="O180">
        <v>4.4000000000000004</v>
      </c>
      <c r="P180">
        <v>8.8000000000000007</v>
      </c>
      <c r="Q180">
        <v>0.5</v>
      </c>
      <c r="R180">
        <v>0.48599999999999999</v>
      </c>
      <c r="S180">
        <v>1.4</v>
      </c>
      <c r="T180">
        <v>1.7</v>
      </c>
      <c r="U180">
        <v>0.80600000000000005</v>
      </c>
      <c r="V180">
        <v>0.2</v>
      </c>
      <c r="W180">
        <v>2.5</v>
      </c>
      <c r="X180">
        <v>2.7</v>
      </c>
      <c r="Y180">
        <v>5.5</v>
      </c>
      <c r="Z180">
        <v>1.1000000000000001</v>
      </c>
      <c r="AA180">
        <v>0.3</v>
      </c>
      <c r="AB180">
        <v>2.2000000000000002</v>
      </c>
      <c r="AC180">
        <v>1.2</v>
      </c>
      <c r="AD180">
        <v>10.8</v>
      </c>
      <c r="AE180" t="str">
        <f>IF(OR(_nba2122[[#This Row],[G]]&gt;=58,nba2122_advanced[[#This Row],[MP]]&gt;=1000),"Y","N")</f>
        <v>N</v>
      </c>
      <c r="AF18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9.1602377515845461</v>
      </c>
    </row>
    <row r="181" spans="1:32" x14ac:dyDescent="0.35">
      <c r="A181">
        <v>180</v>
      </c>
      <c r="B181" s="1" t="s">
        <v>247</v>
      </c>
      <c r="C181" s="1" t="s">
        <v>28</v>
      </c>
      <c r="D181">
        <v>24</v>
      </c>
      <c r="E181" s="1" t="s">
        <v>42</v>
      </c>
      <c r="F181">
        <v>26</v>
      </c>
      <c r="G181">
        <v>5</v>
      </c>
      <c r="H181">
        <v>13.8</v>
      </c>
      <c r="I181">
        <v>2.1</v>
      </c>
      <c r="J181">
        <v>4.2</v>
      </c>
      <c r="K181">
        <v>0.49099999999999999</v>
      </c>
      <c r="L181">
        <v>0.3</v>
      </c>
      <c r="M181">
        <v>1.1000000000000001</v>
      </c>
      <c r="N181">
        <v>0.28599999999999998</v>
      </c>
      <c r="O181">
        <v>1.8</v>
      </c>
      <c r="P181">
        <v>3.2</v>
      </c>
      <c r="Q181">
        <v>0.56100000000000005</v>
      </c>
      <c r="R181">
        <v>0.52700000000000002</v>
      </c>
      <c r="S181">
        <v>1</v>
      </c>
      <c r="T181">
        <v>1.6</v>
      </c>
      <c r="U181">
        <v>0.59499999999999997</v>
      </c>
      <c r="V181">
        <v>1.5</v>
      </c>
      <c r="W181">
        <v>2.2000000000000002</v>
      </c>
      <c r="X181">
        <v>3.7</v>
      </c>
      <c r="Y181">
        <v>0.5</v>
      </c>
      <c r="Z181">
        <v>0.2</v>
      </c>
      <c r="AA181">
        <v>0.4</v>
      </c>
      <c r="AB181">
        <v>0.6</v>
      </c>
      <c r="AC181">
        <v>2.6</v>
      </c>
      <c r="AD181">
        <v>5.4</v>
      </c>
      <c r="AE181" t="str">
        <f>IF(OR(_nba2122[[#This Row],[G]]&gt;=58,nba2122_advanced[[#This Row],[MP]]&gt;=1000),"Y","N")</f>
        <v>N</v>
      </c>
      <c r="AF18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7.4221004359069633</v>
      </c>
    </row>
    <row r="182" spans="1:32" x14ac:dyDescent="0.35">
      <c r="A182">
        <v>181</v>
      </c>
      <c r="B182" s="1" t="s">
        <v>248</v>
      </c>
      <c r="C182" s="1" t="s">
        <v>31</v>
      </c>
      <c r="D182">
        <v>23</v>
      </c>
      <c r="E182" s="1" t="s">
        <v>65</v>
      </c>
      <c r="F182">
        <v>72</v>
      </c>
      <c r="G182">
        <v>53</v>
      </c>
      <c r="H182">
        <v>20.100000000000001</v>
      </c>
      <c r="I182">
        <v>4</v>
      </c>
      <c r="J182">
        <v>5.7</v>
      </c>
      <c r="K182">
        <v>0.69299999999999995</v>
      </c>
      <c r="L182">
        <v>0</v>
      </c>
      <c r="M182">
        <v>0</v>
      </c>
      <c r="N182">
        <v>0</v>
      </c>
      <c r="O182">
        <v>4</v>
      </c>
      <c r="P182">
        <v>5.7</v>
      </c>
      <c r="Q182">
        <v>0.69499999999999995</v>
      </c>
      <c r="R182">
        <v>0.69299999999999995</v>
      </c>
      <c r="S182">
        <v>1.5</v>
      </c>
      <c r="T182">
        <v>2.1</v>
      </c>
      <c r="U182">
        <v>0.69899999999999995</v>
      </c>
      <c r="V182">
        <v>2.2000000000000002</v>
      </c>
      <c r="W182">
        <v>3.5</v>
      </c>
      <c r="X182">
        <v>5.7</v>
      </c>
      <c r="Y182">
        <v>0.9</v>
      </c>
      <c r="Z182">
        <v>0.4</v>
      </c>
      <c r="AA182">
        <v>1.4</v>
      </c>
      <c r="AB182">
        <v>0.9</v>
      </c>
      <c r="AC182">
        <v>2.4</v>
      </c>
      <c r="AD182">
        <v>9.4</v>
      </c>
      <c r="AE182" t="str">
        <f>IF(OR(_nba2122[[#This Row],[G]]&gt;=58,nba2122_advanced[[#This Row],[MP]]&gt;=1000),"Y","N")</f>
        <v>Y</v>
      </c>
      <c r="AF18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11.628779442824021</v>
      </c>
    </row>
    <row r="183" spans="1:32" x14ac:dyDescent="0.35">
      <c r="A183">
        <v>182</v>
      </c>
      <c r="B183" s="1" t="s">
        <v>249</v>
      </c>
      <c r="C183" s="1" t="s">
        <v>28</v>
      </c>
      <c r="D183">
        <v>33</v>
      </c>
      <c r="E183" s="1" t="s">
        <v>80</v>
      </c>
      <c r="F183">
        <v>66</v>
      </c>
      <c r="G183">
        <v>18</v>
      </c>
      <c r="H183">
        <v>25.3</v>
      </c>
      <c r="I183">
        <v>3.9</v>
      </c>
      <c r="J183">
        <v>9</v>
      </c>
      <c r="K183">
        <v>0.434</v>
      </c>
      <c r="L183">
        <v>1.7</v>
      </c>
      <c r="M183">
        <v>4.5</v>
      </c>
      <c r="N183">
        <v>0.38100000000000001</v>
      </c>
      <c r="O183">
        <v>2.2000000000000002</v>
      </c>
      <c r="P183">
        <v>4.5999999999999996</v>
      </c>
      <c r="Q183">
        <v>0.48499999999999999</v>
      </c>
      <c r="R183">
        <v>0.52800000000000002</v>
      </c>
      <c r="S183">
        <v>2.1</v>
      </c>
      <c r="T183">
        <v>2.4</v>
      </c>
      <c r="U183">
        <v>0.90400000000000003</v>
      </c>
      <c r="V183">
        <v>0.5</v>
      </c>
      <c r="W183">
        <v>4.0999999999999996</v>
      </c>
      <c r="X183">
        <v>4.7</v>
      </c>
      <c r="Y183">
        <v>1.5</v>
      </c>
      <c r="Z183">
        <v>0.4</v>
      </c>
      <c r="AA183">
        <v>0.2</v>
      </c>
      <c r="AB183">
        <v>0.6</v>
      </c>
      <c r="AC183">
        <v>1.4</v>
      </c>
      <c r="AD183">
        <v>11.7</v>
      </c>
      <c r="AE183" t="str">
        <f>IF(OR(_nba2122[[#This Row],[G]]&gt;=58,nba2122_advanced[[#This Row],[MP]]&gt;=1000),"Y","N")</f>
        <v>Y</v>
      </c>
      <c r="AF18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5.4827783735545044</v>
      </c>
    </row>
    <row r="184" spans="1:32" x14ac:dyDescent="0.35">
      <c r="A184">
        <v>183</v>
      </c>
      <c r="B184" s="1" t="s">
        <v>250</v>
      </c>
      <c r="C184" s="1" t="s">
        <v>41</v>
      </c>
      <c r="D184">
        <v>30</v>
      </c>
      <c r="E184" s="1" t="s">
        <v>42</v>
      </c>
      <c r="F184">
        <v>7</v>
      </c>
      <c r="G184">
        <v>0</v>
      </c>
      <c r="H184">
        <v>15.3</v>
      </c>
      <c r="I184">
        <v>0.9</v>
      </c>
      <c r="J184">
        <v>3.7</v>
      </c>
      <c r="K184">
        <v>0.23100000000000001</v>
      </c>
      <c r="L184">
        <v>0.3</v>
      </c>
      <c r="M184">
        <v>2.2999999999999998</v>
      </c>
      <c r="N184">
        <v>0.125</v>
      </c>
      <c r="O184">
        <v>0.6</v>
      </c>
      <c r="P184">
        <v>1.4</v>
      </c>
      <c r="Q184">
        <v>0.4</v>
      </c>
      <c r="R184">
        <v>0.26900000000000002</v>
      </c>
      <c r="S184">
        <v>0</v>
      </c>
      <c r="T184">
        <v>0</v>
      </c>
      <c r="V184">
        <v>0.4</v>
      </c>
      <c r="W184">
        <v>2.1</v>
      </c>
      <c r="X184">
        <v>2.6</v>
      </c>
      <c r="Y184">
        <v>1.7</v>
      </c>
      <c r="Z184">
        <v>0.1</v>
      </c>
      <c r="AA184">
        <v>0</v>
      </c>
      <c r="AB184">
        <v>0.9</v>
      </c>
      <c r="AC184">
        <v>1</v>
      </c>
      <c r="AD184">
        <v>2</v>
      </c>
      <c r="AE184" t="str">
        <f>IF(OR(_nba2122[[#This Row],[G]]&gt;=58,nba2122_advanced[[#This Row],[MP]]&gt;=1000),"Y","N")</f>
        <v>N</v>
      </c>
      <c r="AF18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12.577029212038305</v>
      </c>
    </row>
    <row r="185" spans="1:32" x14ac:dyDescent="0.35">
      <c r="A185">
        <v>184</v>
      </c>
      <c r="B185" s="1" t="s">
        <v>251</v>
      </c>
      <c r="C185" s="1" t="s">
        <v>48</v>
      </c>
      <c r="D185">
        <v>22</v>
      </c>
      <c r="E185" s="1" t="s">
        <v>46</v>
      </c>
      <c r="F185">
        <v>68</v>
      </c>
      <c r="G185">
        <v>68</v>
      </c>
      <c r="H185">
        <v>35.700000000000003</v>
      </c>
      <c r="I185">
        <v>8</v>
      </c>
      <c r="J185">
        <v>17.3</v>
      </c>
      <c r="K185">
        <v>0.46200000000000002</v>
      </c>
      <c r="L185">
        <v>2.6</v>
      </c>
      <c r="M185">
        <v>6.7</v>
      </c>
      <c r="N185">
        <v>0.38300000000000001</v>
      </c>
      <c r="O185">
        <v>5.4</v>
      </c>
      <c r="P185">
        <v>10.6</v>
      </c>
      <c r="Q185">
        <v>0.51200000000000001</v>
      </c>
      <c r="R185">
        <v>0.53600000000000003</v>
      </c>
      <c r="S185">
        <v>3.2</v>
      </c>
      <c r="T185">
        <v>3.5</v>
      </c>
      <c r="U185">
        <v>0.89200000000000002</v>
      </c>
      <c r="V185">
        <v>0.6</v>
      </c>
      <c r="W185">
        <v>2.7</v>
      </c>
      <c r="X185">
        <v>3.3</v>
      </c>
      <c r="Y185">
        <v>8.6</v>
      </c>
      <c r="Z185">
        <v>1.3</v>
      </c>
      <c r="AA185">
        <v>0.1</v>
      </c>
      <c r="AB185">
        <v>3.6</v>
      </c>
      <c r="AC185">
        <v>1.7</v>
      </c>
      <c r="AD185">
        <v>21.7</v>
      </c>
      <c r="AE185" t="str">
        <f>IF(OR(_nba2122[[#This Row],[G]]&gt;=58,nba2122_advanced[[#This Row],[MP]]&gt;=1000),"Y","N")</f>
        <v>Y</v>
      </c>
      <c r="AF18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10.524435161779468</v>
      </c>
    </row>
    <row r="186" spans="1:32" x14ac:dyDescent="0.35">
      <c r="A186">
        <v>185</v>
      </c>
      <c r="B186" s="1" t="s">
        <v>252</v>
      </c>
      <c r="C186" s="1" t="s">
        <v>41</v>
      </c>
      <c r="D186">
        <v>23</v>
      </c>
      <c r="E186" s="1" t="s">
        <v>36</v>
      </c>
      <c r="F186">
        <v>12</v>
      </c>
      <c r="G186">
        <v>0</v>
      </c>
      <c r="H186">
        <v>10.7</v>
      </c>
      <c r="I186">
        <v>0.4</v>
      </c>
      <c r="J186">
        <v>1.8</v>
      </c>
      <c r="K186">
        <v>0.23799999999999999</v>
      </c>
      <c r="L186">
        <v>0.1</v>
      </c>
      <c r="M186">
        <v>0.3</v>
      </c>
      <c r="N186">
        <v>0.25</v>
      </c>
      <c r="O186">
        <v>0.3</v>
      </c>
      <c r="P186">
        <v>1.4</v>
      </c>
      <c r="Q186">
        <v>0.23499999999999999</v>
      </c>
      <c r="R186">
        <v>0.26200000000000001</v>
      </c>
      <c r="S186">
        <v>0.2</v>
      </c>
      <c r="T186">
        <v>0.4</v>
      </c>
      <c r="U186">
        <v>0.4</v>
      </c>
      <c r="V186">
        <v>0.8</v>
      </c>
      <c r="W186">
        <v>1.2</v>
      </c>
      <c r="X186">
        <v>1.9</v>
      </c>
      <c r="Y186">
        <v>0.6</v>
      </c>
      <c r="Z186">
        <v>0.4</v>
      </c>
      <c r="AA186">
        <v>0.3</v>
      </c>
      <c r="AB186">
        <v>0.2</v>
      </c>
      <c r="AC186">
        <v>1.3</v>
      </c>
      <c r="AD186">
        <v>1.1000000000000001</v>
      </c>
      <c r="AE186" t="str">
        <f>IF(OR(_nba2122[[#This Row],[G]]&gt;=58,nba2122_advanced[[#This Row],[MP]]&gt;=1000),"Y","N")</f>
        <v>N</v>
      </c>
      <c r="AF18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9.653422892339254</v>
      </c>
    </row>
    <row r="187" spans="1:32" x14ac:dyDescent="0.35">
      <c r="A187">
        <v>186</v>
      </c>
      <c r="B187" s="1" t="s">
        <v>253</v>
      </c>
      <c r="C187" s="1" t="s">
        <v>28</v>
      </c>
      <c r="D187">
        <v>19</v>
      </c>
      <c r="E187" s="1" t="s">
        <v>170</v>
      </c>
      <c r="F187">
        <v>24</v>
      </c>
      <c r="G187">
        <v>2</v>
      </c>
      <c r="H187">
        <v>10</v>
      </c>
      <c r="I187">
        <v>0.8</v>
      </c>
      <c r="J187">
        <v>1.8</v>
      </c>
      <c r="K187">
        <v>0.432</v>
      </c>
      <c r="L187">
        <v>0.2</v>
      </c>
      <c r="M187">
        <v>0.8</v>
      </c>
      <c r="N187">
        <v>0.25</v>
      </c>
      <c r="O187">
        <v>0.6</v>
      </c>
      <c r="P187">
        <v>1</v>
      </c>
      <c r="Q187">
        <v>0.58299999999999996</v>
      </c>
      <c r="R187">
        <v>0.48899999999999999</v>
      </c>
      <c r="S187">
        <v>0.2</v>
      </c>
      <c r="T187">
        <v>0.3</v>
      </c>
      <c r="U187">
        <v>0.71399999999999997</v>
      </c>
      <c r="V187">
        <v>0.9</v>
      </c>
      <c r="W187">
        <v>2.6</v>
      </c>
      <c r="X187">
        <v>3.5</v>
      </c>
      <c r="Y187">
        <v>0.7</v>
      </c>
      <c r="Z187">
        <v>0.4</v>
      </c>
      <c r="AA187">
        <v>0.5</v>
      </c>
      <c r="AB187">
        <v>0.3</v>
      </c>
      <c r="AC187">
        <v>1.2</v>
      </c>
      <c r="AD187">
        <v>2</v>
      </c>
      <c r="AE187" t="str">
        <f>IF(OR(_nba2122[[#This Row],[G]]&gt;=58,nba2122_advanced[[#This Row],[MP]]&gt;=1000),"Y","N")</f>
        <v>N</v>
      </c>
      <c r="AF18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8.2751981123670681</v>
      </c>
    </row>
    <row r="188" spans="1:32" x14ac:dyDescent="0.35">
      <c r="A188">
        <v>187</v>
      </c>
      <c r="B188" s="1" t="s">
        <v>254</v>
      </c>
      <c r="C188" s="1" t="s">
        <v>31</v>
      </c>
      <c r="D188">
        <v>23</v>
      </c>
      <c r="E188" s="1" t="s">
        <v>105</v>
      </c>
      <c r="F188">
        <v>32</v>
      </c>
      <c r="G188">
        <v>5</v>
      </c>
      <c r="H188">
        <v>12.2</v>
      </c>
      <c r="I188">
        <v>2.1</v>
      </c>
      <c r="J188">
        <v>4.5999999999999996</v>
      </c>
      <c r="K188">
        <v>0.44900000000000001</v>
      </c>
      <c r="L188">
        <v>0.5</v>
      </c>
      <c r="M188">
        <v>1.5</v>
      </c>
      <c r="N188">
        <v>0.32700000000000001</v>
      </c>
      <c r="O188">
        <v>1.6</v>
      </c>
      <c r="P188">
        <v>3.1</v>
      </c>
      <c r="Q188">
        <v>0.51</v>
      </c>
      <c r="R188">
        <v>0.503</v>
      </c>
      <c r="S188">
        <v>1.2</v>
      </c>
      <c r="T188">
        <v>1.9</v>
      </c>
      <c r="U188">
        <v>0.623</v>
      </c>
      <c r="V188">
        <v>1.8</v>
      </c>
      <c r="W188">
        <v>1.3</v>
      </c>
      <c r="X188">
        <v>3.1</v>
      </c>
      <c r="Y188">
        <v>0.6</v>
      </c>
      <c r="Z188">
        <v>0.3</v>
      </c>
      <c r="AA188">
        <v>0.2</v>
      </c>
      <c r="AB188">
        <v>0.6</v>
      </c>
      <c r="AC188">
        <v>1.7</v>
      </c>
      <c r="AD188">
        <v>5.8</v>
      </c>
      <c r="AE188" t="str">
        <f>IF(OR(_nba2122[[#This Row],[G]]&gt;=58,nba2122_advanced[[#This Row],[MP]]&gt;=1000),"Y","N")</f>
        <v>N</v>
      </c>
      <c r="AF18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6.5927706262403953</v>
      </c>
    </row>
    <row r="189" spans="1:32" x14ac:dyDescent="0.35">
      <c r="A189">
        <v>188</v>
      </c>
      <c r="B189" s="1" t="s">
        <v>255</v>
      </c>
      <c r="C189" s="1" t="s">
        <v>28</v>
      </c>
      <c r="D189">
        <v>35</v>
      </c>
      <c r="E189" s="1" t="s">
        <v>70</v>
      </c>
      <c r="F189">
        <v>55</v>
      </c>
      <c r="G189">
        <v>1</v>
      </c>
      <c r="H189">
        <v>18.899999999999999</v>
      </c>
      <c r="I189">
        <v>2.9</v>
      </c>
      <c r="J189">
        <v>6.9</v>
      </c>
      <c r="K189">
        <v>0.41399999999999998</v>
      </c>
      <c r="L189">
        <v>1.3</v>
      </c>
      <c r="M189">
        <v>3.7</v>
      </c>
      <c r="N189">
        <v>0.34499999999999997</v>
      </c>
      <c r="O189">
        <v>1.6</v>
      </c>
      <c r="P189">
        <v>3.2</v>
      </c>
      <c r="Q189">
        <v>0.49399999999999999</v>
      </c>
      <c r="R189">
        <v>0.50700000000000001</v>
      </c>
      <c r="S189">
        <v>1.1000000000000001</v>
      </c>
      <c r="T189">
        <v>1.4</v>
      </c>
      <c r="U189">
        <v>0.78500000000000003</v>
      </c>
      <c r="V189">
        <v>1</v>
      </c>
      <c r="W189">
        <v>3.4</v>
      </c>
      <c r="X189">
        <v>4.4000000000000004</v>
      </c>
      <c r="Y189">
        <v>1</v>
      </c>
      <c r="Z189">
        <v>0.5</v>
      </c>
      <c r="AA189">
        <v>0.3</v>
      </c>
      <c r="AB189">
        <v>0.9</v>
      </c>
      <c r="AC189">
        <v>1.7</v>
      </c>
      <c r="AD189">
        <v>8.1</v>
      </c>
      <c r="AE189" t="str">
        <f>IF(OR(_nba2122[[#This Row],[G]]&gt;=58,nba2122_advanced[[#This Row],[MP]]&gt;=1000),"Y","N")</f>
        <v>Y</v>
      </c>
      <c r="AF18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4.5870398778854131</v>
      </c>
    </row>
    <row r="190" spans="1:32" x14ac:dyDescent="0.35">
      <c r="A190">
        <v>189</v>
      </c>
      <c r="B190" s="1" t="s">
        <v>256</v>
      </c>
      <c r="C190" s="1" t="s">
        <v>51</v>
      </c>
      <c r="D190">
        <v>31</v>
      </c>
      <c r="E190" s="1" t="s">
        <v>93</v>
      </c>
      <c r="F190">
        <v>31</v>
      </c>
      <c r="G190">
        <v>31</v>
      </c>
      <c r="H190">
        <v>34.700000000000003</v>
      </c>
      <c r="I190">
        <v>8.6</v>
      </c>
      <c r="J190">
        <v>20.5</v>
      </c>
      <c r="K190">
        <v>0.42099999999999999</v>
      </c>
      <c r="L190">
        <v>2.9</v>
      </c>
      <c r="M190">
        <v>8.3000000000000007</v>
      </c>
      <c r="N190">
        <v>0.35399999999999998</v>
      </c>
      <c r="O190">
        <v>5.7</v>
      </c>
      <c r="P190">
        <v>12.2</v>
      </c>
      <c r="Q190">
        <v>0.46700000000000003</v>
      </c>
      <c r="R190">
        <v>0.49299999999999999</v>
      </c>
      <c r="S190">
        <v>4.0999999999999996</v>
      </c>
      <c r="T190">
        <v>4.8</v>
      </c>
      <c r="U190">
        <v>0.85799999999999998</v>
      </c>
      <c r="V190">
        <v>0.4</v>
      </c>
      <c r="W190">
        <v>6.5</v>
      </c>
      <c r="X190">
        <v>6.9</v>
      </c>
      <c r="Y190">
        <v>5.7</v>
      </c>
      <c r="Z190">
        <v>2.2000000000000002</v>
      </c>
      <c r="AA190">
        <v>0.4</v>
      </c>
      <c r="AB190">
        <v>4.0999999999999996</v>
      </c>
      <c r="AC190">
        <v>2.4</v>
      </c>
      <c r="AD190">
        <v>24.3</v>
      </c>
      <c r="AE190" t="str">
        <f>IF(OR(_nba2122[[#This Row],[G]]&gt;=58,nba2122_advanced[[#This Row],[MP]]&gt;=1000),"Y","N")</f>
        <v>Y</v>
      </c>
      <c r="AF19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9.9016589134110369</v>
      </c>
    </row>
    <row r="191" spans="1:32" x14ac:dyDescent="0.35">
      <c r="A191">
        <v>190</v>
      </c>
      <c r="B191" s="1" t="s">
        <v>257</v>
      </c>
      <c r="C191" s="1" t="s">
        <v>31</v>
      </c>
      <c r="D191">
        <v>36</v>
      </c>
      <c r="E191" s="1" t="s">
        <v>61</v>
      </c>
      <c r="F191">
        <v>52</v>
      </c>
      <c r="G191">
        <v>4</v>
      </c>
      <c r="H191">
        <v>18.2</v>
      </c>
      <c r="I191">
        <v>1.7</v>
      </c>
      <c r="J191">
        <v>3.2</v>
      </c>
      <c r="K191">
        <v>0.51800000000000002</v>
      </c>
      <c r="L191">
        <v>0.3</v>
      </c>
      <c r="M191">
        <v>0.7</v>
      </c>
      <c r="N191">
        <v>0.39500000000000002</v>
      </c>
      <c r="O191">
        <v>1.4</v>
      </c>
      <c r="P191">
        <v>2.5</v>
      </c>
      <c r="Q191">
        <v>0.55500000000000005</v>
      </c>
      <c r="R191">
        <v>0.56299999999999994</v>
      </c>
      <c r="S191">
        <v>0.8</v>
      </c>
      <c r="T191">
        <v>1</v>
      </c>
      <c r="U191">
        <v>0.80800000000000005</v>
      </c>
      <c r="V191">
        <v>1.7</v>
      </c>
      <c r="W191">
        <v>2.7</v>
      </c>
      <c r="X191">
        <v>4.4000000000000004</v>
      </c>
      <c r="Y191">
        <v>0.6</v>
      </c>
      <c r="Z191">
        <v>0.4</v>
      </c>
      <c r="AA191">
        <v>0.8</v>
      </c>
      <c r="AB191">
        <v>0.5</v>
      </c>
      <c r="AC191">
        <v>2.6</v>
      </c>
      <c r="AD191">
        <v>4.4000000000000004</v>
      </c>
      <c r="AE191" t="str">
        <f>IF(OR(_nba2122[[#This Row],[G]]&gt;=58,nba2122_advanced[[#This Row],[MP]]&gt;=1000),"Y","N")</f>
        <v>N</v>
      </c>
      <c r="AF19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7.9090727738422295</v>
      </c>
    </row>
    <row r="192" spans="1:32" x14ac:dyDescent="0.35">
      <c r="A192">
        <v>191</v>
      </c>
      <c r="B192" s="1" t="s">
        <v>258</v>
      </c>
      <c r="C192" s="1" t="s">
        <v>41</v>
      </c>
      <c r="D192">
        <v>19</v>
      </c>
      <c r="E192" s="1" t="s">
        <v>96</v>
      </c>
      <c r="F192">
        <v>54</v>
      </c>
      <c r="G192">
        <v>54</v>
      </c>
      <c r="H192">
        <v>31.5</v>
      </c>
      <c r="I192">
        <v>5.2</v>
      </c>
      <c r="J192">
        <v>12.4</v>
      </c>
      <c r="K192">
        <v>0.41899999999999998</v>
      </c>
      <c r="L192">
        <v>1</v>
      </c>
      <c r="M192">
        <v>3.9</v>
      </c>
      <c r="N192">
        <v>0.26300000000000001</v>
      </c>
      <c r="O192">
        <v>4.2</v>
      </c>
      <c r="P192">
        <v>8.5</v>
      </c>
      <c r="Q192">
        <v>0.49199999999999999</v>
      </c>
      <c r="R192">
        <v>0.46100000000000002</v>
      </c>
      <c r="S192">
        <v>1</v>
      </c>
      <c r="T192">
        <v>1.5</v>
      </c>
      <c r="U192">
        <v>0.70899999999999996</v>
      </c>
      <c r="V192">
        <v>1.8</v>
      </c>
      <c r="W192">
        <v>6</v>
      </c>
      <c r="X192">
        <v>7.8</v>
      </c>
      <c r="Y192">
        <v>6.4</v>
      </c>
      <c r="Z192">
        <v>0.9</v>
      </c>
      <c r="AA192">
        <v>0.4</v>
      </c>
      <c r="AB192">
        <v>3.2</v>
      </c>
      <c r="AC192">
        <v>1.6</v>
      </c>
      <c r="AD192">
        <v>12.5</v>
      </c>
      <c r="AE192" t="str">
        <f>IF(OR(_nba2122[[#This Row],[G]]&gt;=58,nba2122_advanced[[#This Row],[MP]]&gt;=1000),"Y","N")</f>
        <v>Y</v>
      </c>
      <c r="AF19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7.5911750701497898</v>
      </c>
    </row>
    <row r="193" spans="1:32" x14ac:dyDescent="0.35">
      <c r="A193">
        <v>192</v>
      </c>
      <c r="B193" s="1" t="s">
        <v>259</v>
      </c>
      <c r="C193" s="1" t="s">
        <v>48</v>
      </c>
      <c r="D193">
        <v>23</v>
      </c>
      <c r="E193" s="1" t="s">
        <v>96</v>
      </c>
      <c r="F193">
        <v>56</v>
      </c>
      <c r="G193">
        <v>56</v>
      </c>
      <c r="H193">
        <v>34.700000000000003</v>
      </c>
      <c r="I193">
        <v>8.5</v>
      </c>
      <c r="J193">
        <v>18.8</v>
      </c>
      <c r="K193">
        <v>0.45300000000000001</v>
      </c>
      <c r="L193">
        <v>1.6</v>
      </c>
      <c r="M193">
        <v>5.3</v>
      </c>
      <c r="N193">
        <v>0.3</v>
      </c>
      <c r="O193">
        <v>6.9</v>
      </c>
      <c r="P193">
        <v>13.5</v>
      </c>
      <c r="Q193">
        <v>0.51400000000000001</v>
      </c>
      <c r="R193">
        <v>0.496</v>
      </c>
      <c r="S193">
        <v>5.9</v>
      </c>
      <c r="T193">
        <v>7.2</v>
      </c>
      <c r="U193">
        <v>0.81</v>
      </c>
      <c r="V193">
        <v>0.7</v>
      </c>
      <c r="W193">
        <v>4.3</v>
      </c>
      <c r="X193">
        <v>5</v>
      </c>
      <c r="Y193">
        <v>5.9</v>
      </c>
      <c r="Z193">
        <v>1.3</v>
      </c>
      <c r="AA193">
        <v>0.8</v>
      </c>
      <c r="AB193">
        <v>2.8</v>
      </c>
      <c r="AC193">
        <v>2.5</v>
      </c>
      <c r="AD193">
        <v>24.5</v>
      </c>
      <c r="AE193" t="str">
        <f>IF(OR(_nba2122[[#This Row],[G]]&gt;=58,nba2122_advanced[[#This Row],[MP]]&gt;=1000),"Y","N")</f>
        <v>Y</v>
      </c>
      <c r="AF19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8.0048602924374208</v>
      </c>
    </row>
    <row r="194" spans="1:32" x14ac:dyDescent="0.35">
      <c r="A194">
        <v>193</v>
      </c>
      <c r="B194" s="1" t="s">
        <v>260</v>
      </c>
      <c r="C194" s="1" t="s">
        <v>28</v>
      </c>
      <c r="D194">
        <v>29</v>
      </c>
      <c r="E194" s="1" t="s">
        <v>65</v>
      </c>
      <c r="F194">
        <v>44</v>
      </c>
      <c r="G194">
        <v>0</v>
      </c>
      <c r="H194">
        <v>10.5</v>
      </c>
      <c r="I194">
        <v>1.4</v>
      </c>
      <c r="J194">
        <v>2.5</v>
      </c>
      <c r="K194">
        <v>0.56899999999999995</v>
      </c>
      <c r="L194">
        <v>0.3</v>
      </c>
      <c r="M194">
        <v>0.6</v>
      </c>
      <c r="N194">
        <v>0.53800000000000003</v>
      </c>
      <c r="O194">
        <v>1.1000000000000001</v>
      </c>
      <c r="P194">
        <v>1.9</v>
      </c>
      <c r="Q194">
        <v>0.57799999999999996</v>
      </c>
      <c r="R194">
        <v>0.63300000000000001</v>
      </c>
      <c r="S194">
        <v>1</v>
      </c>
      <c r="T194">
        <v>1.2</v>
      </c>
      <c r="U194">
        <v>0.80800000000000005</v>
      </c>
      <c r="V194">
        <v>0.8</v>
      </c>
      <c r="W194">
        <v>1.2</v>
      </c>
      <c r="X194">
        <v>1.9</v>
      </c>
      <c r="Y194">
        <v>0.6</v>
      </c>
      <c r="Z194">
        <v>0.1</v>
      </c>
      <c r="AA194">
        <v>0.3</v>
      </c>
      <c r="AB194">
        <v>0.4</v>
      </c>
      <c r="AC194">
        <v>1.3</v>
      </c>
      <c r="AD194">
        <v>4.0999999999999996</v>
      </c>
      <c r="AE194" t="str">
        <f>IF(OR(_nba2122[[#This Row],[G]]&gt;=58,nba2122_advanced[[#This Row],[MP]]&gt;=1000),"Y","N")</f>
        <v>N</v>
      </c>
      <c r="AF19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8.3631168412978472</v>
      </c>
    </row>
    <row r="195" spans="1:32" x14ac:dyDescent="0.35">
      <c r="A195">
        <v>194</v>
      </c>
      <c r="B195" s="1" t="s">
        <v>261</v>
      </c>
      <c r="C195" s="1" t="s">
        <v>28</v>
      </c>
      <c r="D195">
        <v>24</v>
      </c>
      <c r="E195" s="1" t="s">
        <v>58</v>
      </c>
      <c r="F195">
        <v>9</v>
      </c>
      <c r="G195">
        <v>2</v>
      </c>
      <c r="H195">
        <v>13.2</v>
      </c>
      <c r="I195">
        <v>1</v>
      </c>
      <c r="J195">
        <v>2.4</v>
      </c>
      <c r="K195">
        <v>0.40899999999999997</v>
      </c>
      <c r="L195">
        <v>0</v>
      </c>
      <c r="M195">
        <v>0.1</v>
      </c>
      <c r="N195">
        <v>0</v>
      </c>
      <c r="O195">
        <v>1</v>
      </c>
      <c r="P195">
        <v>2.2999999999999998</v>
      </c>
      <c r="Q195">
        <v>0.42899999999999999</v>
      </c>
      <c r="R195">
        <v>0.40899999999999997</v>
      </c>
      <c r="S195">
        <v>0.3</v>
      </c>
      <c r="T195">
        <v>0.8</v>
      </c>
      <c r="U195">
        <v>0.42899999999999999</v>
      </c>
      <c r="V195">
        <v>1.4</v>
      </c>
      <c r="W195">
        <v>2.6</v>
      </c>
      <c r="X195">
        <v>4</v>
      </c>
      <c r="Y195">
        <v>0.6</v>
      </c>
      <c r="Z195">
        <v>0.3</v>
      </c>
      <c r="AA195">
        <v>1</v>
      </c>
      <c r="AB195">
        <v>0.6</v>
      </c>
      <c r="AC195">
        <v>2</v>
      </c>
      <c r="AD195">
        <v>2.2999999999999998</v>
      </c>
      <c r="AE195" t="str">
        <f>IF(OR(_nba2122[[#This Row],[G]]&gt;=58,nba2122_advanced[[#This Row],[MP]]&gt;=1000),"Y","N")</f>
        <v>N</v>
      </c>
      <c r="AF19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12.586929051237991</v>
      </c>
    </row>
    <row r="196" spans="1:32" x14ac:dyDescent="0.35">
      <c r="A196">
        <v>195</v>
      </c>
      <c r="B196" s="1" t="s">
        <v>262</v>
      </c>
      <c r="C196" s="1" t="s">
        <v>31</v>
      </c>
      <c r="D196">
        <v>29</v>
      </c>
      <c r="E196" s="1" t="s">
        <v>70</v>
      </c>
      <c r="F196">
        <v>66</v>
      </c>
      <c r="G196">
        <v>66</v>
      </c>
      <c r="H196">
        <v>32.1</v>
      </c>
      <c r="I196">
        <v>5.5</v>
      </c>
      <c r="J196">
        <v>7.7</v>
      </c>
      <c r="K196">
        <v>0.71299999999999997</v>
      </c>
      <c r="L196">
        <v>0</v>
      </c>
      <c r="M196">
        <v>0.1</v>
      </c>
      <c r="N196">
        <v>0</v>
      </c>
      <c r="O196">
        <v>5.5</v>
      </c>
      <c r="P196">
        <v>7.6</v>
      </c>
      <c r="Q196">
        <v>0.71799999999999997</v>
      </c>
      <c r="R196">
        <v>0.71299999999999997</v>
      </c>
      <c r="S196">
        <v>4.5999999999999996</v>
      </c>
      <c r="T196">
        <v>6.7</v>
      </c>
      <c r="U196">
        <v>0.69</v>
      </c>
      <c r="V196">
        <v>3.7</v>
      </c>
      <c r="W196">
        <v>11</v>
      </c>
      <c r="X196">
        <v>14.7</v>
      </c>
      <c r="Y196">
        <v>1.1000000000000001</v>
      </c>
      <c r="Z196">
        <v>0.7</v>
      </c>
      <c r="AA196">
        <v>2.1</v>
      </c>
      <c r="AB196">
        <v>1.8</v>
      </c>
      <c r="AC196">
        <v>2.7</v>
      </c>
      <c r="AD196">
        <v>15.6</v>
      </c>
      <c r="AE196" t="str">
        <f>IF(OR(_nba2122[[#This Row],[G]]&gt;=58,nba2122_advanced[[#This Row],[MP]]&gt;=1000),"Y","N")</f>
        <v>Y</v>
      </c>
      <c r="AF19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17.885754989144306</v>
      </c>
    </row>
    <row r="197" spans="1:32" x14ac:dyDescent="0.35">
      <c r="A197">
        <v>196</v>
      </c>
      <c r="B197" s="1" t="s">
        <v>263</v>
      </c>
      <c r="C197" s="1" t="s">
        <v>48</v>
      </c>
      <c r="D197">
        <v>26</v>
      </c>
      <c r="E197" s="1" t="s">
        <v>46</v>
      </c>
      <c r="F197">
        <v>36</v>
      </c>
      <c r="G197">
        <v>5</v>
      </c>
      <c r="H197">
        <v>13.9</v>
      </c>
      <c r="I197">
        <v>1.8</v>
      </c>
      <c r="J197">
        <v>4.3</v>
      </c>
      <c r="K197">
        <v>0.41599999999999998</v>
      </c>
      <c r="L197">
        <v>0.5</v>
      </c>
      <c r="M197">
        <v>1.5</v>
      </c>
      <c r="N197">
        <v>0.34499999999999997</v>
      </c>
      <c r="O197">
        <v>1.3</v>
      </c>
      <c r="P197">
        <v>2.8</v>
      </c>
      <c r="Q197">
        <v>0.45500000000000002</v>
      </c>
      <c r="R197">
        <v>0.47699999999999998</v>
      </c>
      <c r="S197">
        <v>0.7</v>
      </c>
      <c r="T197">
        <v>1.1000000000000001</v>
      </c>
      <c r="U197">
        <v>0.63200000000000001</v>
      </c>
      <c r="V197">
        <v>0.4</v>
      </c>
      <c r="W197">
        <v>1.5</v>
      </c>
      <c r="X197">
        <v>1.9</v>
      </c>
      <c r="Y197">
        <v>2.5</v>
      </c>
      <c r="Z197">
        <v>0.7</v>
      </c>
      <c r="AA197">
        <v>0</v>
      </c>
      <c r="AB197">
        <v>1</v>
      </c>
      <c r="AC197">
        <v>1.1000000000000001</v>
      </c>
      <c r="AD197">
        <v>4.8</v>
      </c>
      <c r="AE197" t="str">
        <f>IF(OR(_nba2122[[#This Row],[G]]&gt;=58,nba2122_advanced[[#This Row],[MP]]&gt;=1000),"Y","N")</f>
        <v>N</v>
      </c>
      <c r="AF19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7.0944233703028088</v>
      </c>
    </row>
    <row r="198" spans="1:32" x14ac:dyDescent="0.35">
      <c r="A198">
        <v>197</v>
      </c>
      <c r="B198" s="1" t="s">
        <v>264</v>
      </c>
      <c r="C198" s="1" t="s">
        <v>41</v>
      </c>
      <c r="D198">
        <v>23</v>
      </c>
      <c r="E198" s="1" t="s">
        <v>65</v>
      </c>
      <c r="F198">
        <v>2</v>
      </c>
      <c r="G198">
        <v>0</v>
      </c>
      <c r="H198">
        <v>3</v>
      </c>
      <c r="I198">
        <v>0</v>
      </c>
      <c r="J198">
        <v>1.5</v>
      </c>
      <c r="K198">
        <v>0</v>
      </c>
      <c r="L198">
        <v>0</v>
      </c>
      <c r="M198">
        <v>0.5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V198">
        <v>0</v>
      </c>
      <c r="W198">
        <v>0.5</v>
      </c>
      <c r="X198">
        <v>0.5</v>
      </c>
      <c r="Y198">
        <v>0</v>
      </c>
      <c r="Z198">
        <v>0</v>
      </c>
      <c r="AA198">
        <v>0</v>
      </c>
      <c r="AB198">
        <v>0</v>
      </c>
      <c r="AC198">
        <v>0.5</v>
      </c>
      <c r="AD198">
        <v>0</v>
      </c>
      <c r="AE198" t="str">
        <f>IF(OR(_nba2122[[#This Row],[G]]&gt;=58,nba2122_advanced[[#This Row],[MP]]&gt;=1000),"Y","N")</f>
        <v>N</v>
      </c>
      <c r="AF19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18.357752790935429</v>
      </c>
    </row>
    <row r="199" spans="1:32" x14ac:dyDescent="0.35">
      <c r="A199">
        <v>198</v>
      </c>
      <c r="B199" s="1" t="s">
        <v>265</v>
      </c>
      <c r="C199" s="1" t="s">
        <v>28</v>
      </c>
      <c r="D199">
        <v>26</v>
      </c>
      <c r="E199" s="1" t="s">
        <v>86</v>
      </c>
      <c r="F199">
        <v>75</v>
      </c>
      <c r="G199">
        <v>75</v>
      </c>
      <c r="H199">
        <v>31.7</v>
      </c>
      <c r="I199">
        <v>5.8</v>
      </c>
      <c r="J199">
        <v>11.1</v>
      </c>
      <c r="K199">
        <v>0.52</v>
      </c>
      <c r="L199">
        <v>1.2</v>
      </c>
      <c r="M199">
        <v>3.5</v>
      </c>
      <c r="N199">
        <v>0.33500000000000002</v>
      </c>
      <c r="O199">
        <v>4.5999999999999996</v>
      </c>
      <c r="P199">
        <v>7.7</v>
      </c>
      <c r="Q199">
        <v>0.60499999999999998</v>
      </c>
      <c r="R199">
        <v>0.57299999999999995</v>
      </c>
      <c r="S199">
        <v>2.2999999999999998</v>
      </c>
      <c r="T199">
        <v>3.1</v>
      </c>
      <c r="U199">
        <v>0.74299999999999999</v>
      </c>
      <c r="V199">
        <v>1.7</v>
      </c>
      <c r="W199">
        <v>4.2</v>
      </c>
      <c r="X199">
        <v>5.9</v>
      </c>
      <c r="Y199">
        <v>2.5</v>
      </c>
      <c r="Z199">
        <v>0.6</v>
      </c>
      <c r="AA199">
        <v>0.6</v>
      </c>
      <c r="AB199">
        <v>1.8</v>
      </c>
      <c r="AC199">
        <v>2</v>
      </c>
      <c r="AD199">
        <v>15</v>
      </c>
      <c r="AE199" t="str">
        <f>IF(OR(_nba2122[[#This Row],[G]]&gt;=58,nba2122_advanced[[#This Row],[MP]]&gt;=1000),"Y","N")</f>
        <v>Y</v>
      </c>
      <c r="AF19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2.6999344472993294</v>
      </c>
    </row>
    <row r="200" spans="1:32" x14ac:dyDescent="0.35">
      <c r="A200">
        <v>199</v>
      </c>
      <c r="B200" s="1" t="s">
        <v>266</v>
      </c>
      <c r="C200" s="1" t="s">
        <v>41</v>
      </c>
      <c r="D200">
        <v>33</v>
      </c>
      <c r="E200" s="1" t="s">
        <v>170</v>
      </c>
      <c r="F200">
        <v>57</v>
      </c>
      <c r="G200">
        <v>46</v>
      </c>
      <c r="H200">
        <v>29.3</v>
      </c>
      <c r="I200">
        <v>4.7</v>
      </c>
      <c r="J200">
        <v>9.9</v>
      </c>
      <c r="K200">
        <v>0.47499999999999998</v>
      </c>
      <c r="L200">
        <v>2.2000000000000002</v>
      </c>
      <c r="M200">
        <v>5.3</v>
      </c>
      <c r="N200">
        <v>0.41199999999999998</v>
      </c>
      <c r="O200">
        <v>2.5</v>
      </c>
      <c r="P200">
        <v>4.5999999999999996</v>
      </c>
      <c r="Q200">
        <v>0.54800000000000004</v>
      </c>
      <c r="R200">
        <v>0.58499999999999996</v>
      </c>
      <c r="S200">
        <v>1.8</v>
      </c>
      <c r="T200">
        <v>2.4</v>
      </c>
      <c r="U200">
        <v>0.77800000000000002</v>
      </c>
      <c r="V200">
        <v>0.3</v>
      </c>
      <c r="W200">
        <v>1.7</v>
      </c>
      <c r="X200">
        <v>2</v>
      </c>
      <c r="Y200">
        <v>2.7</v>
      </c>
      <c r="Z200">
        <v>0.5</v>
      </c>
      <c r="AA200">
        <v>0.3</v>
      </c>
      <c r="AB200">
        <v>1.9</v>
      </c>
      <c r="AC200">
        <v>1.1000000000000001</v>
      </c>
      <c r="AD200">
        <v>13.4</v>
      </c>
      <c r="AE200" t="str">
        <f>IF(OR(_nba2122[[#This Row],[G]]&gt;=58,nba2122_advanced[[#This Row],[MP]]&gt;=1000),"Y","N")</f>
        <v>Y</v>
      </c>
      <c r="AF20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5.0408765906950732</v>
      </c>
    </row>
    <row r="201" spans="1:32" x14ac:dyDescent="0.35">
      <c r="A201">
        <v>200</v>
      </c>
      <c r="B201" s="1" t="s">
        <v>267</v>
      </c>
      <c r="C201" s="1" t="s">
        <v>48</v>
      </c>
      <c r="D201">
        <v>26</v>
      </c>
      <c r="E201" s="1" t="s">
        <v>49</v>
      </c>
      <c r="F201">
        <v>76</v>
      </c>
      <c r="G201">
        <v>63</v>
      </c>
      <c r="H201">
        <v>28.4</v>
      </c>
      <c r="I201">
        <v>3.9</v>
      </c>
      <c r="J201">
        <v>10.7</v>
      </c>
      <c r="K201">
        <v>0.36299999999999999</v>
      </c>
      <c r="L201">
        <v>2.5</v>
      </c>
      <c r="M201">
        <v>7.4</v>
      </c>
      <c r="N201">
        <v>0.34100000000000003</v>
      </c>
      <c r="O201">
        <v>1.4</v>
      </c>
      <c r="P201">
        <v>3.3</v>
      </c>
      <c r="Q201">
        <v>0.41299999999999998</v>
      </c>
      <c r="R201">
        <v>0.48099999999999998</v>
      </c>
      <c r="S201">
        <v>1.6</v>
      </c>
      <c r="T201">
        <v>1.8</v>
      </c>
      <c r="U201">
        <v>0.84299999999999997</v>
      </c>
      <c r="V201">
        <v>0.5</v>
      </c>
      <c r="W201">
        <v>1.8</v>
      </c>
      <c r="X201">
        <v>2.2999999999999998</v>
      </c>
      <c r="Y201">
        <v>4.2</v>
      </c>
      <c r="Z201">
        <v>0.9</v>
      </c>
      <c r="AA201">
        <v>0.2</v>
      </c>
      <c r="AB201">
        <v>1.4</v>
      </c>
      <c r="AC201">
        <v>1.3</v>
      </c>
      <c r="AD201">
        <v>11.9</v>
      </c>
      <c r="AE201" t="str">
        <f>IF(OR(_nba2122[[#This Row],[G]]&gt;=58,nba2122_advanced[[#This Row],[MP]]&gt;=1000),"Y","N")</f>
        <v>Y</v>
      </c>
      <c r="AF20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5.5864179335731885</v>
      </c>
    </row>
    <row r="202" spans="1:32" x14ac:dyDescent="0.35">
      <c r="A202">
        <v>201</v>
      </c>
      <c r="B202" s="1" t="s">
        <v>268</v>
      </c>
      <c r="C202" s="1" t="s">
        <v>28</v>
      </c>
      <c r="D202">
        <v>27</v>
      </c>
      <c r="E202" s="1" t="s">
        <v>105</v>
      </c>
      <c r="F202">
        <v>47</v>
      </c>
      <c r="G202">
        <v>47</v>
      </c>
      <c r="H202">
        <v>31.9</v>
      </c>
      <c r="I202">
        <v>6.3</v>
      </c>
      <c r="J202">
        <v>14.9</v>
      </c>
      <c r="K202">
        <v>0.42599999999999999</v>
      </c>
      <c r="L202">
        <v>1.9</v>
      </c>
      <c r="M202">
        <v>5.4</v>
      </c>
      <c r="N202">
        <v>0.35799999999999998</v>
      </c>
      <c r="O202">
        <v>4.4000000000000004</v>
      </c>
      <c r="P202">
        <v>9.5</v>
      </c>
      <c r="Q202">
        <v>0.46500000000000002</v>
      </c>
      <c r="R202">
        <v>0.49099999999999999</v>
      </c>
      <c r="S202">
        <v>4.5999999999999996</v>
      </c>
      <c r="T202">
        <v>5.5</v>
      </c>
      <c r="U202">
        <v>0.83799999999999997</v>
      </c>
      <c r="V202">
        <v>0.6</v>
      </c>
      <c r="W202">
        <v>3.5</v>
      </c>
      <c r="X202">
        <v>4.0999999999999996</v>
      </c>
      <c r="Y202">
        <v>2.4</v>
      </c>
      <c r="Z202">
        <v>0.9</v>
      </c>
      <c r="AA202">
        <v>1</v>
      </c>
      <c r="AB202">
        <v>1.8</v>
      </c>
      <c r="AC202">
        <v>2.2999999999999998</v>
      </c>
      <c r="AD202">
        <v>19.2</v>
      </c>
      <c r="AE202" t="str">
        <f>IF(OR(_nba2122[[#This Row],[G]]&gt;=58,nba2122_advanced[[#This Row],[MP]]&gt;=1000),"Y","N")</f>
        <v>Y</v>
      </c>
      <c r="AF20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4.7337784815526813</v>
      </c>
    </row>
    <row r="203" spans="1:32" x14ac:dyDescent="0.35">
      <c r="A203">
        <v>202</v>
      </c>
      <c r="B203" s="1" t="s">
        <v>269</v>
      </c>
      <c r="C203" s="1" t="s">
        <v>48</v>
      </c>
      <c r="D203">
        <v>25</v>
      </c>
      <c r="E203" s="1" t="s">
        <v>58</v>
      </c>
      <c r="F203">
        <v>8</v>
      </c>
      <c r="G203">
        <v>3</v>
      </c>
      <c r="H203">
        <v>21.4</v>
      </c>
      <c r="I203">
        <v>2.2999999999999998</v>
      </c>
      <c r="J203">
        <v>4.8</v>
      </c>
      <c r="K203">
        <v>0.47399999999999998</v>
      </c>
      <c r="L203">
        <v>1.4</v>
      </c>
      <c r="M203">
        <v>3.3</v>
      </c>
      <c r="N203">
        <v>0.42299999999999999</v>
      </c>
      <c r="O203">
        <v>0.9</v>
      </c>
      <c r="P203">
        <v>1.5</v>
      </c>
      <c r="Q203">
        <v>0.58299999999999996</v>
      </c>
      <c r="R203">
        <v>0.61799999999999999</v>
      </c>
      <c r="S203">
        <v>0.4</v>
      </c>
      <c r="T203">
        <v>0.5</v>
      </c>
      <c r="U203">
        <v>0.75</v>
      </c>
      <c r="V203">
        <v>0.1</v>
      </c>
      <c r="W203">
        <v>2.5</v>
      </c>
      <c r="X203">
        <v>2.6</v>
      </c>
      <c r="Y203">
        <v>2.5</v>
      </c>
      <c r="Z203">
        <v>0.6</v>
      </c>
      <c r="AA203">
        <v>0.1</v>
      </c>
      <c r="AB203">
        <v>1.1000000000000001</v>
      </c>
      <c r="AC203">
        <v>1.6</v>
      </c>
      <c r="AD203">
        <v>6.3</v>
      </c>
      <c r="AE203" t="str">
        <f>IF(OR(_nba2122[[#This Row],[G]]&gt;=58,nba2122_advanced[[#This Row],[MP]]&gt;=1000),"Y","N")</f>
        <v>N</v>
      </c>
      <c r="AF20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6.8505822911055141</v>
      </c>
    </row>
    <row r="204" spans="1:32" x14ac:dyDescent="0.35">
      <c r="A204">
        <v>203</v>
      </c>
      <c r="B204" s="1" t="s">
        <v>270</v>
      </c>
      <c r="C204" s="1" t="s">
        <v>51</v>
      </c>
      <c r="D204">
        <v>34</v>
      </c>
      <c r="E204" s="1" t="s">
        <v>89</v>
      </c>
      <c r="F204">
        <v>62</v>
      </c>
      <c r="G204">
        <v>28</v>
      </c>
      <c r="H204">
        <v>21.8</v>
      </c>
      <c r="I204">
        <v>2</v>
      </c>
      <c r="J204">
        <v>5.2</v>
      </c>
      <c r="K204">
        <v>0.39400000000000002</v>
      </c>
      <c r="L204">
        <v>1.7</v>
      </c>
      <c r="M204">
        <v>4.4000000000000004</v>
      </c>
      <c r="N204">
        <v>0.38</v>
      </c>
      <c r="O204">
        <v>0.4</v>
      </c>
      <c r="P204">
        <v>0.8</v>
      </c>
      <c r="Q204">
        <v>0.46899999999999997</v>
      </c>
      <c r="R204">
        <v>0.55500000000000005</v>
      </c>
      <c r="S204">
        <v>0.2</v>
      </c>
      <c r="T204">
        <v>0.2</v>
      </c>
      <c r="U204">
        <v>0.78600000000000003</v>
      </c>
      <c r="V204">
        <v>0.5</v>
      </c>
      <c r="W204">
        <v>2</v>
      </c>
      <c r="X204">
        <v>2.5</v>
      </c>
      <c r="Y204">
        <v>1</v>
      </c>
      <c r="Z204">
        <v>1</v>
      </c>
      <c r="AA204">
        <v>0.6</v>
      </c>
      <c r="AB204">
        <v>0.7</v>
      </c>
      <c r="AC204">
        <v>1.7</v>
      </c>
      <c r="AD204">
        <v>5.9</v>
      </c>
      <c r="AE204" t="str">
        <f>IF(OR(_nba2122[[#This Row],[G]]&gt;=58,nba2122_advanced[[#This Row],[MP]]&gt;=1000),"Y","N")</f>
        <v>Y</v>
      </c>
      <c r="AF20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7.4345317325369082</v>
      </c>
    </row>
    <row r="205" spans="1:32" x14ac:dyDescent="0.35">
      <c r="A205">
        <v>204</v>
      </c>
      <c r="B205" s="1" t="s">
        <v>271</v>
      </c>
      <c r="C205" s="1" t="s">
        <v>28</v>
      </c>
      <c r="D205">
        <v>31</v>
      </c>
      <c r="E205" s="1" t="s">
        <v>111</v>
      </c>
      <c r="F205">
        <v>46</v>
      </c>
      <c r="G205">
        <v>44</v>
      </c>
      <c r="H205">
        <v>28.9</v>
      </c>
      <c r="I205">
        <v>2.9</v>
      </c>
      <c r="J205">
        <v>5.6</v>
      </c>
      <c r="K205">
        <v>0.52500000000000002</v>
      </c>
      <c r="L205">
        <v>0.3</v>
      </c>
      <c r="M205">
        <v>1.2</v>
      </c>
      <c r="N205">
        <v>0.29599999999999999</v>
      </c>
      <c r="O205">
        <v>2.6</v>
      </c>
      <c r="P205">
        <v>4.4000000000000004</v>
      </c>
      <c r="Q205">
        <v>0.58599999999999997</v>
      </c>
      <c r="R205">
        <v>0.55600000000000005</v>
      </c>
      <c r="S205">
        <v>1.3</v>
      </c>
      <c r="T205">
        <v>2</v>
      </c>
      <c r="U205">
        <v>0.65900000000000003</v>
      </c>
      <c r="V205">
        <v>1</v>
      </c>
      <c r="W205">
        <v>6.3</v>
      </c>
      <c r="X205">
        <v>7.3</v>
      </c>
      <c r="Y205">
        <v>7</v>
      </c>
      <c r="Z205">
        <v>1.3</v>
      </c>
      <c r="AA205">
        <v>1.1000000000000001</v>
      </c>
      <c r="AB205">
        <v>3</v>
      </c>
      <c r="AC205">
        <v>3</v>
      </c>
      <c r="AD205">
        <v>7.5</v>
      </c>
      <c r="AE205" t="str">
        <f>IF(OR(_nba2122[[#This Row],[G]]&gt;=58,nba2122_advanced[[#This Row],[MP]]&gt;=1000),"Y","N")</f>
        <v>Y</v>
      </c>
      <c r="AF20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11.955709416914145</v>
      </c>
    </row>
    <row r="206" spans="1:32" x14ac:dyDescent="0.35">
      <c r="A206">
        <v>205</v>
      </c>
      <c r="B206" s="1" t="s">
        <v>272</v>
      </c>
      <c r="C206" s="1" t="s">
        <v>41</v>
      </c>
      <c r="D206">
        <v>19</v>
      </c>
      <c r="E206" s="1" t="s">
        <v>170</v>
      </c>
      <c r="F206">
        <v>67</v>
      </c>
      <c r="G206">
        <v>67</v>
      </c>
      <c r="H206">
        <v>31.9</v>
      </c>
      <c r="I206">
        <v>6.1</v>
      </c>
      <c r="J206">
        <v>14.2</v>
      </c>
      <c r="K206">
        <v>0.42599999999999999</v>
      </c>
      <c r="L206">
        <v>2.2999999999999998</v>
      </c>
      <c r="M206">
        <v>6.8</v>
      </c>
      <c r="N206">
        <v>0.34300000000000003</v>
      </c>
      <c r="O206">
        <v>3.7</v>
      </c>
      <c r="P206">
        <v>7.4</v>
      </c>
      <c r="Q206">
        <v>0.502</v>
      </c>
      <c r="R206">
        <v>0.50800000000000001</v>
      </c>
      <c r="S206">
        <v>2.8</v>
      </c>
      <c r="T206">
        <v>3.5</v>
      </c>
      <c r="U206">
        <v>0.79700000000000004</v>
      </c>
      <c r="V206">
        <v>0.5</v>
      </c>
      <c r="W206">
        <v>2.9</v>
      </c>
      <c r="X206">
        <v>3.4</v>
      </c>
      <c r="Y206">
        <v>2.6</v>
      </c>
      <c r="Z206">
        <v>0.7</v>
      </c>
      <c r="AA206">
        <v>0.3</v>
      </c>
      <c r="AB206">
        <v>2</v>
      </c>
      <c r="AC206">
        <v>1.5</v>
      </c>
      <c r="AD206">
        <v>17.3</v>
      </c>
      <c r="AE206" t="str">
        <f>IF(OR(_nba2122[[#This Row],[G]]&gt;=58,nba2122_advanced[[#This Row],[MP]]&gt;=1000),"Y","N")</f>
        <v>Y</v>
      </c>
      <c r="AF20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4.207069180129035</v>
      </c>
    </row>
    <row r="207" spans="1:32" x14ac:dyDescent="0.35">
      <c r="A207">
        <v>206</v>
      </c>
      <c r="B207" s="1" t="s">
        <v>273</v>
      </c>
      <c r="C207" s="1" t="s">
        <v>28</v>
      </c>
      <c r="D207">
        <v>31</v>
      </c>
      <c r="E207" s="1" t="s">
        <v>86</v>
      </c>
      <c r="F207">
        <v>67</v>
      </c>
      <c r="G207">
        <v>8</v>
      </c>
      <c r="H207">
        <v>16.2</v>
      </c>
      <c r="I207">
        <v>2.4</v>
      </c>
      <c r="J207">
        <v>4.9000000000000004</v>
      </c>
      <c r="K207">
        <v>0.48599999999999999</v>
      </c>
      <c r="L207">
        <v>0.5</v>
      </c>
      <c r="M207">
        <v>1.9</v>
      </c>
      <c r="N207">
        <v>0.26600000000000001</v>
      </c>
      <c r="O207">
        <v>1.9</v>
      </c>
      <c r="P207">
        <v>3</v>
      </c>
      <c r="Q207">
        <v>0.621</v>
      </c>
      <c r="R207">
        <v>0.53700000000000003</v>
      </c>
      <c r="S207">
        <v>1.2</v>
      </c>
      <c r="T207">
        <v>1.4</v>
      </c>
      <c r="U207">
        <v>0.871</v>
      </c>
      <c r="V207">
        <v>1.2</v>
      </c>
      <c r="W207">
        <v>3</v>
      </c>
      <c r="X207">
        <v>4.2</v>
      </c>
      <c r="Y207">
        <v>0.9</v>
      </c>
      <c r="Z207">
        <v>0.6</v>
      </c>
      <c r="AA207">
        <v>0.4</v>
      </c>
      <c r="AB207">
        <v>0.9</v>
      </c>
      <c r="AC207">
        <v>2.4</v>
      </c>
      <c r="AD207">
        <v>6.4</v>
      </c>
      <c r="AE207" t="str">
        <f>IF(OR(_nba2122[[#This Row],[G]]&gt;=58,nba2122_advanced[[#This Row],[MP]]&gt;=1000),"Y","N")</f>
        <v>Y</v>
      </c>
      <c r="AF20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4.776235482170704</v>
      </c>
    </row>
    <row r="208" spans="1:32" x14ac:dyDescent="0.35">
      <c r="A208">
        <v>207</v>
      </c>
      <c r="B208" s="1" t="s">
        <v>274</v>
      </c>
      <c r="C208" s="1" t="s">
        <v>51</v>
      </c>
      <c r="D208">
        <v>28</v>
      </c>
      <c r="E208" s="1" t="s">
        <v>75</v>
      </c>
      <c r="F208">
        <v>65</v>
      </c>
      <c r="G208">
        <v>45</v>
      </c>
      <c r="H208">
        <v>23.4</v>
      </c>
      <c r="I208">
        <v>2.7</v>
      </c>
      <c r="J208">
        <v>5</v>
      </c>
      <c r="K208">
        <v>0.54200000000000004</v>
      </c>
      <c r="L208">
        <v>0.6</v>
      </c>
      <c r="M208">
        <v>1.6</v>
      </c>
      <c r="N208">
        <v>0.35599999999999998</v>
      </c>
      <c r="O208">
        <v>2.2000000000000002</v>
      </c>
      <c r="P208">
        <v>3.4</v>
      </c>
      <c r="Q208">
        <v>0.625</v>
      </c>
      <c r="R208">
        <v>0.59699999999999998</v>
      </c>
      <c r="S208">
        <v>1.2</v>
      </c>
      <c r="T208">
        <v>1.5</v>
      </c>
      <c r="U208">
        <v>0.83299999999999996</v>
      </c>
      <c r="V208">
        <v>1.4</v>
      </c>
      <c r="W208">
        <v>2.8</v>
      </c>
      <c r="X208">
        <v>4.2</v>
      </c>
      <c r="Y208">
        <v>0.9</v>
      </c>
      <c r="Z208">
        <v>1</v>
      </c>
      <c r="AA208">
        <v>0.5</v>
      </c>
      <c r="AB208">
        <v>0.5</v>
      </c>
      <c r="AC208">
        <v>2</v>
      </c>
      <c r="AD208">
        <v>7.2</v>
      </c>
      <c r="AE208" t="str">
        <f>IF(OR(_nba2122[[#This Row],[G]]&gt;=58,nba2122_advanced[[#This Row],[MP]]&gt;=1000),"Y","N")</f>
        <v>Y</v>
      </c>
      <c r="AF20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4.8482850684783783</v>
      </c>
    </row>
    <row r="209" spans="1:32" x14ac:dyDescent="0.35">
      <c r="A209">
        <v>208</v>
      </c>
      <c r="B209" s="1" t="s">
        <v>275</v>
      </c>
      <c r="C209" s="1" t="s">
        <v>31</v>
      </c>
      <c r="D209">
        <v>35</v>
      </c>
      <c r="E209" s="1" t="s">
        <v>86</v>
      </c>
      <c r="F209">
        <v>75</v>
      </c>
      <c r="G209">
        <v>63</v>
      </c>
      <c r="H209">
        <v>24.7</v>
      </c>
      <c r="I209">
        <v>3.7</v>
      </c>
      <c r="J209">
        <v>7.1</v>
      </c>
      <c r="K209">
        <v>0.52400000000000002</v>
      </c>
      <c r="L209">
        <v>0.7</v>
      </c>
      <c r="M209">
        <v>2.2000000000000002</v>
      </c>
      <c r="N209">
        <v>0.315</v>
      </c>
      <c r="O209">
        <v>3</v>
      </c>
      <c r="P209">
        <v>4.8</v>
      </c>
      <c r="Q209">
        <v>0.62</v>
      </c>
      <c r="R209">
        <v>0.57399999999999995</v>
      </c>
      <c r="S209">
        <v>2.2000000000000002</v>
      </c>
      <c r="T209">
        <v>2.6</v>
      </c>
      <c r="U209">
        <v>0.83299999999999996</v>
      </c>
      <c r="V209">
        <v>0.5</v>
      </c>
      <c r="W209">
        <v>2.5</v>
      </c>
      <c r="X209">
        <v>3.1</v>
      </c>
      <c r="Y209">
        <v>1.3</v>
      </c>
      <c r="Z209">
        <v>0.4</v>
      </c>
      <c r="AA209">
        <v>0.4</v>
      </c>
      <c r="AB209">
        <v>0.9</v>
      </c>
      <c r="AC209">
        <v>2</v>
      </c>
      <c r="AD209">
        <v>10.3</v>
      </c>
      <c r="AE209" t="str">
        <f>IF(OR(_nba2122[[#This Row],[G]]&gt;=58,nba2122_advanced[[#This Row],[MP]]&gt;=1000),"Y","N")</f>
        <v>Y</v>
      </c>
      <c r="AF20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5.4841357124951848</v>
      </c>
    </row>
    <row r="210" spans="1:32" x14ac:dyDescent="0.35">
      <c r="A210">
        <v>209</v>
      </c>
      <c r="B210" s="1" t="s">
        <v>276</v>
      </c>
      <c r="C210" s="1" t="s">
        <v>41</v>
      </c>
      <c r="D210">
        <v>21</v>
      </c>
      <c r="E210" s="1" t="s">
        <v>143</v>
      </c>
      <c r="F210">
        <v>67</v>
      </c>
      <c r="G210">
        <v>3</v>
      </c>
      <c r="H210">
        <v>15.5</v>
      </c>
      <c r="I210">
        <v>1.9</v>
      </c>
      <c r="J210">
        <v>3.8</v>
      </c>
      <c r="K210">
        <v>0.50800000000000001</v>
      </c>
      <c r="L210">
        <v>0.4</v>
      </c>
      <c r="M210">
        <v>1.2</v>
      </c>
      <c r="N210">
        <v>0.35899999999999999</v>
      </c>
      <c r="O210">
        <v>1.5</v>
      </c>
      <c r="P210">
        <v>2.7</v>
      </c>
      <c r="Q210">
        <v>0.57299999999999995</v>
      </c>
      <c r="R210">
        <v>0.56299999999999994</v>
      </c>
      <c r="S210">
        <v>0.5</v>
      </c>
      <c r="T210">
        <v>0.7</v>
      </c>
      <c r="U210">
        <v>0.68899999999999995</v>
      </c>
      <c r="V210">
        <v>0.8</v>
      </c>
      <c r="W210">
        <v>1.6</v>
      </c>
      <c r="X210">
        <v>2.4</v>
      </c>
      <c r="Y210">
        <v>1.2</v>
      </c>
      <c r="Z210">
        <v>0.7</v>
      </c>
      <c r="AA210">
        <v>0.2</v>
      </c>
      <c r="AB210">
        <v>0.7</v>
      </c>
      <c r="AC210">
        <v>1.7</v>
      </c>
      <c r="AD210">
        <v>4.8</v>
      </c>
      <c r="AE210" t="str">
        <f>IF(OR(_nba2122[[#This Row],[G]]&gt;=58,nba2122_advanced[[#This Row],[MP]]&gt;=1000),"Y","N")</f>
        <v>Y</v>
      </c>
      <c r="AF21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5.7965339928280475</v>
      </c>
    </row>
    <row r="211" spans="1:32" x14ac:dyDescent="0.35">
      <c r="A211">
        <v>210</v>
      </c>
      <c r="B211" s="1" t="s">
        <v>277</v>
      </c>
      <c r="C211" s="1" t="s">
        <v>28</v>
      </c>
      <c r="D211">
        <v>32</v>
      </c>
      <c r="E211" s="1" t="s">
        <v>39</v>
      </c>
      <c r="F211">
        <v>56</v>
      </c>
      <c r="G211">
        <v>24</v>
      </c>
      <c r="H211">
        <v>17.100000000000001</v>
      </c>
      <c r="I211">
        <v>2.4</v>
      </c>
      <c r="J211">
        <v>5.6</v>
      </c>
      <c r="K211">
        <v>0.42499999999999999</v>
      </c>
      <c r="L211">
        <v>0.7</v>
      </c>
      <c r="M211">
        <v>2.6</v>
      </c>
      <c r="N211">
        <v>0.26200000000000001</v>
      </c>
      <c r="O211">
        <v>1.7</v>
      </c>
      <c r="P211">
        <v>3</v>
      </c>
      <c r="Q211">
        <v>0.56499999999999995</v>
      </c>
      <c r="R211">
        <v>0.48599999999999999</v>
      </c>
      <c r="S211">
        <v>1</v>
      </c>
      <c r="T211">
        <v>1.4</v>
      </c>
      <c r="U211">
        <v>0.72399999999999998</v>
      </c>
      <c r="V211">
        <v>1.1000000000000001</v>
      </c>
      <c r="W211">
        <v>3</v>
      </c>
      <c r="X211">
        <v>4.0999999999999996</v>
      </c>
      <c r="Y211">
        <v>1.9</v>
      </c>
      <c r="Z211">
        <v>0.5</v>
      </c>
      <c r="AA211">
        <v>0.3</v>
      </c>
      <c r="AB211">
        <v>0.6</v>
      </c>
      <c r="AC211">
        <v>1.7</v>
      </c>
      <c r="AD211">
        <v>6.4</v>
      </c>
      <c r="AE211" t="str">
        <f>IF(OR(_nba2122[[#This Row],[G]]&gt;=58,nba2122_advanced[[#This Row],[MP]]&gt;=1000),"Y","N")</f>
        <v>N</v>
      </c>
      <c r="AF21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4.5082884687060014</v>
      </c>
    </row>
    <row r="212" spans="1:32" x14ac:dyDescent="0.35">
      <c r="A212">
        <v>211</v>
      </c>
      <c r="B212" s="1" t="s">
        <v>278</v>
      </c>
      <c r="C212" s="1" t="s">
        <v>41</v>
      </c>
      <c r="D212">
        <v>21</v>
      </c>
      <c r="E212" s="1" t="s">
        <v>61</v>
      </c>
      <c r="F212">
        <v>46</v>
      </c>
      <c r="G212">
        <v>6</v>
      </c>
      <c r="H212">
        <v>17.100000000000001</v>
      </c>
      <c r="I212">
        <v>2.1</v>
      </c>
      <c r="J212">
        <v>5.0999999999999996</v>
      </c>
      <c r="K212">
        <v>0.40400000000000003</v>
      </c>
      <c r="L212">
        <v>1.6</v>
      </c>
      <c r="M212">
        <v>4.0999999999999996</v>
      </c>
      <c r="N212">
        <v>0.38100000000000001</v>
      </c>
      <c r="O212">
        <v>0.5</v>
      </c>
      <c r="P212">
        <v>1</v>
      </c>
      <c r="Q212">
        <v>0.5</v>
      </c>
      <c r="R212">
        <v>0.55700000000000005</v>
      </c>
      <c r="S212">
        <v>0.3</v>
      </c>
      <c r="T212">
        <v>0.4</v>
      </c>
      <c r="U212">
        <v>0.68400000000000005</v>
      </c>
      <c r="V212">
        <v>0.5</v>
      </c>
      <c r="W212">
        <v>1.5</v>
      </c>
      <c r="X212">
        <v>2</v>
      </c>
      <c r="Y212">
        <v>1</v>
      </c>
      <c r="Z212">
        <v>0.7</v>
      </c>
      <c r="AA212">
        <v>0.2</v>
      </c>
      <c r="AB212">
        <v>0.6</v>
      </c>
      <c r="AC212">
        <v>1.6</v>
      </c>
      <c r="AD212">
        <v>6</v>
      </c>
      <c r="AE212" t="str">
        <f>IF(OR(_nba2122[[#This Row],[G]]&gt;=58,nba2122_advanced[[#This Row],[MP]]&gt;=1000),"Y","N")</f>
        <v>N</v>
      </c>
      <c r="AF21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7.3309792299318257</v>
      </c>
    </row>
    <row r="213" spans="1:32" x14ac:dyDescent="0.35">
      <c r="A213">
        <v>212</v>
      </c>
      <c r="B213" s="1" t="s">
        <v>279</v>
      </c>
      <c r="C213" s="1" t="s">
        <v>41</v>
      </c>
      <c r="D213">
        <v>24</v>
      </c>
      <c r="E213" s="1" t="s">
        <v>36</v>
      </c>
      <c r="F213">
        <v>19</v>
      </c>
      <c r="G213">
        <v>0</v>
      </c>
      <c r="H213">
        <v>9.8000000000000007</v>
      </c>
      <c r="I213">
        <v>1.4</v>
      </c>
      <c r="J213">
        <v>3.4</v>
      </c>
      <c r="K213">
        <v>0.4</v>
      </c>
      <c r="L213">
        <v>0.7</v>
      </c>
      <c r="M213">
        <v>2.1</v>
      </c>
      <c r="N213">
        <v>0.35</v>
      </c>
      <c r="O213">
        <v>0.6</v>
      </c>
      <c r="P213">
        <v>1.3</v>
      </c>
      <c r="Q213">
        <v>0.48</v>
      </c>
      <c r="R213">
        <v>0.50800000000000001</v>
      </c>
      <c r="S213">
        <v>0.4</v>
      </c>
      <c r="T213">
        <v>0.6</v>
      </c>
      <c r="U213">
        <v>0.66700000000000004</v>
      </c>
      <c r="V213">
        <v>0.2</v>
      </c>
      <c r="W213">
        <v>0.7</v>
      </c>
      <c r="X213">
        <v>0.9</v>
      </c>
      <c r="Y213">
        <v>0.9</v>
      </c>
      <c r="Z213">
        <v>0.4</v>
      </c>
      <c r="AA213">
        <v>0.1</v>
      </c>
      <c r="AB213">
        <v>0.7</v>
      </c>
      <c r="AC213">
        <v>0.6</v>
      </c>
      <c r="AD213">
        <v>3.9</v>
      </c>
      <c r="AE213" t="str">
        <f>IF(OR(_nba2122[[#This Row],[G]]&gt;=58,nba2122_advanced[[#This Row],[MP]]&gt;=1000),"Y","N")</f>
        <v>N</v>
      </c>
      <c r="AF21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8.1279565000313223</v>
      </c>
    </row>
    <row r="214" spans="1:32" x14ac:dyDescent="0.35">
      <c r="A214">
        <v>213</v>
      </c>
      <c r="B214" s="1" t="s">
        <v>280</v>
      </c>
      <c r="C214" s="1" t="s">
        <v>28</v>
      </c>
      <c r="D214">
        <v>23</v>
      </c>
      <c r="E214" s="1" t="s">
        <v>65</v>
      </c>
      <c r="F214">
        <v>42</v>
      </c>
      <c r="G214">
        <v>13</v>
      </c>
      <c r="H214">
        <v>22.5</v>
      </c>
      <c r="I214">
        <v>4.5</v>
      </c>
      <c r="J214">
        <v>9.1</v>
      </c>
      <c r="K214">
        <v>0.49099999999999999</v>
      </c>
      <c r="L214">
        <v>1.3</v>
      </c>
      <c r="M214">
        <v>2.9</v>
      </c>
      <c r="N214">
        <v>0.44700000000000001</v>
      </c>
      <c r="O214">
        <v>3.1</v>
      </c>
      <c r="P214">
        <v>6.1</v>
      </c>
      <c r="Q214">
        <v>0.51200000000000001</v>
      </c>
      <c r="R214">
        <v>0.56299999999999994</v>
      </c>
      <c r="S214">
        <v>1.1000000000000001</v>
      </c>
      <c r="T214">
        <v>1.6</v>
      </c>
      <c r="U214">
        <v>0.69699999999999995</v>
      </c>
      <c r="V214">
        <v>0.6</v>
      </c>
      <c r="W214">
        <v>3.2</v>
      </c>
      <c r="X214">
        <v>3.8</v>
      </c>
      <c r="Y214">
        <v>1.1000000000000001</v>
      </c>
      <c r="Z214">
        <v>0.5</v>
      </c>
      <c r="AA214">
        <v>0.2</v>
      </c>
      <c r="AB214">
        <v>0.8</v>
      </c>
      <c r="AC214">
        <v>1.3</v>
      </c>
      <c r="AD214">
        <v>11.3</v>
      </c>
      <c r="AE214" t="str">
        <f>IF(OR(_nba2122[[#This Row],[G]]&gt;=58,nba2122_advanced[[#This Row],[MP]]&gt;=1000),"Y","N")</f>
        <v>N</v>
      </c>
      <c r="AF21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5.4654002917612603</v>
      </c>
    </row>
    <row r="215" spans="1:32" x14ac:dyDescent="0.35">
      <c r="A215">
        <v>214</v>
      </c>
      <c r="B215" s="2" t="s">
        <v>281</v>
      </c>
      <c r="C215" s="1" t="s">
        <v>41</v>
      </c>
      <c r="D215">
        <v>21</v>
      </c>
      <c r="E215" s="1" t="s">
        <v>42</v>
      </c>
      <c r="F215">
        <v>77</v>
      </c>
      <c r="G215">
        <v>77</v>
      </c>
      <c r="H215">
        <v>35</v>
      </c>
      <c r="I215">
        <v>5.6</v>
      </c>
      <c r="J215">
        <v>11.8</v>
      </c>
      <c r="K215">
        <v>0.47299999999999998</v>
      </c>
      <c r="L215">
        <v>2.1</v>
      </c>
      <c r="M215">
        <v>5.0999999999999996</v>
      </c>
      <c r="N215">
        <v>0.41399999999999998</v>
      </c>
      <c r="O215">
        <v>3.5</v>
      </c>
      <c r="P215">
        <v>6.8</v>
      </c>
      <c r="Q215">
        <v>0.51700000000000002</v>
      </c>
      <c r="R215">
        <v>0.56200000000000006</v>
      </c>
      <c r="S215">
        <v>2.1</v>
      </c>
      <c r="T215">
        <v>2.5</v>
      </c>
      <c r="U215">
        <v>0.84199999999999997</v>
      </c>
      <c r="V215">
        <v>0.8</v>
      </c>
      <c r="W215">
        <v>3.2</v>
      </c>
      <c r="X215">
        <v>4</v>
      </c>
      <c r="Y215">
        <v>8.1999999999999993</v>
      </c>
      <c r="Z215">
        <v>1.7</v>
      </c>
      <c r="AA215">
        <v>0.6</v>
      </c>
      <c r="AB215">
        <v>2.6</v>
      </c>
      <c r="AC215">
        <v>1.6</v>
      </c>
      <c r="AD215">
        <v>15.3</v>
      </c>
      <c r="AE215" t="str">
        <f>IF(OR(_nba2122[[#This Row],[G]]&gt;=58,nba2122_advanced[[#This Row],[MP]]&gt;=1000),"Y","N")</f>
        <v>Y</v>
      </c>
      <c r="AF21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7.8459351480399286</v>
      </c>
    </row>
    <row r="216" spans="1:32" x14ac:dyDescent="0.35">
      <c r="A216">
        <v>215</v>
      </c>
      <c r="B216" s="1" t="s">
        <v>282</v>
      </c>
      <c r="C216" s="1" t="s">
        <v>41</v>
      </c>
      <c r="D216">
        <v>24</v>
      </c>
      <c r="E216" s="1" t="s">
        <v>61</v>
      </c>
      <c r="F216">
        <v>1</v>
      </c>
      <c r="G216">
        <v>0</v>
      </c>
      <c r="H216">
        <v>2</v>
      </c>
      <c r="I216">
        <v>0</v>
      </c>
      <c r="J216">
        <v>0</v>
      </c>
      <c r="L216">
        <v>0</v>
      </c>
      <c r="M216">
        <v>0</v>
      </c>
      <c r="O216">
        <v>0</v>
      </c>
      <c r="P216">
        <v>0</v>
      </c>
      <c r="S216">
        <v>0</v>
      </c>
      <c r="T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 t="str">
        <f>IF(OR(_nba2122[[#This Row],[G]]&gt;=58,nba2122_advanced[[#This Row],[MP]]&gt;=1000),"Y","N")</f>
        <v>N</v>
      </c>
      <c r="AF21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20</v>
      </c>
    </row>
    <row r="217" spans="1:32" x14ac:dyDescent="0.35">
      <c r="A217">
        <v>216</v>
      </c>
      <c r="B217" s="1" t="s">
        <v>283</v>
      </c>
      <c r="C217" s="1" t="s">
        <v>41</v>
      </c>
      <c r="D217">
        <v>20</v>
      </c>
      <c r="E217" s="1" t="s">
        <v>58</v>
      </c>
      <c r="F217">
        <v>64</v>
      </c>
      <c r="G217">
        <v>14</v>
      </c>
      <c r="H217">
        <v>21.9</v>
      </c>
      <c r="I217">
        <v>2.7</v>
      </c>
      <c r="J217">
        <v>7.1</v>
      </c>
      <c r="K217">
        <v>0.38300000000000001</v>
      </c>
      <c r="L217">
        <v>1</v>
      </c>
      <c r="M217">
        <v>2.9</v>
      </c>
      <c r="N217">
        <v>0.35</v>
      </c>
      <c r="O217">
        <v>1.7</v>
      </c>
      <c r="P217">
        <v>4.3</v>
      </c>
      <c r="Q217">
        <v>0.40500000000000003</v>
      </c>
      <c r="R217">
        <v>0.45300000000000001</v>
      </c>
      <c r="S217">
        <v>1.2</v>
      </c>
      <c r="T217">
        <v>1.8</v>
      </c>
      <c r="U217">
        <v>0.64100000000000001</v>
      </c>
      <c r="V217">
        <v>0.4</v>
      </c>
      <c r="W217">
        <v>2.7</v>
      </c>
      <c r="X217">
        <v>3</v>
      </c>
      <c r="Y217">
        <v>2.5</v>
      </c>
      <c r="Z217">
        <v>0.7</v>
      </c>
      <c r="AA217">
        <v>0.2</v>
      </c>
      <c r="AB217">
        <v>1.4</v>
      </c>
      <c r="AC217">
        <v>1.6</v>
      </c>
      <c r="AD217">
        <v>7.6</v>
      </c>
      <c r="AE217" t="str">
        <f>IF(OR(_nba2122[[#This Row],[G]]&gt;=58,nba2122_advanced[[#This Row],[MP]]&gt;=1000),"Y","N")</f>
        <v>Y</v>
      </c>
      <c r="AF21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4.2916518343465606</v>
      </c>
    </row>
    <row r="218" spans="1:32" x14ac:dyDescent="0.35">
      <c r="A218">
        <v>217</v>
      </c>
      <c r="B218" s="1" t="s">
        <v>284</v>
      </c>
      <c r="C218" s="1" t="s">
        <v>41</v>
      </c>
      <c r="D218">
        <v>29</v>
      </c>
      <c r="E218" s="1" t="s">
        <v>143</v>
      </c>
      <c r="F218">
        <v>42</v>
      </c>
      <c r="G218">
        <v>20</v>
      </c>
      <c r="H218">
        <v>29.6</v>
      </c>
      <c r="I218">
        <v>5</v>
      </c>
      <c r="J218">
        <v>12.6</v>
      </c>
      <c r="K218">
        <v>0.39400000000000002</v>
      </c>
      <c r="L218">
        <v>2.4</v>
      </c>
      <c r="M218">
        <v>7.2</v>
      </c>
      <c r="N218">
        <v>0.33600000000000002</v>
      </c>
      <c r="O218">
        <v>2.5</v>
      </c>
      <c r="P218">
        <v>5.4</v>
      </c>
      <c r="Q218">
        <v>0.47299999999999998</v>
      </c>
      <c r="R218">
        <v>0.49099999999999999</v>
      </c>
      <c r="S218">
        <v>1.9</v>
      </c>
      <c r="T218">
        <v>2.5</v>
      </c>
      <c r="U218">
        <v>0.75700000000000001</v>
      </c>
      <c r="V218">
        <v>0.3</v>
      </c>
      <c r="W218">
        <v>3.4</v>
      </c>
      <c r="X218">
        <v>3.7</v>
      </c>
      <c r="Y218">
        <v>2.2000000000000002</v>
      </c>
      <c r="Z218">
        <v>0.9</v>
      </c>
      <c r="AA218">
        <v>0.1</v>
      </c>
      <c r="AB218">
        <v>0.8</v>
      </c>
      <c r="AC218">
        <v>1.8</v>
      </c>
      <c r="AD218">
        <v>14.2</v>
      </c>
      <c r="AE218" t="str">
        <f>IF(OR(_nba2122[[#This Row],[G]]&gt;=58,nba2122_advanced[[#This Row],[MP]]&gt;=1000),"Y","N")</f>
        <v>Y</v>
      </c>
      <c r="AF21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5.1845745080451948</v>
      </c>
    </row>
    <row r="219" spans="1:32" x14ac:dyDescent="0.35">
      <c r="A219">
        <v>218</v>
      </c>
      <c r="B219" s="2" t="s">
        <v>285</v>
      </c>
      <c r="C219" s="1" t="s">
        <v>48</v>
      </c>
      <c r="D219">
        <v>32</v>
      </c>
      <c r="E219" s="1" t="s">
        <v>42</v>
      </c>
      <c r="F219">
        <v>65</v>
      </c>
      <c r="G219">
        <v>65</v>
      </c>
      <c r="H219">
        <v>37.200000000000003</v>
      </c>
      <c r="I219">
        <v>6.3</v>
      </c>
      <c r="J219">
        <v>15.3</v>
      </c>
      <c r="K219">
        <v>0.41</v>
      </c>
      <c r="L219">
        <v>2.2999999999999998</v>
      </c>
      <c r="M219">
        <v>6.9</v>
      </c>
      <c r="N219">
        <v>0.33</v>
      </c>
      <c r="O219">
        <v>4</v>
      </c>
      <c r="P219">
        <v>8.4</v>
      </c>
      <c r="Q219">
        <v>0.47599999999999998</v>
      </c>
      <c r="R219">
        <v>0.48499999999999999</v>
      </c>
      <c r="S219">
        <v>7.2</v>
      </c>
      <c r="T219">
        <v>8.1999999999999993</v>
      </c>
      <c r="U219">
        <v>0.877</v>
      </c>
      <c r="V219">
        <v>0.8</v>
      </c>
      <c r="W219">
        <v>6.8</v>
      </c>
      <c r="X219">
        <v>7.7</v>
      </c>
      <c r="Y219">
        <v>10.3</v>
      </c>
      <c r="Z219">
        <v>1.3</v>
      </c>
      <c r="AA219">
        <v>0.6</v>
      </c>
      <c r="AB219">
        <v>4.4000000000000004</v>
      </c>
      <c r="AC219">
        <v>2.4</v>
      </c>
      <c r="AD219">
        <v>22</v>
      </c>
      <c r="AE219" t="str">
        <f>IF(OR(_nba2122[[#This Row],[G]]&gt;=58,nba2122_advanced[[#This Row],[MP]]&gt;=1000),"Y","N")</f>
        <v>Y</v>
      </c>
      <c r="AF21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11.927375210546348</v>
      </c>
    </row>
    <row r="220" spans="1:32" x14ac:dyDescent="0.35">
      <c r="A220">
        <v>219</v>
      </c>
      <c r="B220" s="1" t="s">
        <v>287</v>
      </c>
      <c r="C220" s="1" t="s">
        <v>51</v>
      </c>
      <c r="D220">
        <v>28</v>
      </c>
      <c r="E220" s="1" t="s">
        <v>82</v>
      </c>
      <c r="F220">
        <v>47</v>
      </c>
      <c r="G220">
        <v>24</v>
      </c>
      <c r="H220">
        <v>18.399999999999999</v>
      </c>
      <c r="I220">
        <v>1.8</v>
      </c>
      <c r="J220">
        <v>3.9</v>
      </c>
      <c r="K220">
        <v>0.45900000000000002</v>
      </c>
      <c r="L220">
        <v>0.7</v>
      </c>
      <c r="M220">
        <v>2.1</v>
      </c>
      <c r="N220">
        <v>0.307</v>
      </c>
      <c r="O220">
        <v>1.1000000000000001</v>
      </c>
      <c r="P220">
        <v>1.7</v>
      </c>
      <c r="Q220">
        <v>0.65</v>
      </c>
      <c r="R220">
        <v>0.54400000000000004</v>
      </c>
      <c r="S220">
        <v>0.4</v>
      </c>
      <c r="T220">
        <v>0.6</v>
      </c>
      <c r="U220">
        <v>0.71399999999999997</v>
      </c>
      <c r="V220">
        <v>0.3</v>
      </c>
      <c r="W220">
        <v>2.1</v>
      </c>
      <c r="X220">
        <v>2.4</v>
      </c>
      <c r="Y220">
        <v>0.5</v>
      </c>
      <c r="Z220">
        <v>0.6</v>
      </c>
      <c r="AA220">
        <v>0.5</v>
      </c>
      <c r="AB220">
        <v>0.7</v>
      </c>
      <c r="AC220">
        <v>1.6</v>
      </c>
      <c r="AD220">
        <v>4.5999999999999996</v>
      </c>
      <c r="AE220" t="str">
        <f>IF(OR(_nba2122[[#This Row],[G]]&gt;=58,nba2122_advanced[[#This Row],[MP]]&gt;=1000),"Y","N")</f>
        <v>N</v>
      </c>
      <c r="AF22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6.5753165251991748</v>
      </c>
    </row>
    <row r="221" spans="1:32" x14ac:dyDescent="0.35">
      <c r="A221">
        <v>220</v>
      </c>
      <c r="B221" s="1" t="s">
        <v>288</v>
      </c>
      <c r="C221" s="1" t="s">
        <v>48</v>
      </c>
      <c r="D221">
        <v>24</v>
      </c>
      <c r="E221" s="1" t="s">
        <v>49</v>
      </c>
      <c r="F221">
        <v>5</v>
      </c>
      <c r="G221">
        <v>0</v>
      </c>
      <c r="H221">
        <v>8.6</v>
      </c>
      <c r="I221">
        <v>2.8</v>
      </c>
      <c r="J221">
        <v>5.2</v>
      </c>
      <c r="K221">
        <v>0.53800000000000003</v>
      </c>
      <c r="L221">
        <v>1</v>
      </c>
      <c r="M221">
        <v>2.4</v>
      </c>
      <c r="N221">
        <v>0.41699999999999998</v>
      </c>
      <c r="O221">
        <v>1.8</v>
      </c>
      <c r="P221">
        <v>2.8</v>
      </c>
      <c r="Q221">
        <v>0.64300000000000002</v>
      </c>
      <c r="R221">
        <v>0.63500000000000001</v>
      </c>
      <c r="S221">
        <v>0.8</v>
      </c>
      <c r="T221">
        <v>0.8</v>
      </c>
      <c r="U221">
        <v>1</v>
      </c>
      <c r="V221">
        <v>0.4</v>
      </c>
      <c r="W221">
        <v>0</v>
      </c>
      <c r="X221">
        <v>0.4</v>
      </c>
      <c r="Y221">
        <v>2.8</v>
      </c>
      <c r="Z221">
        <v>0.8</v>
      </c>
      <c r="AA221">
        <v>0.2</v>
      </c>
      <c r="AB221">
        <v>0.4</v>
      </c>
      <c r="AC221">
        <v>1</v>
      </c>
      <c r="AD221">
        <v>7.4</v>
      </c>
      <c r="AE221" t="str">
        <f>IF(OR(_nba2122[[#This Row],[G]]&gt;=58,nba2122_advanced[[#This Row],[MP]]&gt;=1000),"Y","N")</f>
        <v>N</v>
      </c>
      <c r="AF22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12.968089394088821</v>
      </c>
    </row>
    <row r="222" spans="1:32" x14ac:dyDescent="0.35">
      <c r="A222">
        <v>221</v>
      </c>
      <c r="B222" s="1" t="s">
        <v>289</v>
      </c>
      <c r="C222" s="1" t="s">
        <v>31</v>
      </c>
      <c r="D222">
        <v>28</v>
      </c>
      <c r="E222" s="1" t="s">
        <v>42</v>
      </c>
      <c r="F222">
        <v>71</v>
      </c>
      <c r="G222">
        <v>3</v>
      </c>
      <c r="H222">
        <v>23.1</v>
      </c>
      <c r="I222">
        <v>5</v>
      </c>
      <c r="J222">
        <v>7.8</v>
      </c>
      <c r="K222">
        <v>0.64500000000000002</v>
      </c>
      <c r="L222">
        <v>0.1</v>
      </c>
      <c r="M222">
        <v>0.2</v>
      </c>
      <c r="N222">
        <v>0.23499999999999999</v>
      </c>
      <c r="O222">
        <v>5</v>
      </c>
      <c r="P222">
        <v>7.6</v>
      </c>
      <c r="Q222">
        <v>0.65800000000000003</v>
      </c>
      <c r="R222">
        <v>0.64900000000000002</v>
      </c>
      <c r="S222">
        <v>3</v>
      </c>
      <c r="T222">
        <v>4.2</v>
      </c>
      <c r="U222">
        <v>0.71599999999999997</v>
      </c>
      <c r="V222">
        <v>2.1</v>
      </c>
      <c r="W222">
        <v>4</v>
      </c>
      <c r="X222">
        <v>6.1</v>
      </c>
      <c r="Y222">
        <v>2</v>
      </c>
      <c r="Z222">
        <v>0.4</v>
      </c>
      <c r="AA222">
        <v>0.6</v>
      </c>
      <c r="AB222">
        <v>1</v>
      </c>
      <c r="AC222">
        <v>1.9</v>
      </c>
      <c r="AD222">
        <v>13.1</v>
      </c>
      <c r="AE222" t="str">
        <f>IF(OR(_nba2122[[#This Row],[G]]&gt;=58,nba2122_advanced[[#This Row],[MP]]&gt;=1000),"Y","N")</f>
        <v>Y</v>
      </c>
      <c r="AF22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6.7772647640503525</v>
      </c>
    </row>
    <row r="223" spans="1:32" x14ac:dyDescent="0.35">
      <c r="A223">
        <v>222</v>
      </c>
      <c r="B223" s="1" t="s">
        <v>290</v>
      </c>
      <c r="C223" s="1" t="s">
        <v>41</v>
      </c>
      <c r="D223">
        <v>27</v>
      </c>
      <c r="E223" s="1" t="s">
        <v>58</v>
      </c>
      <c r="F223">
        <v>61</v>
      </c>
      <c r="G223">
        <v>30</v>
      </c>
      <c r="H223">
        <v>28.4</v>
      </c>
      <c r="I223">
        <v>3.9</v>
      </c>
      <c r="J223">
        <v>9.1</v>
      </c>
      <c r="K223">
        <v>0.434</v>
      </c>
      <c r="L223">
        <v>1.9</v>
      </c>
      <c r="M223">
        <v>5</v>
      </c>
      <c r="N223">
        <v>0.38400000000000001</v>
      </c>
      <c r="O223">
        <v>2</v>
      </c>
      <c r="P223">
        <v>4.0999999999999996</v>
      </c>
      <c r="Q223">
        <v>0.49399999999999999</v>
      </c>
      <c r="R223">
        <v>0.53900000000000003</v>
      </c>
      <c r="S223">
        <v>1.4</v>
      </c>
      <c r="T223">
        <v>1.6</v>
      </c>
      <c r="U223">
        <v>0.874</v>
      </c>
      <c r="V223">
        <v>0.6</v>
      </c>
      <c r="W223">
        <v>1.4</v>
      </c>
      <c r="X223">
        <v>2</v>
      </c>
      <c r="Y223">
        <v>1.8</v>
      </c>
      <c r="Z223">
        <v>1</v>
      </c>
      <c r="AA223">
        <v>0.1</v>
      </c>
      <c r="AB223">
        <v>1</v>
      </c>
      <c r="AC223">
        <v>1.8</v>
      </c>
      <c r="AD223">
        <v>11.1</v>
      </c>
      <c r="AE223" t="str">
        <f>IF(OR(_nba2122[[#This Row],[G]]&gt;=58,nba2122_advanced[[#This Row],[MP]]&gt;=1000),"Y","N")</f>
        <v>Y</v>
      </c>
      <c r="AF22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5.8599765469148686</v>
      </c>
    </row>
    <row r="224" spans="1:32" x14ac:dyDescent="0.35">
      <c r="A224">
        <v>223</v>
      </c>
      <c r="B224" s="1" t="s">
        <v>291</v>
      </c>
      <c r="C224" s="1" t="s">
        <v>51</v>
      </c>
      <c r="D224">
        <v>30</v>
      </c>
      <c r="E224" s="1" t="s">
        <v>39</v>
      </c>
      <c r="F224">
        <v>14</v>
      </c>
      <c r="G224">
        <v>14</v>
      </c>
      <c r="H224">
        <v>30.2</v>
      </c>
      <c r="I224">
        <v>4</v>
      </c>
      <c r="J224">
        <v>8.9</v>
      </c>
      <c r="K224">
        <v>0.45200000000000001</v>
      </c>
      <c r="L224">
        <v>2.9</v>
      </c>
      <c r="M224">
        <v>6.3</v>
      </c>
      <c r="N224">
        <v>0.46600000000000003</v>
      </c>
      <c r="O224">
        <v>1.1000000000000001</v>
      </c>
      <c r="P224">
        <v>2.6</v>
      </c>
      <c r="Q224">
        <v>0.41699999999999998</v>
      </c>
      <c r="R224">
        <v>0.61699999999999999</v>
      </c>
      <c r="S224">
        <v>0.4</v>
      </c>
      <c r="T224">
        <v>0.4</v>
      </c>
      <c r="U224">
        <v>0.83299999999999996</v>
      </c>
      <c r="V224">
        <v>0.4</v>
      </c>
      <c r="W224">
        <v>3.6</v>
      </c>
      <c r="X224">
        <v>4</v>
      </c>
      <c r="Y224">
        <v>1</v>
      </c>
      <c r="Z224">
        <v>0.5</v>
      </c>
      <c r="AA224">
        <v>0.1</v>
      </c>
      <c r="AB224">
        <v>1.1000000000000001</v>
      </c>
      <c r="AC224">
        <v>2.2000000000000002</v>
      </c>
      <c r="AD224">
        <v>11.3</v>
      </c>
      <c r="AE224" t="str">
        <f>IF(OR(_nba2122[[#This Row],[G]]&gt;=58,nba2122_advanced[[#This Row],[MP]]&gt;=1000),"Y","N")</f>
        <v>N</v>
      </c>
      <c r="AF22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7.4566600583116509</v>
      </c>
    </row>
    <row r="225" spans="1:32" x14ac:dyDescent="0.35">
      <c r="A225">
        <v>224</v>
      </c>
      <c r="B225" s="1" t="s">
        <v>292</v>
      </c>
      <c r="C225" s="1" t="s">
        <v>28</v>
      </c>
      <c r="D225">
        <v>29</v>
      </c>
      <c r="E225" s="1" t="s">
        <v>89</v>
      </c>
      <c r="F225">
        <v>73</v>
      </c>
      <c r="G225">
        <v>73</v>
      </c>
      <c r="H225">
        <v>34.799999999999997</v>
      </c>
      <c r="I225">
        <v>6.8</v>
      </c>
      <c r="J225">
        <v>14</v>
      </c>
      <c r="K225">
        <v>0.48199999999999998</v>
      </c>
      <c r="L225">
        <v>1.4</v>
      </c>
      <c r="M225">
        <v>3.8</v>
      </c>
      <c r="N225">
        <v>0.36699999999999999</v>
      </c>
      <c r="O225">
        <v>5.4</v>
      </c>
      <c r="P225">
        <v>10.199999999999999</v>
      </c>
      <c r="Q225">
        <v>0.52500000000000002</v>
      </c>
      <c r="R225">
        <v>0.53200000000000003</v>
      </c>
      <c r="S225">
        <v>2.2999999999999998</v>
      </c>
      <c r="T225">
        <v>2.8</v>
      </c>
      <c r="U225">
        <v>0.84199999999999997</v>
      </c>
      <c r="V225">
        <v>1.1000000000000001</v>
      </c>
      <c r="W225">
        <v>5.7</v>
      </c>
      <c r="X225">
        <v>6.8</v>
      </c>
      <c r="Y225">
        <v>3.5</v>
      </c>
      <c r="Z225">
        <v>0.6</v>
      </c>
      <c r="AA225">
        <v>0.6</v>
      </c>
      <c r="AB225">
        <v>1.6</v>
      </c>
      <c r="AC225">
        <v>2.2000000000000002</v>
      </c>
      <c r="AD225">
        <v>17.2</v>
      </c>
      <c r="AE225" t="str">
        <f>IF(OR(_nba2122[[#This Row],[G]]&gt;=58,nba2122_advanced[[#This Row],[MP]]&gt;=1000),"Y","N")</f>
        <v>Y</v>
      </c>
      <c r="AF22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3.3315040555046442</v>
      </c>
    </row>
    <row r="226" spans="1:32" x14ac:dyDescent="0.35">
      <c r="A226">
        <v>225</v>
      </c>
      <c r="B226" s="1" t="s">
        <v>293</v>
      </c>
      <c r="C226" s="1" t="s">
        <v>41</v>
      </c>
      <c r="D226">
        <v>28</v>
      </c>
      <c r="E226" s="1" t="s">
        <v>39</v>
      </c>
      <c r="F226">
        <v>2</v>
      </c>
      <c r="G226">
        <v>0</v>
      </c>
      <c r="H226">
        <v>11.5</v>
      </c>
      <c r="I226">
        <v>1</v>
      </c>
      <c r="J226">
        <v>3</v>
      </c>
      <c r="K226">
        <v>0.33300000000000002</v>
      </c>
      <c r="L226">
        <v>0</v>
      </c>
      <c r="M226">
        <v>1</v>
      </c>
      <c r="N226">
        <v>0</v>
      </c>
      <c r="O226">
        <v>1</v>
      </c>
      <c r="P226">
        <v>2</v>
      </c>
      <c r="Q226">
        <v>0.5</v>
      </c>
      <c r="R226">
        <v>0.33300000000000002</v>
      </c>
      <c r="S226">
        <v>0</v>
      </c>
      <c r="T226">
        <v>0</v>
      </c>
      <c r="V226">
        <v>0.5</v>
      </c>
      <c r="W226">
        <v>1.5</v>
      </c>
      <c r="X226">
        <v>2</v>
      </c>
      <c r="Y226">
        <v>1.5</v>
      </c>
      <c r="Z226">
        <v>0.5</v>
      </c>
      <c r="AA226">
        <v>0.5</v>
      </c>
      <c r="AB226">
        <v>1</v>
      </c>
      <c r="AC226">
        <v>1.5</v>
      </c>
      <c r="AD226">
        <v>2</v>
      </c>
      <c r="AE226" t="str">
        <f>IF(OR(_nba2122[[#This Row],[G]]&gt;=58,nba2122_advanced[[#This Row],[MP]]&gt;=1000),"Y","N")</f>
        <v>N</v>
      </c>
      <c r="AF22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10.512176127871038</v>
      </c>
    </row>
    <row r="227" spans="1:32" x14ac:dyDescent="0.35">
      <c r="A227">
        <v>226</v>
      </c>
      <c r="B227" s="2" t="s">
        <v>294</v>
      </c>
      <c r="C227" s="1" t="s">
        <v>41</v>
      </c>
      <c r="D227">
        <v>26</v>
      </c>
      <c r="E227" s="1" t="s">
        <v>42</v>
      </c>
      <c r="F227">
        <v>54</v>
      </c>
      <c r="G227">
        <v>53</v>
      </c>
      <c r="H227">
        <v>33.200000000000003</v>
      </c>
      <c r="I227">
        <v>5.3</v>
      </c>
      <c r="J227">
        <v>10.5</v>
      </c>
      <c r="K227">
        <v>0.504</v>
      </c>
      <c r="L227">
        <v>1.4</v>
      </c>
      <c r="M227">
        <v>3.9</v>
      </c>
      <c r="N227">
        <v>0.34300000000000003</v>
      </c>
      <c r="O227">
        <v>4</v>
      </c>
      <c r="P227">
        <v>6.6</v>
      </c>
      <c r="Q227">
        <v>0.60099999999999998</v>
      </c>
      <c r="R227">
        <v>0.56899999999999995</v>
      </c>
      <c r="S227">
        <v>3</v>
      </c>
      <c r="T227">
        <v>3.9</v>
      </c>
      <c r="U227">
        <v>0.75800000000000001</v>
      </c>
      <c r="V227">
        <v>1.1000000000000001</v>
      </c>
      <c r="W227">
        <v>6</v>
      </c>
      <c r="X227">
        <v>7.2</v>
      </c>
      <c r="Y227">
        <v>4.0999999999999996</v>
      </c>
      <c r="Z227">
        <v>1.1000000000000001</v>
      </c>
      <c r="AA227">
        <v>0.2</v>
      </c>
      <c r="AB227">
        <v>2.1</v>
      </c>
      <c r="AC227">
        <v>2.8</v>
      </c>
      <c r="AD227">
        <v>14.9</v>
      </c>
      <c r="AE227" t="str">
        <f>IF(OR(_nba2122[[#This Row],[G]]&gt;=58,nba2122_advanced[[#This Row],[MP]]&gt;=1000),"Y","N")</f>
        <v>Y</v>
      </c>
      <c r="AF22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5.1085786684763539</v>
      </c>
    </row>
    <row r="228" spans="1:32" x14ac:dyDescent="0.35">
      <c r="A228">
        <v>227</v>
      </c>
      <c r="B228" s="1" t="s">
        <v>295</v>
      </c>
      <c r="C228" s="1" t="s">
        <v>31</v>
      </c>
      <c r="D228">
        <v>23</v>
      </c>
      <c r="E228" s="1" t="s">
        <v>93</v>
      </c>
      <c r="F228">
        <v>68</v>
      </c>
      <c r="G228">
        <v>0</v>
      </c>
      <c r="H228">
        <v>17.899999999999999</v>
      </c>
      <c r="I228">
        <v>3.4</v>
      </c>
      <c r="J228">
        <v>5.4</v>
      </c>
      <c r="K228">
        <v>0.626</v>
      </c>
      <c r="L228">
        <v>0.2</v>
      </c>
      <c r="M228">
        <v>0.4</v>
      </c>
      <c r="N228">
        <v>0.46700000000000003</v>
      </c>
      <c r="O228">
        <v>3.2</v>
      </c>
      <c r="P228">
        <v>4.9000000000000004</v>
      </c>
      <c r="Q228">
        <v>0.64</v>
      </c>
      <c r="R228">
        <v>0.64500000000000002</v>
      </c>
      <c r="S228">
        <v>1.3</v>
      </c>
      <c r="T228">
        <v>1.9</v>
      </c>
      <c r="U228">
        <v>0.68899999999999995</v>
      </c>
      <c r="V228">
        <v>1.7</v>
      </c>
      <c r="W228">
        <v>3.2</v>
      </c>
      <c r="X228">
        <v>4.9000000000000004</v>
      </c>
      <c r="Y228">
        <v>2.4</v>
      </c>
      <c r="Z228">
        <v>0.7</v>
      </c>
      <c r="AA228">
        <v>1.1000000000000001</v>
      </c>
      <c r="AB228">
        <v>1.2</v>
      </c>
      <c r="AC228">
        <v>2.5</v>
      </c>
      <c r="AD228">
        <v>8.3000000000000007</v>
      </c>
      <c r="AE228" t="str">
        <f>IF(OR(_nba2122[[#This Row],[G]]&gt;=58,nba2122_advanced[[#This Row],[MP]]&gt;=1000),"Y","N")</f>
        <v>Y</v>
      </c>
      <c r="AF22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8.4787773369028283</v>
      </c>
    </row>
    <row r="229" spans="1:32" x14ac:dyDescent="0.35">
      <c r="A229">
        <v>228</v>
      </c>
      <c r="B229" s="1" t="s">
        <v>296</v>
      </c>
      <c r="C229" s="1" t="s">
        <v>31</v>
      </c>
      <c r="D229">
        <v>41</v>
      </c>
      <c r="E229" s="1" t="s">
        <v>36</v>
      </c>
      <c r="F229">
        <v>13</v>
      </c>
      <c r="G229">
        <v>0</v>
      </c>
      <c r="H229">
        <v>6.4</v>
      </c>
      <c r="I229">
        <v>1.1000000000000001</v>
      </c>
      <c r="J229">
        <v>2.4</v>
      </c>
      <c r="K229">
        <v>0.45200000000000001</v>
      </c>
      <c r="L229">
        <v>0.1</v>
      </c>
      <c r="M229">
        <v>0.3</v>
      </c>
      <c r="N229">
        <v>0.25</v>
      </c>
      <c r="O229">
        <v>1</v>
      </c>
      <c r="P229">
        <v>2.1</v>
      </c>
      <c r="Q229">
        <v>0.48099999999999998</v>
      </c>
      <c r="R229">
        <v>0.46800000000000003</v>
      </c>
      <c r="S229">
        <v>0.2</v>
      </c>
      <c r="T229">
        <v>0.2</v>
      </c>
      <c r="U229">
        <v>1</v>
      </c>
      <c r="V229">
        <v>0.3</v>
      </c>
      <c r="W229">
        <v>1.6</v>
      </c>
      <c r="X229">
        <v>1.9</v>
      </c>
      <c r="Y229">
        <v>0.3</v>
      </c>
      <c r="Z229">
        <v>0.1</v>
      </c>
      <c r="AA229">
        <v>0.1</v>
      </c>
      <c r="AB229">
        <v>0.4</v>
      </c>
      <c r="AC229">
        <v>1.2</v>
      </c>
      <c r="AD229">
        <v>2.5</v>
      </c>
      <c r="AE229" t="str">
        <f>IF(OR(_nba2122[[#This Row],[G]]&gt;=58,nba2122_advanced[[#This Row],[MP]]&gt;=1000),"Y","N")</f>
        <v>N</v>
      </c>
      <c r="AF22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9.8633318931755536</v>
      </c>
    </row>
    <row r="230" spans="1:32" x14ac:dyDescent="0.35">
      <c r="A230">
        <v>229</v>
      </c>
      <c r="B230" s="1" t="s">
        <v>297</v>
      </c>
      <c r="C230" s="1" t="s">
        <v>51</v>
      </c>
      <c r="D230">
        <v>24</v>
      </c>
      <c r="E230" s="1" t="s">
        <v>140</v>
      </c>
      <c r="F230">
        <v>26</v>
      </c>
      <c r="G230">
        <v>0</v>
      </c>
      <c r="H230">
        <v>6.1</v>
      </c>
      <c r="I230">
        <v>0.9</v>
      </c>
      <c r="J230">
        <v>1.9</v>
      </c>
      <c r="K230">
        <v>0.46</v>
      </c>
      <c r="L230">
        <v>0.7</v>
      </c>
      <c r="M230">
        <v>1.7</v>
      </c>
      <c r="N230">
        <v>0.432</v>
      </c>
      <c r="O230">
        <v>0.2</v>
      </c>
      <c r="P230">
        <v>0.2</v>
      </c>
      <c r="Q230">
        <v>0.66700000000000004</v>
      </c>
      <c r="R230">
        <v>0.65</v>
      </c>
      <c r="S230">
        <v>0</v>
      </c>
      <c r="T230">
        <v>0</v>
      </c>
      <c r="V230">
        <v>0.2</v>
      </c>
      <c r="W230">
        <v>0.9</v>
      </c>
      <c r="X230">
        <v>1.1000000000000001</v>
      </c>
      <c r="Y230">
        <v>0.4</v>
      </c>
      <c r="Z230">
        <v>0</v>
      </c>
      <c r="AA230">
        <v>0.1</v>
      </c>
      <c r="AB230">
        <v>0.1</v>
      </c>
      <c r="AC230">
        <v>0.3</v>
      </c>
      <c r="AD230">
        <v>2.5</v>
      </c>
      <c r="AE230" t="str">
        <f>IF(OR(_nba2122[[#This Row],[G]]&gt;=58,nba2122_advanced[[#This Row],[MP]]&gt;=1000),"Y","N")</f>
        <v>N</v>
      </c>
      <c r="AF23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12.100297072555541</v>
      </c>
    </row>
    <row r="231" spans="1:32" x14ac:dyDescent="0.35">
      <c r="A231">
        <v>230</v>
      </c>
      <c r="B231" s="1" t="s">
        <v>298</v>
      </c>
      <c r="C231" s="1" t="s">
        <v>31</v>
      </c>
      <c r="D231">
        <v>21</v>
      </c>
      <c r="E231" s="1" t="s">
        <v>49</v>
      </c>
      <c r="F231">
        <v>70</v>
      </c>
      <c r="G231">
        <v>28</v>
      </c>
      <c r="H231">
        <v>20</v>
      </c>
      <c r="I231">
        <v>3.5</v>
      </c>
      <c r="J231">
        <v>5.7</v>
      </c>
      <c r="K231">
        <v>0.61599999999999999</v>
      </c>
      <c r="L231">
        <v>0.3</v>
      </c>
      <c r="M231">
        <v>0.8</v>
      </c>
      <c r="N231">
        <v>0.35099999999999998</v>
      </c>
      <c r="O231">
        <v>3.2</v>
      </c>
      <c r="P231">
        <v>4.9000000000000004</v>
      </c>
      <c r="Q231">
        <v>0.66</v>
      </c>
      <c r="R231">
        <v>0.64100000000000001</v>
      </c>
      <c r="S231">
        <v>2.1</v>
      </c>
      <c r="T231">
        <v>2.7</v>
      </c>
      <c r="U231">
        <v>0.76600000000000001</v>
      </c>
      <c r="V231">
        <v>1.6</v>
      </c>
      <c r="W231">
        <v>2.9</v>
      </c>
      <c r="X231">
        <v>4.5</v>
      </c>
      <c r="Y231">
        <v>0.6</v>
      </c>
      <c r="Z231">
        <v>0.5</v>
      </c>
      <c r="AA231">
        <v>0.8</v>
      </c>
      <c r="AB231">
        <v>0.8</v>
      </c>
      <c r="AC231">
        <v>2.2000000000000002</v>
      </c>
      <c r="AD231">
        <v>9.3000000000000007</v>
      </c>
      <c r="AE231" t="str">
        <f>IF(OR(_nba2122[[#This Row],[G]]&gt;=58,nba2122_advanced[[#This Row],[MP]]&gt;=1000),"Y","N")</f>
        <v>Y</v>
      </c>
      <c r="AF23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7.5824601024370528</v>
      </c>
    </row>
    <row r="232" spans="1:32" x14ac:dyDescent="0.35">
      <c r="A232">
        <v>231</v>
      </c>
      <c r="B232" s="1" t="s">
        <v>299</v>
      </c>
      <c r="C232" s="1" t="s">
        <v>48</v>
      </c>
      <c r="D232">
        <v>20</v>
      </c>
      <c r="E232" s="1" t="s">
        <v>105</v>
      </c>
      <c r="F232">
        <v>66</v>
      </c>
      <c r="G232">
        <v>40</v>
      </c>
      <c r="H232">
        <v>25</v>
      </c>
      <c r="I232">
        <v>2.7</v>
      </c>
      <c r="J232">
        <v>7</v>
      </c>
      <c r="K232">
        <v>0.38300000000000001</v>
      </c>
      <c r="L232">
        <v>0.7</v>
      </c>
      <c r="M232">
        <v>2.5</v>
      </c>
      <c r="N232">
        <v>0.26300000000000001</v>
      </c>
      <c r="O232">
        <v>2</v>
      </c>
      <c r="P232">
        <v>4.4000000000000004</v>
      </c>
      <c r="Q232">
        <v>0.45200000000000001</v>
      </c>
      <c r="R232">
        <v>0.43099999999999999</v>
      </c>
      <c r="S232">
        <v>0.9</v>
      </c>
      <c r="T232">
        <v>1.1000000000000001</v>
      </c>
      <c r="U232">
        <v>0.77</v>
      </c>
      <c r="V232">
        <v>0.5</v>
      </c>
      <c r="W232">
        <v>2.6</v>
      </c>
      <c r="X232">
        <v>3.2</v>
      </c>
      <c r="Y232">
        <v>4.2</v>
      </c>
      <c r="Z232">
        <v>1.2</v>
      </c>
      <c r="AA232">
        <v>0.5</v>
      </c>
      <c r="AB232">
        <v>1.7</v>
      </c>
      <c r="AC232">
        <v>2.8</v>
      </c>
      <c r="AD232">
        <v>6.9</v>
      </c>
      <c r="AE232" t="str">
        <f>IF(OR(_nba2122[[#This Row],[G]]&gt;=58,nba2122_advanced[[#This Row],[MP]]&gt;=1000),"Y","N")</f>
        <v>Y</v>
      </c>
      <c r="AF23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5.9239861129122175</v>
      </c>
    </row>
    <row r="233" spans="1:32" x14ac:dyDescent="0.35">
      <c r="A233">
        <v>232</v>
      </c>
      <c r="B233" s="1" t="s">
        <v>300</v>
      </c>
      <c r="C233" s="1" t="s">
        <v>51</v>
      </c>
      <c r="D233">
        <v>31</v>
      </c>
      <c r="E233" s="1" t="s">
        <v>73</v>
      </c>
      <c r="F233">
        <v>49</v>
      </c>
      <c r="G233">
        <v>48</v>
      </c>
      <c r="H233">
        <v>31.9</v>
      </c>
      <c r="I233">
        <v>5.8</v>
      </c>
      <c r="J233">
        <v>12.6</v>
      </c>
      <c r="K233">
        <v>0.45900000000000002</v>
      </c>
      <c r="L233">
        <v>1.8</v>
      </c>
      <c r="M233">
        <v>4.5</v>
      </c>
      <c r="N233">
        <v>0.39100000000000001</v>
      </c>
      <c r="O233">
        <v>4</v>
      </c>
      <c r="P233">
        <v>8.1</v>
      </c>
      <c r="Q233">
        <v>0.496</v>
      </c>
      <c r="R233">
        <v>0.52800000000000002</v>
      </c>
      <c r="S233">
        <v>2.6</v>
      </c>
      <c r="T233">
        <v>3</v>
      </c>
      <c r="U233">
        <v>0.84599999999999997</v>
      </c>
      <c r="V233">
        <v>0.8</v>
      </c>
      <c r="W233">
        <v>3.8</v>
      </c>
      <c r="X233">
        <v>4.5999999999999996</v>
      </c>
      <c r="Y233">
        <v>3.6</v>
      </c>
      <c r="Z233">
        <v>1</v>
      </c>
      <c r="AA233">
        <v>0.4</v>
      </c>
      <c r="AB233">
        <v>1.7</v>
      </c>
      <c r="AC233">
        <v>1.7</v>
      </c>
      <c r="AD233">
        <v>15.9</v>
      </c>
      <c r="AE233" t="str">
        <f>IF(OR(_nba2122[[#This Row],[G]]&gt;=58,nba2122_advanced[[#This Row],[MP]]&gt;=1000),"Y","N")</f>
        <v>Y</v>
      </c>
      <c r="AF23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2.4009315444823742</v>
      </c>
    </row>
    <row r="234" spans="1:32" x14ac:dyDescent="0.35">
      <c r="A234">
        <v>233</v>
      </c>
      <c r="B234" s="1" t="s">
        <v>301</v>
      </c>
      <c r="C234" s="1" t="s">
        <v>51</v>
      </c>
      <c r="D234">
        <v>22</v>
      </c>
      <c r="E234" s="1" t="s">
        <v>89</v>
      </c>
      <c r="F234">
        <v>6</v>
      </c>
      <c r="G234">
        <v>0</v>
      </c>
      <c r="H234">
        <v>2.8</v>
      </c>
      <c r="I234">
        <v>0.2</v>
      </c>
      <c r="J234">
        <v>0.8</v>
      </c>
      <c r="K234">
        <v>0.2</v>
      </c>
      <c r="L234">
        <v>0</v>
      </c>
      <c r="M234">
        <v>0.2</v>
      </c>
      <c r="N234">
        <v>0</v>
      </c>
      <c r="O234">
        <v>0.2</v>
      </c>
      <c r="P234">
        <v>0.7</v>
      </c>
      <c r="Q234">
        <v>0.25</v>
      </c>
      <c r="R234">
        <v>0.2</v>
      </c>
      <c r="S234">
        <v>0</v>
      </c>
      <c r="T234">
        <v>0</v>
      </c>
      <c r="V234">
        <v>0</v>
      </c>
      <c r="W234">
        <v>0.2</v>
      </c>
      <c r="X234">
        <v>0.2</v>
      </c>
      <c r="Y234">
        <v>0</v>
      </c>
      <c r="Z234">
        <v>0</v>
      </c>
      <c r="AA234">
        <v>0.3</v>
      </c>
      <c r="AB234">
        <v>0.3</v>
      </c>
      <c r="AC234">
        <v>0.3</v>
      </c>
      <c r="AD234">
        <v>0.3</v>
      </c>
      <c r="AE234" t="str">
        <f>IF(OR(_nba2122[[#This Row],[G]]&gt;=58,nba2122_advanced[[#This Row],[MP]]&gt;=1000),"Y","N")</f>
        <v>N</v>
      </c>
      <c r="AF23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21.318971974316202</v>
      </c>
    </row>
    <row r="235" spans="1:32" x14ac:dyDescent="0.35">
      <c r="A235">
        <v>234</v>
      </c>
      <c r="B235" s="1" t="s">
        <v>302</v>
      </c>
      <c r="C235" s="1" t="s">
        <v>28</v>
      </c>
      <c r="D235">
        <v>26</v>
      </c>
      <c r="E235" s="1" t="s">
        <v>42</v>
      </c>
      <c r="F235">
        <v>40</v>
      </c>
      <c r="G235">
        <v>9</v>
      </c>
      <c r="H235">
        <v>11.1</v>
      </c>
      <c r="I235">
        <v>1.1000000000000001</v>
      </c>
      <c r="J235">
        <v>2.7</v>
      </c>
      <c r="K235">
        <v>0.41499999999999998</v>
      </c>
      <c r="L235">
        <v>0.6</v>
      </c>
      <c r="M235">
        <v>1.7</v>
      </c>
      <c r="N235">
        <v>0.34799999999999998</v>
      </c>
      <c r="O235">
        <v>0.5</v>
      </c>
      <c r="P235">
        <v>0.9</v>
      </c>
      <c r="Q235">
        <v>0.54100000000000004</v>
      </c>
      <c r="R235">
        <v>0.52800000000000002</v>
      </c>
      <c r="S235">
        <v>0.5</v>
      </c>
      <c r="T235">
        <v>0.9</v>
      </c>
      <c r="U235">
        <v>0.55900000000000005</v>
      </c>
      <c r="V235">
        <v>0.7</v>
      </c>
      <c r="W235">
        <v>1.8</v>
      </c>
      <c r="X235">
        <v>2.5</v>
      </c>
      <c r="Y235">
        <v>0.5</v>
      </c>
      <c r="Z235">
        <v>0.4</v>
      </c>
      <c r="AA235">
        <v>0.3</v>
      </c>
      <c r="AB235">
        <v>0.4</v>
      </c>
      <c r="AC235">
        <v>0.6</v>
      </c>
      <c r="AD235">
        <v>3.3</v>
      </c>
      <c r="AE235" t="str">
        <f>IF(OR(_nba2122[[#This Row],[G]]&gt;=58,nba2122_advanced[[#This Row],[MP]]&gt;=1000),"Y","N")</f>
        <v>N</v>
      </c>
      <c r="AF23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7.3655636026398392</v>
      </c>
    </row>
    <row r="236" spans="1:32" x14ac:dyDescent="0.35">
      <c r="A236">
        <v>235</v>
      </c>
      <c r="B236" s="1" t="s">
        <v>303</v>
      </c>
      <c r="C236" s="1" t="s">
        <v>31</v>
      </c>
      <c r="D236">
        <v>27</v>
      </c>
      <c r="E236" s="1" t="s">
        <v>49</v>
      </c>
      <c r="F236">
        <v>50</v>
      </c>
      <c r="G236">
        <v>8</v>
      </c>
      <c r="H236">
        <v>16.8</v>
      </c>
      <c r="I236">
        <v>3.4</v>
      </c>
      <c r="J236">
        <v>6.5</v>
      </c>
      <c r="K236">
        <v>0.52</v>
      </c>
      <c r="L236">
        <v>0.1</v>
      </c>
      <c r="M236">
        <v>0.2</v>
      </c>
      <c r="N236">
        <v>0.33300000000000002</v>
      </c>
      <c r="O236">
        <v>3.3</v>
      </c>
      <c r="P236">
        <v>6.3</v>
      </c>
      <c r="Q236">
        <v>0.52700000000000002</v>
      </c>
      <c r="R236">
        <v>0.52600000000000002</v>
      </c>
      <c r="S236">
        <v>2.2000000000000002</v>
      </c>
      <c r="T236">
        <v>2.8</v>
      </c>
      <c r="U236">
        <v>0.77300000000000002</v>
      </c>
      <c r="V236">
        <v>2.9</v>
      </c>
      <c r="W236">
        <v>3.9</v>
      </c>
      <c r="X236">
        <v>6.8</v>
      </c>
      <c r="Y236">
        <v>1.3</v>
      </c>
      <c r="Z236">
        <v>0.4</v>
      </c>
      <c r="AA236">
        <v>0.4</v>
      </c>
      <c r="AB236">
        <v>1</v>
      </c>
      <c r="AC236">
        <v>1.9</v>
      </c>
      <c r="AD236">
        <v>9.1</v>
      </c>
      <c r="AE236" t="str">
        <f>IF(OR(_nba2122[[#This Row],[G]]&gt;=58,nba2122_advanced[[#This Row],[MP]]&gt;=1000),"Y","N")</f>
        <v>N</v>
      </c>
      <c r="AF23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6.7769552367035333</v>
      </c>
    </row>
    <row r="237" spans="1:32" x14ac:dyDescent="0.35">
      <c r="A237">
        <v>236</v>
      </c>
      <c r="B237" s="1" t="s">
        <v>304</v>
      </c>
      <c r="C237" s="1" t="s">
        <v>41</v>
      </c>
      <c r="D237">
        <v>22</v>
      </c>
      <c r="E237" s="1" t="s">
        <v>36</v>
      </c>
      <c r="F237">
        <v>66</v>
      </c>
      <c r="G237">
        <v>10</v>
      </c>
      <c r="H237">
        <v>32.6</v>
      </c>
      <c r="I237">
        <v>7.6</v>
      </c>
      <c r="J237">
        <v>17</v>
      </c>
      <c r="K237">
        <v>0.44700000000000001</v>
      </c>
      <c r="L237">
        <v>2.7</v>
      </c>
      <c r="M237">
        <v>6.7</v>
      </c>
      <c r="N237">
        <v>0.39900000000000002</v>
      </c>
      <c r="O237">
        <v>4.9000000000000004</v>
      </c>
      <c r="P237">
        <v>10.3</v>
      </c>
      <c r="Q237">
        <v>0.47699999999999998</v>
      </c>
      <c r="R237">
        <v>0.52500000000000002</v>
      </c>
      <c r="S237">
        <v>2.9</v>
      </c>
      <c r="T237">
        <v>3.3</v>
      </c>
      <c r="U237">
        <v>0.86799999999999999</v>
      </c>
      <c r="V237">
        <v>0.5</v>
      </c>
      <c r="W237">
        <v>4.5</v>
      </c>
      <c r="X237">
        <v>5</v>
      </c>
      <c r="Y237">
        <v>4</v>
      </c>
      <c r="Z237">
        <v>0.7</v>
      </c>
      <c r="AA237">
        <v>0.1</v>
      </c>
      <c r="AB237">
        <v>2.6</v>
      </c>
      <c r="AC237">
        <v>1.4</v>
      </c>
      <c r="AD237">
        <v>20.7</v>
      </c>
      <c r="AE237" t="str">
        <f>IF(OR(_nba2122[[#This Row],[G]]&gt;=58,nba2122_advanced[[#This Row],[MP]]&gt;=1000),"Y","N")</f>
        <v>Y</v>
      </c>
      <c r="AF23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5.8341128307458892</v>
      </c>
    </row>
    <row r="238" spans="1:32" x14ac:dyDescent="0.35">
      <c r="A238">
        <v>237</v>
      </c>
      <c r="B238" s="1" t="s">
        <v>305</v>
      </c>
      <c r="C238" s="1" t="s">
        <v>41</v>
      </c>
      <c r="D238">
        <v>29</v>
      </c>
      <c r="E238" s="1" t="s">
        <v>42</v>
      </c>
      <c r="F238">
        <v>81</v>
      </c>
      <c r="G238">
        <v>32</v>
      </c>
      <c r="H238">
        <v>30.9</v>
      </c>
      <c r="I238">
        <v>5.5</v>
      </c>
      <c r="J238">
        <v>13.6</v>
      </c>
      <c r="K238">
        <v>0.40600000000000003</v>
      </c>
      <c r="L238">
        <v>3.2</v>
      </c>
      <c r="M238">
        <v>8.8000000000000007</v>
      </c>
      <c r="N238">
        <v>0.36599999999999999</v>
      </c>
      <c r="O238">
        <v>2.2999999999999998</v>
      </c>
      <c r="P238">
        <v>4.7</v>
      </c>
      <c r="Q238">
        <v>0.48199999999999998</v>
      </c>
      <c r="R238">
        <v>0.52600000000000002</v>
      </c>
      <c r="S238">
        <v>1.4</v>
      </c>
      <c r="T238">
        <v>1.6</v>
      </c>
      <c r="U238">
        <v>0.874</v>
      </c>
      <c r="V238">
        <v>0.8</v>
      </c>
      <c r="W238">
        <v>3.5</v>
      </c>
      <c r="X238">
        <v>4.4000000000000004</v>
      </c>
      <c r="Y238">
        <v>2.8</v>
      </c>
      <c r="Z238">
        <v>0.9</v>
      </c>
      <c r="AA238">
        <v>0.3</v>
      </c>
      <c r="AB238">
        <v>1.9</v>
      </c>
      <c r="AC238">
        <v>2.2999999999999998</v>
      </c>
      <c r="AD238">
        <v>15.6</v>
      </c>
      <c r="AE238" t="str">
        <f>IF(OR(_nba2122[[#This Row],[G]]&gt;=58,nba2122_advanced[[#This Row],[MP]]&gt;=1000),"Y","N")</f>
        <v>Y</v>
      </c>
      <c r="AF23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3.8803065065424907</v>
      </c>
    </row>
    <row r="239" spans="1:32" x14ac:dyDescent="0.35">
      <c r="A239">
        <v>238</v>
      </c>
      <c r="B239" s="1" t="s">
        <v>306</v>
      </c>
      <c r="C239" s="1" t="s">
        <v>51</v>
      </c>
      <c r="D239">
        <v>25</v>
      </c>
      <c r="E239" s="1" t="s">
        <v>36</v>
      </c>
      <c r="F239">
        <v>19</v>
      </c>
      <c r="G239">
        <v>1</v>
      </c>
      <c r="H239">
        <v>8.6</v>
      </c>
      <c r="I239">
        <v>0.8</v>
      </c>
      <c r="J239">
        <v>2.4</v>
      </c>
      <c r="K239">
        <v>0.34799999999999998</v>
      </c>
      <c r="L239">
        <v>0.5</v>
      </c>
      <c r="M239">
        <v>1.5</v>
      </c>
      <c r="N239">
        <v>0.32100000000000001</v>
      </c>
      <c r="O239">
        <v>0.4</v>
      </c>
      <c r="P239">
        <v>0.9</v>
      </c>
      <c r="Q239">
        <v>0.38900000000000001</v>
      </c>
      <c r="R239">
        <v>0.44600000000000001</v>
      </c>
      <c r="S239">
        <v>0.1</v>
      </c>
      <c r="T239">
        <v>0.3</v>
      </c>
      <c r="U239">
        <v>0.4</v>
      </c>
      <c r="V239">
        <v>0.5</v>
      </c>
      <c r="W239">
        <v>0.8</v>
      </c>
      <c r="X239">
        <v>1.4</v>
      </c>
      <c r="Y239">
        <v>0.3</v>
      </c>
      <c r="Z239">
        <v>0.1</v>
      </c>
      <c r="AA239">
        <v>0.2</v>
      </c>
      <c r="AB239">
        <v>0.2</v>
      </c>
      <c r="AC239">
        <v>0.7</v>
      </c>
      <c r="AD239">
        <v>2.2999999999999998</v>
      </c>
      <c r="AE239" t="str">
        <f>IF(OR(_nba2122[[#This Row],[G]]&gt;=58,nba2122_advanced[[#This Row],[MP]]&gt;=1000),"Y","N")</f>
        <v>N</v>
      </c>
      <c r="AF23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10.349921892762382</v>
      </c>
    </row>
    <row r="240" spans="1:32" x14ac:dyDescent="0.35">
      <c r="A240">
        <v>239</v>
      </c>
      <c r="B240" s="1" t="s">
        <v>307</v>
      </c>
      <c r="C240" s="1" t="s">
        <v>41</v>
      </c>
      <c r="D240">
        <v>35</v>
      </c>
      <c r="E240" s="1" t="s">
        <v>44</v>
      </c>
      <c r="F240">
        <v>54</v>
      </c>
      <c r="G240">
        <v>17</v>
      </c>
      <c r="H240">
        <v>23.2</v>
      </c>
      <c r="I240">
        <v>2.2000000000000002</v>
      </c>
      <c r="J240">
        <v>5.0999999999999996</v>
      </c>
      <c r="K240">
        <v>0.42899999999999999</v>
      </c>
      <c r="L240">
        <v>0.8</v>
      </c>
      <c r="M240">
        <v>2.5</v>
      </c>
      <c r="N240">
        <v>0.30599999999999999</v>
      </c>
      <c r="O240">
        <v>1.4</v>
      </c>
      <c r="P240">
        <v>2.6</v>
      </c>
      <c r="Q240">
        <v>0.54600000000000004</v>
      </c>
      <c r="R240">
        <v>0.504</v>
      </c>
      <c r="S240">
        <v>1.1000000000000001</v>
      </c>
      <c r="T240">
        <v>1.1000000000000001</v>
      </c>
      <c r="U240">
        <v>0.91900000000000004</v>
      </c>
      <c r="V240">
        <v>0.7</v>
      </c>
      <c r="W240">
        <v>2.2000000000000002</v>
      </c>
      <c r="X240">
        <v>2.9</v>
      </c>
      <c r="Y240">
        <v>2.2000000000000002</v>
      </c>
      <c r="Z240">
        <v>0.8</v>
      </c>
      <c r="AA240">
        <v>0.1</v>
      </c>
      <c r="AB240">
        <v>0.8</v>
      </c>
      <c r="AC240">
        <v>1.3</v>
      </c>
      <c r="AD240">
        <v>6.2</v>
      </c>
      <c r="AE240" t="str">
        <f>IF(OR(_nba2122[[#This Row],[G]]&gt;=58,nba2122_advanced[[#This Row],[MP]]&gt;=1000),"Y","N")</f>
        <v>Y</v>
      </c>
      <c r="AF24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5.5824098198766112</v>
      </c>
    </row>
    <row r="241" spans="1:32" x14ac:dyDescent="0.35">
      <c r="A241">
        <v>240</v>
      </c>
      <c r="B241" s="2" t="s">
        <v>308</v>
      </c>
      <c r="C241" s="1" t="s">
        <v>51</v>
      </c>
      <c r="D241">
        <v>26</v>
      </c>
      <c r="E241" s="1" t="s">
        <v>42</v>
      </c>
      <c r="F241">
        <v>19</v>
      </c>
      <c r="G241">
        <v>0</v>
      </c>
      <c r="H241">
        <v>11.2</v>
      </c>
      <c r="I241">
        <v>1.3</v>
      </c>
      <c r="J241">
        <v>2.7</v>
      </c>
      <c r="K241">
        <v>0.46200000000000002</v>
      </c>
      <c r="L241">
        <v>0.7</v>
      </c>
      <c r="M241">
        <v>1.9</v>
      </c>
      <c r="N241">
        <v>0.36099999999999999</v>
      </c>
      <c r="O241">
        <v>0.6</v>
      </c>
      <c r="P241">
        <v>0.8</v>
      </c>
      <c r="Q241">
        <v>0.68799999999999994</v>
      </c>
      <c r="R241">
        <v>0.58699999999999997</v>
      </c>
      <c r="S241">
        <v>0.6</v>
      </c>
      <c r="T241">
        <v>0.7</v>
      </c>
      <c r="U241">
        <v>0.78600000000000003</v>
      </c>
      <c r="V241">
        <v>0.6</v>
      </c>
      <c r="W241">
        <v>1.3</v>
      </c>
      <c r="X241">
        <v>1.8</v>
      </c>
      <c r="Y241">
        <v>0.4</v>
      </c>
      <c r="Z241">
        <v>0.4</v>
      </c>
      <c r="AA241">
        <v>0.2</v>
      </c>
      <c r="AB241">
        <v>0.2</v>
      </c>
      <c r="AC241">
        <v>1.3</v>
      </c>
      <c r="AD241">
        <v>3.8</v>
      </c>
      <c r="AE241" t="str">
        <f>IF(OR(_nba2122[[#This Row],[G]]&gt;=58,nba2122_advanced[[#This Row],[MP]]&gt;=1000),"Y","N")</f>
        <v>N</v>
      </c>
      <c r="AF24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7.6775756128797479</v>
      </c>
    </row>
    <row r="242" spans="1:32" x14ac:dyDescent="0.35">
      <c r="A242">
        <v>241</v>
      </c>
      <c r="B242" s="1" t="s">
        <v>310</v>
      </c>
      <c r="C242" s="1" t="s">
        <v>28</v>
      </c>
      <c r="D242">
        <v>30</v>
      </c>
      <c r="E242" s="1" t="s">
        <v>80</v>
      </c>
      <c r="F242">
        <v>13</v>
      </c>
      <c r="G242">
        <v>1</v>
      </c>
      <c r="H242">
        <v>10.7</v>
      </c>
      <c r="I242">
        <v>0.2</v>
      </c>
      <c r="J242">
        <v>1.5</v>
      </c>
      <c r="K242">
        <v>0.15</v>
      </c>
      <c r="L242">
        <v>0.2</v>
      </c>
      <c r="M242">
        <v>1</v>
      </c>
      <c r="N242">
        <v>0.154</v>
      </c>
      <c r="O242">
        <v>0.1</v>
      </c>
      <c r="P242">
        <v>0.5</v>
      </c>
      <c r="Q242">
        <v>0.14299999999999999</v>
      </c>
      <c r="R242">
        <v>0.2</v>
      </c>
      <c r="S242">
        <v>0</v>
      </c>
      <c r="T242">
        <v>0</v>
      </c>
      <c r="V242">
        <v>0.5</v>
      </c>
      <c r="W242">
        <v>1.3</v>
      </c>
      <c r="X242">
        <v>1.8</v>
      </c>
      <c r="Y242">
        <v>0.9</v>
      </c>
      <c r="Z242">
        <v>0.3</v>
      </c>
      <c r="AA242">
        <v>0.2</v>
      </c>
      <c r="AB242">
        <v>0.1</v>
      </c>
      <c r="AC242">
        <v>1.2</v>
      </c>
      <c r="AD242">
        <v>0.6</v>
      </c>
      <c r="AE242" t="str">
        <f>IF(OR(_nba2122[[#This Row],[G]]&gt;=58,nba2122_advanced[[#This Row],[MP]]&gt;=1000),"Y","N")</f>
        <v>N</v>
      </c>
      <c r="AF24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12.21136328364622</v>
      </c>
    </row>
    <row r="243" spans="1:32" x14ac:dyDescent="0.35">
      <c r="A243">
        <v>242</v>
      </c>
      <c r="B243" s="1" t="s">
        <v>311</v>
      </c>
      <c r="C243" s="1" t="s">
        <v>41</v>
      </c>
      <c r="D243">
        <v>22</v>
      </c>
      <c r="E243" s="1" t="s">
        <v>108</v>
      </c>
      <c r="F243">
        <v>2</v>
      </c>
      <c r="G243">
        <v>0</v>
      </c>
      <c r="H243">
        <v>1</v>
      </c>
      <c r="I243">
        <v>0</v>
      </c>
      <c r="J243">
        <v>0.5</v>
      </c>
      <c r="K243">
        <v>0</v>
      </c>
      <c r="L243">
        <v>0</v>
      </c>
      <c r="M243">
        <v>0</v>
      </c>
      <c r="O243">
        <v>0</v>
      </c>
      <c r="P243">
        <v>0.5</v>
      </c>
      <c r="Q243">
        <v>0</v>
      </c>
      <c r="R243">
        <v>0</v>
      </c>
      <c r="S243">
        <v>0</v>
      </c>
      <c r="T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0.5</v>
      </c>
      <c r="AC243">
        <v>0</v>
      </c>
      <c r="AD243">
        <v>0</v>
      </c>
      <c r="AE243" t="str">
        <f>IF(OR(_nba2122[[#This Row],[G]]&gt;=58,nba2122_advanced[[#This Row],[MP]]&gt;=1000),"Y","N")</f>
        <v>N</v>
      </c>
      <c r="AF24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25.068161593267074</v>
      </c>
    </row>
    <row r="244" spans="1:32" x14ac:dyDescent="0.35">
      <c r="A244">
        <v>243</v>
      </c>
      <c r="B244" s="1" t="s">
        <v>312</v>
      </c>
      <c r="C244" s="1" t="s">
        <v>51</v>
      </c>
      <c r="D244">
        <v>22</v>
      </c>
      <c r="E244" s="1" t="s">
        <v>96</v>
      </c>
      <c r="F244">
        <v>7</v>
      </c>
      <c r="G244">
        <v>5</v>
      </c>
      <c r="H244">
        <v>34.299999999999997</v>
      </c>
      <c r="I244">
        <v>6.3</v>
      </c>
      <c r="J244">
        <v>12.9</v>
      </c>
      <c r="K244">
        <v>0.48899999999999999</v>
      </c>
      <c r="L244">
        <v>1.3</v>
      </c>
      <c r="M244">
        <v>3.6</v>
      </c>
      <c r="N244">
        <v>0.36</v>
      </c>
      <c r="O244">
        <v>5</v>
      </c>
      <c r="P244">
        <v>9.3000000000000007</v>
      </c>
      <c r="Q244">
        <v>0.53800000000000003</v>
      </c>
      <c r="R244">
        <v>0.53900000000000003</v>
      </c>
      <c r="S244">
        <v>0.9</v>
      </c>
      <c r="T244">
        <v>2</v>
      </c>
      <c r="U244">
        <v>0.42899999999999999</v>
      </c>
      <c r="V244">
        <v>4.3</v>
      </c>
      <c r="W244">
        <v>7.7</v>
      </c>
      <c r="X244">
        <v>12</v>
      </c>
      <c r="Y244">
        <v>2.4</v>
      </c>
      <c r="Z244">
        <v>0.9</v>
      </c>
      <c r="AA244">
        <v>0.7</v>
      </c>
      <c r="AB244">
        <v>1.1000000000000001</v>
      </c>
      <c r="AC244">
        <v>2</v>
      </c>
      <c r="AD244">
        <v>14.7</v>
      </c>
      <c r="AE244" t="str">
        <f>IF(OR(_nba2122[[#This Row],[G]]&gt;=58,nba2122_advanced[[#This Row],[MP]]&gt;=1000),"Y","N")</f>
        <v>N</v>
      </c>
      <c r="AF24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5.7225602507853441</v>
      </c>
    </row>
    <row r="245" spans="1:32" x14ac:dyDescent="0.35">
      <c r="A245">
        <v>244</v>
      </c>
      <c r="B245" s="1" t="s">
        <v>313</v>
      </c>
      <c r="C245" s="1" t="s">
        <v>48</v>
      </c>
      <c r="D245">
        <v>25</v>
      </c>
      <c r="E245" s="1" t="s">
        <v>42</v>
      </c>
      <c r="F245">
        <v>63</v>
      </c>
      <c r="G245">
        <v>15</v>
      </c>
      <c r="H245">
        <v>16.2</v>
      </c>
      <c r="I245">
        <v>2.4</v>
      </c>
      <c r="J245">
        <v>5.4</v>
      </c>
      <c r="K245">
        <v>0.44700000000000001</v>
      </c>
      <c r="L245">
        <v>0.6</v>
      </c>
      <c r="M245">
        <v>1.6</v>
      </c>
      <c r="N245">
        <v>0.379</v>
      </c>
      <c r="O245">
        <v>1.8</v>
      </c>
      <c r="P245">
        <v>3.7</v>
      </c>
      <c r="Q245">
        <v>0.47699999999999998</v>
      </c>
      <c r="R245">
        <v>0.504</v>
      </c>
      <c r="S245">
        <v>0.9</v>
      </c>
      <c r="T245">
        <v>1.1000000000000001</v>
      </c>
      <c r="U245">
        <v>0.86799999999999999</v>
      </c>
      <c r="V245">
        <v>0.4</v>
      </c>
      <c r="W245">
        <v>1.6</v>
      </c>
      <c r="X245">
        <v>1.9</v>
      </c>
      <c r="Y245">
        <v>2.4</v>
      </c>
      <c r="Z245">
        <v>0.7</v>
      </c>
      <c r="AA245">
        <v>0.1</v>
      </c>
      <c r="AB245">
        <v>1.1000000000000001</v>
      </c>
      <c r="AC245">
        <v>1.5</v>
      </c>
      <c r="AD245">
        <v>6.3</v>
      </c>
      <c r="AE245" t="str">
        <f>IF(OR(_nba2122[[#This Row],[G]]&gt;=58,nba2122_advanced[[#This Row],[MP]]&gt;=1000),"Y","N")</f>
        <v>Y</v>
      </c>
      <c r="AF24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5.5613590028226083</v>
      </c>
    </row>
    <row r="246" spans="1:32" x14ac:dyDescent="0.35">
      <c r="A246">
        <v>245</v>
      </c>
      <c r="B246" s="1" t="s">
        <v>314</v>
      </c>
      <c r="C246" s="1" t="s">
        <v>48</v>
      </c>
      <c r="D246">
        <v>31</v>
      </c>
      <c r="E246" s="1" t="s">
        <v>44</v>
      </c>
      <c r="F246">
        <v>67</v>
      </c>
      <c r="G246">
        <v>64</v>
      </c>
      <c r="H246">
        <v>32.9</v>
      </c>
      <c r="I246">
        <v>7.1</v>
      </c>
      <c r="J246">
        <v>14.2</v>
      </c>
      <c r="K246">
        <v>0.501</v>
      </c>
      <c r="L246">
        <v>2</v>
      </c>
      <c r="M246">
        <v>4.8</v>
      </c>
      <c r="N246">
        <v>0.41099999999999998</v>
      </c>
      <c r="O246">
        <v>5.2</v>
      </c>
      <c r="P246">
        <v>9.4</v>
      </c>
      <c r="Q246">
        <v>0.54700000000000004</v>
      </c>
      <c r="R246">
        <v>0.56999999999999995</v>
      </c>
      <c r="S246">
        <v>2</v>
      </c>
      <c r="T246">
        <v>2.7</v>
      </c>
      <c r="U246">
        <v>0.76100000000000001</v>
      </c>
      <c r="V246">
        <v>1</v>
      </c>
      <c r="W246">
        <v>3.5</v>
      </c>
      <c r="X246">
        <v>4.5</v>
      </c>
      <c r="Y246">
        <v>6.8</v>
      </c>
      <c r="Z246">
        <v>1.6</v>
      </c>
      <c r="AA246">
        <v>0.4</v>
      </c>
      <c r="AB246">
        <v>2.7</v>
      </c>
      <c r="AC246">
        <v>2</v>
      </c>
      <c r="AD246">
        <v>18.3</v>
      </c>
      <c r="AE246" t="str">
        <f>IF(OR(_nba2122[[#This Row],[G]]&gt;=58,nba2122_advanced[[#This Row],[MP]]&gt;=1000),"Y","N")</f>
        <v>Y</v>
      </c>
      <c r="AF24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7.4798684635080352</v>
      </c>
    </row>
    <row r="247" spans="1:32" x14ac:dyDescent="0.35">
      <c r="A247">
        <v>246</v>
      </c>
      <c r="B247" s="2" t="s">
        <v>315</v>
      </c>
      <c r="C247" s="1" t="s">
        <v>51</v>
      </c>
      <c r="D247">
        <v>32</v>
      </c>
      <c r="E247" s="1" t="s">
        <v>42</v>
      </c>
      <c r="F247">
        <v>74</v>
      </c>
      <c r="G247">
        <v>65</v>
      </c>
      <c r="H247">
        <v>27.8</v>
      </c>
      <c r="I247">
        <v>3.5</v>
      </c>
      <c r="J247">
        <v>8.9</v>
      </c>
      <c r="K247">
        <v>0.39400000000000002</v>
      </c>
      <c r="L247">
        <v>2.4</v>
      </c>
      <c r="M247">
        <v>6.5</v>
      </c>
      <c r="N247">
        <v>0.36699999999999999</v>
      </c>
      <c r="O247">
        <v>1.1000000000000001</v>
      </c>
      <c r="P247">
        <v>2.4</v>
      </c>
      <c r="Q247">
        <v>0.46700000000000003</v>
      </c>
      <c r="R247">
        <v>0.52800000000000002</v>
      </c>
      <c r="S247">
        <v>0.7</v>
      </c>
      <c r="T247">
        <v>0.8</v>
      </c>
      <c r="U247">
        <v>0.80600000000000005</v>
      </c>
      <c r="V247">
        <v>0.4</v>
      </c>
      <c r="W247">
        <v>2.2000000000000002</v>
      </c>
      <c r="X247">
        <v>2.6</v>
      </c>
      <c r="Y247">
        <v>1.7</v>
      </c>
      <c r="Z247">
        <v>0.8</v>
      </c>
      <c r="AA247">
        <v>0.4</v>
      </c>
      <c r="AB247">
        <v>0.9</v>
      </c>
      <c r="AC247">
        <v>2.1</v>
      </c>
      <c r="AD247">
        <v>10.1</v>
      </c>
      <c r="AE247" t="str">
        <f>IF(OR(_nba2122[[#This Row],[G]]&gt;=58,nba2122_advanced[[#This Row],[MP]]&gt;=1000),"Y","N")</f>
        <v>Y</v>
      </c>
      <c r="AF24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5.5417014464723175</v>
      </c>
    </row>
    <row r="248" spans="1:32" x14ac:dyDescent="0.35">
      <c r="A248">
        <v>247</v>
      </c>
      <c r="B248" s="1" t="s">
        <v>316</v>
      </c>
      <c r="C248" s="1" t="s">
        <v>31</v>
      </c>
      <c r="D248">
        <v>28</v>
      </c>
      <c r="E248" s="1" t="s">
        <v>82</v>
      </c>
      <c r="F248">
        <v>45</v>
      </c>
      <c r="G248">
        <v>37</v>
      </c>
      <c r="H248">
        <v>23.9</v>
      </c>
      <c r="I248">
        <v>4.4000000000000004</v>
      </c>
      <c r="J248">
        <v>6.7</v>
      </c>
      <c r="K248">
        <v>0.66</v>
      </c>
      <c r="L248">
        <v>0</v>
      </c>
      <c r="M248">
        <v>0.1</v>
      </c>
      <c r="N248">
        <v>0.4</v>
      </c>
      <c r="O248">
        <v>4.4000000000000004</v>
      </c>
      <c r="P248">
        <v>6.6</v>
      </c>
      <c r="Q248">
        <v>0.66400000000000003</v>
      </c>
      <c r="R248">
        <v>0.66300000000000003</v>
      </c>
      <c r="S248">
        <v>1.6</v>
      </c>
      <c r="T248">
        <v>2</v>
      </c>
      <c r="U248">
        <v>0.77800000000000002</v>
      </c>
      <c r="V248">
        <v>2.1</v>
      </c>
      <c r="W248">
        <v>5</v>
      </c>
      <c r="X248">
        <v>7</v>
      </c>
      <c r="Y248">
        <v>1.1000000000000001</v>
      </c>
      <c r="Z248">
        <v>0.4</v>
      </c>
      <c r="AA248">
        <v>0.9</v>
      </c>
      <c r="AB248">
        <v>1.2</v>
      </c>
      <c r="AC248">
        <v>2.8</v>
      </c>
      <c r="AD248">
        <v>10.4</v>
      </c>
      <c r="AE248" t="str">
        <f>IF(OR(_nba2122[[#This Row],[G]]&gt;=58,nba2122_advanced[[#This Row],[MP]]&gt;=1000),"Y","N")</f>
        <v>Y</v>
      </c>
      <c r="AF24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8.1247070437467972</v>
      </c>
    </row>
    <row r="249" spans="1:32" x14ac:dyDescent="0.35">
      <c r="A249">
        <v>248</v>
      </c>
      <c r="B249" s="2" t="s">
        <v>317</v>
      </c>
      <c r="C249" s="1" t="s">
        <v>51</v>
      </c>
      <c r="D249">
        <v>29</v>
      </c>
      <c r="E249" s="1" t="s">
        <v>42</v>
      </c>
      <c r="F249">
        <v>52</v>
      </c>
      <c r="G249">
        <v>0</v>
      </c>
      <c r="H249">
        <v>13.6</v>
      </c>
      <c r="I249">
        <v>1.1000000000000001</v>
      </c>
      <c r="J249">
        <v>3</v>
      </c>
      <c r="K249">
        <v>0.36899999999999999</v>
      </c>
      <c r="L249">
        <v>0.6</v>
      </c>
      <c r="M249">
        <v>1.8</v>
      </c>
      <c r="N249">
        <v>0.33</v>
      </c>
      <c r="O249">
        <v>0.5</v>
      </c>
      <c r="P249">
        <v>1.3</v>
      </c>
      <c r="Q249">
        <v>0.42399999999999999</v>
      </c>
      <c r="R249">
        <v>0.46500000000000002</v>
      </c>
      <c r="S249">
        <v>0.3</v>
      </c>
      <c r="T249">
        <v>0.4</v>
      </c>
      <c r="U249">
        <v>0.89500000000000002</v>
      </c>
      <c r="V249">
        <v>0.3</v>
      </c>
      <c r="W249">
        <v>1.2</v>
      </c>
      <c r="X249">
        <v>1.5</v>
      </c>
      <c r="Y249">
        <v>0.7</v>
      </c>
      <c r="Z249">
        <v>0.3</v>
      </c>
      <c r="AA249">
        <v>0.1</v>
      </c>
      <c r="AB249">
        <v>0.2</v>
      </c>
      <c r="AC249">
        <v>0.6</v>
      </c>
      <c r="AD249">
        <v>3.1</v>
      </c>
      <c r="AE249" t="str">
        <f>IF(OR(_nba2122[[#This Row],[G]]&gt;=58,nba2122_advanced[[#This Row],[MP]]&gt;=1000),"Y","N")</f>
        <v>N</v>
      </c>
      <c r="AF24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10.071851547540623</v>
      </c>
    </row>
    <row r="250" spans="1:32" x14ac:dyDescent="0.35">
      <c r="A250">
        <v>249</v>
      </c>
      <c r="B250" s="1" t="s">
        <v>318</v>
      </c>
      <c r="C250" s="1" t="s">
        <v>41</v>
      </c>
      <c r="D250">
        <v>32</v>
      </c>
      <c r="E250" s="1" t="s">
        <v>96</v>
      </c>
      <c r="F250">
        <v>1</v>
      </c>
      <c r="G250">
        <v>0</v>
      </c>
      <c r="H250">
        <v>18</v>
      </c>
      <c r="I250">
        <v>2</v>
      </c>
      <c r="J250">
        <v>4</v>
      </c>
      <c r="K250">
        <v>0.5</v>
      </c>
      <c r="L250">
        <v>0</v>
      </c>
      <c r="M250">
        <v>1</v>
      </c>
      <c r="N250">
        <v>0</v>
      </c>
      <c r="O250">
        <v>2</v>
      </c>
      <c r="P250">
        <v>3</v>
      </c>
      <c r="Q250">
        <v>0.66700000000000004</v>
      </c>
      <c r="R250">
        <v>0.5</v>
      </c>
      <c r="S250">
        <v>0</v>
      </c>
      <c r="T250">
        <v>0</v>
      </c>
      <c r="V250">
        <v>0</v>
      </c>
      <c r="W250">
        <v>1</v>
      </c>
      <c r="X250">
        <v>1</v>
      </c>
      <c r="Y250">
        <v>1</v>
      </c>
      <c r="Z250">
        <v>0</v>
      </c>
      <c r="AA250">
        <v>0</v>
      </c>
      <c r="AB250">
        <v>2</v>
      </c>
      <c r="AC250">
        <v>1</v>
      </c>
      <c r="AD250">
        <v>4</v>
      </c>
      <c r="AE250" t="str">
        <f>IF(OR(_nba2122[[#This Row],[G]]&gt;=58,nba2122_advanced[[#This Row],[MP]]&gt;=1000),"Y","N")</f>
        <v>N</v>
      </c>
      <c r="AF25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14.865334280101699</v>
      </c>
    </row>
    <row r="251" spans="1:32" x14ac:dyDescent="0.35">
      <c r="A251">
        <v>250</v>
      </c>
      <c r="B251" s="1" t="s">
        <v>319</v>
      </c>
      <c r="C251" s="1" t="s">
        <v>31</v>
      </c>
      <c r="D251">
        <v>35</v>
      </c>
      <c r="E251" s="1" t="s">
        <v>140</v>
      </c>
      <c r="F251">
        <v>69</v>
      </c>
      <c r="G251">
        <v>69</v>
      </c>
      <c r="H251">
        <v>29.1</v>
      </c>
      <c r="I251">
        <v>3.9</v>
      </c>
      <c r="J251">
        <v>8.1999999999999993</v>
      </c>
      <c r="K251">
        <v>0.46700000000000003</v>
      </c>
      <c r="L251">
        <v>1.3</v>
      </c>
      <c r="M251">
        <v>3.8</v>
      </c>
      <c r="N251">
        <v>0.33600000000000002</v>
      </c>
      <c r="O251">
        <v>2.6</v>
      </c>
      <c r="P251">
        <v>4.4000000000000004</v>
      </c>
      <c r="Q251">
        <v>0.58199999999999996</v>
      </c>
      <c r="R251">
        <v>0.54600000000000004</v>
      </c>
      <c r="S251">
        <v>1.2</v>
      </c>
      <c r="T251">
        <v>1.4</v>
      </c>
      <c r="U251">
        <v>0.84199999999999997</v>
      </c>
      <c r="V251">
        <v>1.6</v>
      </c>
      <c r="W251">
        <v>6.1</v>
      </c>
      <c r="X251">
        <v>7.7</v>
      </c>
      <c r="Y251">
        <v>3.4</v>
      </c>
      <c r="Z251">
        <v>0.7</v>
      </c>
      <c r="AA251">
        <v>1.3</v>
      </c>
      <c r="AB251">
        <v>0.9</v>
      </c>
      <c r="AC251">
        <v>1.9</v>
      </c>
      <c r="AD251">
        <v>10.199999999999999</v>
      </c>
      <c r="AE251" t="str">
        <f>IF(OR(_nba2122[[#This Row],[G]]&gt;=58,nba2122_advanced[[#This Row],[MP]]&gt;=1000),"Y","N")</f>
        <v>Y</v>
      </c>
      <c r="AF25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6.4257615630774065</v>
      </c>
    </row>
    <row r="252" spans="1:32" x14ac:dyDescent="0.35">
      <c r="A252">
        <v>251</v>
      </c>
      <c r="B252" s="1" t="s">
        <v>320</v>
      </c>
      <c r="C252" s="1" t="s">
        <v>41</v>
      </c>
      <c r="D252">
        <v>21</v>
      </c>
      <c r="E252" s="1" t="s">
        <v>56</v>
      </c>
      <c r="F252">
        <v>60</v>
      </c>
      <c r="G252">
        <v>19</v>
      </c>
      <c r="H252">
        <v>25.2</v>
      </c>
      <c r="I252">
        <v>3.7</v>
      </c>
      <c r="J252">
        <v>9</v>
      </c>
      <c r="K252">
        <v>0.41599999999999998</v>
      </c>
      <c r="L252">
        <v>0.8</v>
      </c>
      <c r="M252">
        <v>3</v>
      </c>
      <c r="N252">
        <v>0.26900000000000002</v>
      </c>
      <c r="O252">
        <v>2.9</v>
      </c>
      <c r="P252">
        <v>5.9</v>
      </c>
      <c r="Q252">
        <v>0.49199999999999999</v>
      </c>
      <c r="R252">
        <v>0.46200000000000002</v>
      </c>
      <c r="S252">
        <v>1.7</v>
      </c>
      <c r="T252">
        <v>2.1</v>
      </c>
      <c r="U252">
        <v>0.8</v>
      </c>
      <c r="V252">
        <v>0.6</v>
      </c>
      <c r="W252">
        <v>2.6</v>
      </c>
      <c r="X252">
        <v>3.2</v>
      </c>
      <c r="Y252">
        <v>2.7</v>
      </c>
      <c r="Z252">
        <v>1</v>
      </c>
      <c r="AA252">
        <v>0.5</v>
      </c>
      <c r="AB252">
        <v>1.4</v>
      </c>
      <c r="AC252">
        <v>2.5</v>
      </c>
      <c r="AD252">
        <v>10</v>
      </c>
      <c r="AE252" t="str">
        <f>IF(OR(_nba2122[[#This Row],[G]]&gt;=58,nba2122_advanced[[#This Row],[MP]]&gt;=1000),"Y","N")</f>
        <v>Y</v>
      </c>
      <c r="AF25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2.7330382323868982</v>
      </c>
    </row>
    <row r="253" spans="1:32" x14ac:dyDescent="0.35">
      <c r="A253">
        <v>252</v>
      </c>
      <c r="B253" s="1" t="s">
        <v>321</v>
      </c>
      <c r="C253" s="1" t="s">
        <v>51</v>
      </c>
      <c r="D253">
        <v>28</v>
      </c>
      <c r="E253" s="1" t="s">
        <v>42</v>
      </c>
      <c r="F253">
        <v>42</v>
      </c>
      <c r="G253">
        <v>7</v>
      </c>
      <c r="H253">
        <v>17.3</v>
      </c>
      <c r="I253">
        <v>1.9</v>
      </c>
      <c r="J253">
        <v>4.7</v>
      </c>
      <c r="K253">
        <v>0.40400000000000003</v>
      </c>
      <c r="L253">
        <v>1</v>
      </c>
      <c r="M253">
        <v>2.8</v>
      </c>
      <c r="N253">
        <v>0.376</v>
      </c>
      <c r="O253">
        <v>0.9</v>
      </c>
      <c r="P253">
        <v>1.9</v>
      </c>
      <c r="Q253">
        <v>0.44400000000000001</v>
      </c>
      <c r="R253">
        <v>0.51500000000000001</v>
      </c>
      <c r="S253">
        <v>1</v>
      </c>
      <c r="T253">
        <v>1.4</v>
      </c>
      <c r="U253">
        <v>0.75900000000000001</v>
      </c>
      <c r="V253">
        <v>0.4</v>
      </c>
      <c r="W253">
        <v>2.2000000000000002</v>
      </c>
      <c r="X253">
        <v>2.6</v>
      </c>
      <c r="Y253">
        <v>1</v>
      </c>
      <c r="Z253">
        <v>0.5</v>
      </c>
      <c r="AA253">
        <v>0.4</v>
      </c>
      <c r="AB253">
        <v>0.8</v>
      </c>
      <c r="AC253">
        <v>1.2</v>
      </c>
      <c r="AD253">
        <v>5.9</v>
      </c>
      <c r="AE253" t="str">
        <f>IF(OR(_nba2122[[#This Row],[G]]&gt;=58,nba2122_advanced[[#This Row],[MP]]&gt;=1000),"Y","N")</f>
        <v>N</v>
      </c>
      <c r="AF25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5.5710868756476266</v>
      </c>
    </row>
    <row r="254" spans="1:32" x14ac:dyDescent="0.35">
      <c r="A254">
        <v>253</v>
      </c>
      <c r="B254" s="1" t="s">
        <v>322</v>
      </c>
      <c r="C254" s="1" t="s">
        <v>31</v>
      </c>
      <c r="D254">
        <v>36</v>
      </c>
      <c r="E254" s="1" t="s">
        <v>56</v>
      </c>
      <c r="F254">
        <v>60</v>
      </c>
      <c r="G254">
        <v>27</v>
      </c>
      <c r="H254">
        <v>16.2</v>
      </c>
      <c r="I254">
        <v>2.2000000000000002</v>
      </c>
      <c r="J254">
        <v>3.7</v>
      </c>
      <c r="K254">
        <v>0.61199999999999999</v>
      </c>
      <c r="L254">
        <v>0.1</v>
      </c>
      <c r="M254">
        <v>0.3</v>
      </c>
      <c r="N254">
        <v>0.53300000000000003</v>
      </c>
      <c r="O254">
        <v>2.1</v>
      </c>
      <c r="P254">
        <v>3.4</v>
      </c>
      <c r="Q254">
        <v>0.61799999999999999</v>
      </c>
      <c r="R254">
        <v>0.63</v>
      </c>
      <c r="S254">
        <v>1.6</v>
      </c>
      <c r="T254">
        <v>2.4</v>
      </c>
      <c r="U254">
        <v>0.65800000000000003</v>
      </c>
      <c r="V254">
        <v>2</v>
      </c>
      <c r="W254">
        <v>4</v>
      </c>
      <c r="X254">
        <v>5.9</v>
      </c>
      <c r="Y254">
        <v>0.6</v>
      </c>
      <c r="Z254">
        <v>0.6</v>
      </c>
      <c r="AA254">
        <v>0.6</v>
      </c>
      <c r="AB254">
        <v>0.8</v>
      </c>
      <c r="AC254">
        <v>1.9</v>
      </c>
      <c r="AD254">
        <v>6.2</v>
      </c>
      <c r="AE254" t="str">
        <f>IF(OR(_nba2122[[#This Row],[G]]&gt;=58,nba2122_advanced[[#This Row],[MP]]&gt;=1000),"Y","N")</f>
        <v>Y</v>
      </c>
      <c r="AF25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9.4482893173858002</v>
      </c>
    </row>
    <row r="255" spans="1:32" x14ac:dyDescent="0.35">
      <c r="A255">
        <v>254</v>
      </c>
      <c r="B255" s="1" t="s">
        <v>323</v>
      </c>
      <c r="C255" s="1" t="s">
        <v>41</v>
      </c>
      <c r="D255">
        <v>22</v>
      </c>
      <c r="E255" s="1" t="s">
        <v>86</v>
      </c>
      <c r="F255">
        <v>31</v>
      </c>
      <c r="G255">
        <v>0</v>
      </c>
      <c r="H255">
        <v>5.7</v>
      </c>
      <c r="I255">
        <v>1.3</v>
      </c>
      <c r="J255">
        <v>3.3</v>
      </c>
      <c r="K255">
        <v>0.38600000000000001</v>
      </c>
      <c r="L255">
        <v>0.9</v>
      </c>
      <c r="M255">
        <v>2.2999999999999998</v>
      </c>
      <c r="N255">
        <v>0.4</v>
      </c>
      <c r="O255">
        <v>0.4</v>
      </c>
      <c r="P255">
        <v>1</v>
      </c>
      <c r="Q255">
        <v>0.35499999999999998</v>
      </c>
      <c r="R255">
        <v>0.52500000000000002</v>
      </c>
      <c r="S255">
        <v>0.6</v>
      </c>
      <c r="T255">
        <v>0.7</v>
      </c>
      <c r="U255">
        <v>0.87</v>
      </c>
      <c r="V255">
        <v>0.1</v>
      </c>
      <c r="W255">
        <v>0.3</v>
      </c>
      <c r="X255">
        <v>0.4</v>
      </c>
      <c r="Y255">
        <v>0.2</v>
      </c>
      <c r="Z255">
        <v>0.3</v>
      </c>
      <c r="AA255">
        <v>0</v>
      </c>
      <c r="AB255">
        <v>0.2</v>
      </c>
      <c r="AC255">
        <v>0.5</v>
      </c>
      <c r="AD255">
        <v>4.0999999999999996</v>
      </c>
      <c r="AE255" t="str">
        <f>IF(OR(_nba2122[[#This Row],[G]]&gt;=58,nba2122_advanced[[#This Row],[MP]]&gt;=1000),"Y","N")</f>
        <v>N</v>
      </c>
      <c r="AF25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10.863163658457756</v>
      </c>
    </row>
    <row r="256" spans="1:32" x14ac:dyDescent="0.35">
      <c r="A256">
        <v>255</v>
      </c>
      <c r="B256" s="1" t="s">
        <v>324</v>
      </c>
      <c r="C256" s="1" t="s">
        <v>41</v>
      </c>
      <c r="D256">
        <v>23</v>
      </c>
      <c r="E256" s="1" t="s">
        <v>80</v>
      </c>
      <c r="F256">
        <v>74</v>
      </c>
      <c r="G256">
        <v>60</v>
      </c>
      <c r="H256">
        <v>29.6</v>
      </c>
      <c r="I256">
        <v>4.7</v>
      </c>
      <c r="J256">
        <v>10.3</v>
      </c>
      <c r="K256">
        <v>0.45400000000000001</v>
      </c>
      <c r="L256">
        <v>2.2000000000000002</v>
      </c>
      <c r="M256">
        <v>5.6</v>
      </c>
      <c r="N256">
        <v>0.38900000000000001</v>
      </c>
      <c r="O256">
        <v>2.5</v>
      </c>
      <c r="P256">
        <v>4.7</v>
      </c>
      <c r="Q256">
        <v>0.53</v>
      </c>
      <c r="R256">
        <v>0.55900000000000005</v>
      </c>
      <c r="S256">
        <v>0.6</v>
      </c>
      <c r="T256">
        <v>0.7</v>
      </c>
      <c r="U256">
        <v>0.80800000000000005</v>
      </c>
      <c r="V256">
        <v>0.4</v>
      </c>
      <c r="W256">
        <v>3</v>
      </c>
      <c r="X256">
        <v>3.4</v>
      </c>
      <c r="Y256">
        <v>2.7</v>
      </c>
      <c r="Z256">
        <v>0.7</v>
      </c>
      <c r="AA256">
        <v>0.4</v>
      </c>
      <c r="AB256">
        <v>1.2</v>
      </c>
      <c r="AC256">
        <v>2.5</v>
      </c>
      <c r="AD256">
        <v>12.1</v>
      </c>
      <c r="AE256" t="str">
        <f>IF(OR(_nba2122[[#This Row],[G]]&gt;=58,nba2122_advanced[[#This Row],[MP]]&gt;=1000),"Y","N")</f>
        <v>Y</v>
      </c>
      <c r="AF25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3.9604132953752647</v>
      </c>
    </row>
    <row r="257" spans="1:32" x14ac:dyDescent="0.35">
      <c r="A257">
        <v>256</v>
      </c>
      <c r="B257" s="1" t="s">
        <v>325</v>
      </c>
      <c r="C257" s="1" t="s">
        <v>31</v>
      </c>
      <c r="D257">
        <v>23</v>
      </c>
      <c r="E257" s="1" t="s">
        <v>56</v>
      </c>
      <c r="F257">
        <v>4</v>
      </c>
      <c r="G257">
        <v>0</v>
      </c>
      <c r="H257">
        <v>5</v>
      </c>
      <c r="I257">
        <v>0</v>
      </c>
      <c r="J257">
        <v>0.8</v>
      </c>
      <c r="K257">
        <v>0</v>
      </c>
      <c r="L257">
        <v>0</v>
      </c>
      <c r="M257">
        <v>0.5</v>
      </c>
      <c r="N257">
        <v>0</v>
      </c>
      <c r="O257">
        <v>0</v>
      </c>
      <c r="P257">
        <v>0.3</v>
      </c>
      <c r="Q257">
        <v>0</v>
      </c>
      <c r="R257">
        <v>0</v>
      </c>
      <c r="S257">
        <v>0</v>
      </c>
      <c r="T257">
        <v>0</v>
      </c>
      <c r="V257">
        <v>0.3</v>
      </c>
      <c r="W257">
        <v>0.8</v>
      </c>
      <c r="X257">
        <v>1</v>
      </c>
      <c r="Y257">
        <v>0.3</v>
      </c>
      <c r="Z257">
        <v>0.3</v>
      </c>
      <c r="AA257">
        <v>0.3</v>
      </c>
      <c r="AB257">
        <v>0.3</v>
      </c>
      <c r="AC257">
        <v>0.3</v>
      </c>
      <c r="AD257">
        <v>0</v>
      </c>
      <c r="AE257" t="str">
        <f>IF(OR(_nba2122[[#This Row],[G]]&gt;=58,nba2122_advanced[[#This Row],[MP]]&gt;=1000),"Y","N")</f>
        <v>N</v>
      </c>
      <c r="AF25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16.487577359956127</v>
      </c>
    </row>
    <row r="258" spans="1:32" x14ac:dyDescent="0.35">
      <c r="A258">
        <v>257</v>
      </c>
      <c r="B258" s="2" t="s">
        <v>326</v>
      </c>
      <c r="C258" s="1" t="s">
        <v>41</v>
      </c>
      <c r="D258">
        <v>23</v>
      </c>
      <c r="E258" s="1" t="s">
        <v>42</v>
      </c>
      <c r="F258">
        <v>36</v>
      </c>
      <c r="G258">
        <v>4</v>
      </c>
      <c r="H258">
        <v>12.1</v>
      </c>
      <c r="I258">
        <v>1.3</v>
      </c>
      <c r="J258">
        <v>4</v>
      </c>
      <c r="K258">
        <v>0.32600000000000001</v>
      </c>
      <c r="L258">
        <v>0.7</v>
      </c>
      <c r="M258">
        <v>2.6</v>
      </c>
      <c r="N258">
        <v>0.26300000000000001</v>
      </c>
      <c r="O258">
        <v>0.6</v>
      </c>
      <c r="P258">
        <v>1.4</v>
      </c>
      <c r="Q258">
        <v>0.44900000000000001</v>
      </c>
      <c r="R258">
        <v>0.41299999999999998</v>
      </c>
      <c r="S258">
        <v>0.2</v>
      </c>
      <c r="T258">
        <v>0.3</v>
      </c>
      <c r="U258">
        <v>0.77800000000000002</v>
      </c>
      <c r="V258">
        <v>0.2</v>
      </c>
      <c r="W258">
        <v>1.4</v>
      </c>
      <c r="X258">
        <v>1.6</v>
      </c>
      <c r="Y258">
        <v>0.6</v>
      </c>
      <c r="Z258">
        <v>0.4</v>
      </c>
      <c r="AA258">
        <v>0.2</v>
      </c>
      <c r="AB258">
        <v>0.5</v>
      </c>
      <c r="AC258">
        <v>1.1000000000000001</v>
      </c>
      <c r="AD258">
        <v>3.5</v>
      </c>
      <c r="AE258" t="str">
        <f>IF(OR(_nba2122[[#This Row],[G]]&gt;=58,nba2122_advanced[[#This Row],[MP]]&gt;=1000),"Y","N")</f>
        <v>N</v>
      </c>
      <c r="AF25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8.4271115788784456</v>
      </c>
    </row>
    <row r="259" spans="1:32" x14ac:dyDescent="0.35">
      <c r="A259">
        <v>258</v>
      </c>
      <c r="B259" s="1" t="s">
        <v>327</v>
      </c>
      <c r="C259" s="1" t="s">
        <v>51</v>
      </c>
      <c r="D259">
        <v>22</v>
      </c>
      <c r="E259" s="1" t="s">
        <v>61</v>
      </c>
      <c r="F259">
        <v>2</v>
      </c>
      <c r="G259">
        <v>0</v>
      </c>
      <c r="H259">
        <v>4</v>
      </c>
      <c r="I259">
        <v>0</v>
      </c>
      <c r="J259">
        <v>1</v>
      </c>
      <c r="K259">
        <v>0</v>
      </c>
      <c r="L259">
        <v>0</v>
      </c>
      <c r="M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V259">
        <v>0.5</v>
      </c>
      <c r="W259">
        <v>0</v>
      </c>
      <c r="X259">
        <v>0.5</v>
      </c>
      <c r="Y259">
        <v>0.5</v>
      </c>
      <c r="Z259">
        <v>0.5</v>
      </c>
      <c r="AA259">
        <v>0</v>
      </c>
      <c r="AB259">
        <v>0.5</v>
      </c>
      <c r="AC259">
        <v>0.5</v>
      </c>
      <c r="AD259">
        <v>0</v>
      </c>
      <c r="AE259" t="str">
        <f>IF(OR(_nba2122[[#This Row],[G]]&gt;=58,nba2122_advanced[[#This Row],[MP]]&gt;=1000),"Y","N")</f>
        <v>N</v>
      </c>
      <c r="AF25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19.171607739074361</v>
      </c>
    </row>
    <row r="260" spans="1:32" x14ac:dyDescent="0.35">
      <c r="A260">
        <v>259</v>
      </c>
      <c r="B260" s="1" t="s">
        <v>328</v>
      </c>
      <c r="C260" s="1" t="s">
        <v>51</v>
      </c>
      <c r="D260">
        <v>24</v>
      </c>
      <c r="E260" s="1" t="s">
        <v>80</v>
      </c>
      <c r="F260">
        <v>53</v>
      </c>
      <c r="G260">
        <v>52</v>
      </c>
      <c r="H260">
        <v>29.8</v>
      </c>
      <c r="I260">
        <v>4.8</v>
      </c>
      <c r="J260">
        <v>10.8</v>
      </c>
      <c r="K260">
        <v>0.442</v>
      </c>
      <c r="L260">
        <v>1.4</v>
      </c>
      <c r="M260">
        <v>3.7</v>
      </c>
      <c r="N260">
        <v>0.379</v>
      </c>
      <c r="O260">
        <v>3.4</v>
      </c>
      <c r="P260">
        <v>7.2</v>
      </c>
      <c r="Q260">
        <v>0.47399999999999998</v>
      </c>
      <c r="R260">
        <v>0.50600000000000001</v>
      </c>
      <c r="S260">
        <v>2.4</v>
      </c>
      <c r="T260">
        <v>3.1</v>
      </c>
      <c r="U260">
        <v>0.76500000000000001</v>
      </c>
      <c r="V260">
        <v>0.5</v>
      </c>
      <c r="W260">
        <v>2.8</v>
      </c>
      <c r="X260">
        <v>3.3</v>
      </c>
      <c r="Y260">
        <v>1.3</v>
      </c>
      <c r="Z260">
        <v>0.7</v>
      </c>
      <c r="AA260">
        <v>0.4</v>
      </c>
      <c r="AB260">
        <v>1.3</v>
      </c>
      <c r="AC260">
        <v>2.9</v>
      </c>
      <c r="AD260">
        <v>13.4</v>
      </c>
      <c r="AE260" t="str">
        <f>IF(OR(_nba2122[[#This Row],[G]]&gt;=58,nba2122_advanced[[#This Row],[MP]]&gt;=1000),"Y","N")</f>
        <v>Y</v>
      </c>
      <c r="AF26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4.4294659090329187</v>
      </c>
    </row>
    <row r="261" spans="1:32" x14ac:dyDescent="0.35">
      <c r="A261">
        <v>260</v>
      </c>
      <c r="B261" s="1" t="s">
        <v>329</v>
      </c>
      <c r="C261" s="1" t="s">
        <v>51</v>
      </c>
      <c r="D261">
        <v>25</v>
      </c>
      <c r="E261" s="1" t="s">
        <v>68</v>
      </c>
      <c r="F261">
        <v>6</v>
      </c>
      <c r="G261">
        <v>0</v>
      </c>
      <c r="H261">
        <v>3.7</v>
      </c>
      <c r="I261">
        <v>0.2</v>
      </c>
      <c r="J261">
        <v>0.3</v>
      </c>
      <c r="K261">
        <v>0.5</v>
      </c>
      <c r="L261">
        <v>0</v>
      </c>
      <c r="M261">
        <v>0</v>
      </c>
      <c r="O261">
        <v>0.2</v>
      </c>
      <c r="P261">
        <v>0.3</v>
      </c>
      <c r="Q261">
        <v>0.5</v>
      </c>
      <c r="R261">
        <v>0.5</v>
      </c>
      <c r="S261">
        <v>0.3</v>
      </c>
      <c r="T261">
        <v>0.3</v>
      </c>
      <c r="U261">
        <v>1</v>
      </c>
      <c r="V261">
        <v>0</v>
      </c>
      <c r="W261">
        <v>0.8</v>
      </c>
      <c r="X261">
        <v>0.8</v>
      </c>
      <c r="Y261">
        <v>0.3</v>
      </c>
      <c r="Z261">
        <v>0</v>
      </c>
      <c r="AA261">
        <v>0</v>
      </c>
      <c r="AB261">
        <v>0.7</v>
      </c>
      <c r="AC261">
        <v>0.2</v>
      </c>
      <c r="AD261">
        <v>0.7</v>
      </c>
      <c r="AE261" t="str">
        <f>IF(OR(_nba2122[[#This Row],[G]]&gt;=58,nba2122_advanced[[#This Row],[MP]]&gt;=1000),"Y","N")</f>
        <v>N</v>
      </c>
      <c r="AF26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19.476562972811024</v>
      </c>
    </row>
    <row r="262" spans="1:32" x14ac:dyDescent="0.35">
      <c r="A262">
        <v>261</v>
      </c>
      <c r="B262" s="1" t="s">
        <v>330</v>
      </c>
      <c r="C262" s="1" t="s">
        <v>48</v>
      </c>
      <c r="D262">
        <v>21</v>
      </c>
      <c r="E262" s="1" t="s">
        <v>86</v>
      </c>
      <c r="F262">
        <v>69</v>
      </c>
      <c r="G262">
        <v>4</v>
      </c>
      <c r="H262">
        <v>19</v>
      </c>
      <c r="I262">
        <v>3.3</v>
      </c>
      <c r="J262">
        <v>8.3000000000000007</v>
      </c>
      <c r="K262">
        <v>0.40300000000000002</v>
      </c>
      <c r="L262">
        <v>1.9</v>
      </c>
      <c r="M262">
        <v>5.2</v>
      </c>
      <c r="N262">
        <v>0.36599999999999999</v>
      </c>
      <c r="O262">
        <v>1.4</v>
      </c>
      <c r="P262">
        <v>3.1</v>
      </c>
      <c r="Q262">
        <v>0.46500000000000002</v>
      </c>
      <c r="R262">
        <v>0.51800000000000002</v>
      </c>
      <c r="S262">
        <v>1.6</v>
      </c>
      <c r="T262">
        <v>1.8</v>
      </c>
      <c r="U262">
        <v>0.85599999999999998</v>
      </c>
      <c r="V262">
        <v>0.2</v>
      </c>
      <c r="W262">
        <v>2.5</v>
      </c>
      <c r="X262">
        <v>2.7</v>
      </c>
      <c r="Y262">
        <v>2.8</v>
      </c>
      <c r="Z262">
        <v>0.6</v>
      </c>
      <c r="AA262">
        <v>0.3</v>
      </c>
      <c r="AB262">
        <v>1.2</v>
      </c>
      <c r="AC262">
        <v>2.2000000000000002</v>
      </c>
      <c r="AD262">
        <v>10.1</v>
      </c>
      <c r="AE262" t="str">
        <f>IF(OR(_nba2122[[#This Row],[G]]&gt;=58,nba2122_advanced[[#This Row],[MP]]&gt;=1000),"Y","N")</f>
        <v>Y</v>
      </c>
      <c r="AF26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3.6718321776442173</v>
      </c>
    </row>
    <row r="263" spans="1:32" x14ac:dyDescent="0.35">
      <c r="A263">
        <v>262</v>
      </c>
      <c r="B263" s="2" t="s">
        <v>331</v>
      </c>
      <c r="C263" s="1" t="s">
        <v>31</v>
      </c>
      <c r="D263">
        <v>32</v>
      </c>
      <c r="E263" s="1" t="s">
        <v>42</v>
      </c>
      <c r="F263">
        <v>54</v>
      </c>
      <c r="G263">
        <v>12</v>
      </c>
      <c r="H263">
        <v>16.2</v>
      </c>
      <c r="I263">
        <v>2.7</v>
      </c>
      <c r="J263">
        <v>5.5</v>
      </c>
      <c r="K263">
        <v>0.5</v>
      </c>
      <c r="L263">
        <v>0.7</v>
      </c>
      <c r="M263">
        <v>1.8</v>
      </c>
      <c r="N263">
        <v>0.374</v>
      </c>
      <c r="O263">
        <v>2.1</v>
      </c>
      <c r="P263">
        <v>3.6</v>
      </c>
      <c r="Q263">
        <v>0.56299999999999994</v>
      </c>
      <c r="R263">
        <v>0.56299999999999994</v>
      </c>
      <c r="S263">
        <v>0.6</v>
      </c>
      <c r="T263">
        <v>0.8</v>
      </c>
      <c r="U263">
        <v>0.72699999999999998</v>
      </c>
      <c r="V263">
        <v>1.1000000000000001</v>
      </c>
      <c r="W263">
        <v>3.5</v>
      </c>
      <c r="X263">
        <v>4.5999999999999996</v>
      </c>
      <c r="Y263">
        <v>0.9</v>
      </c>
      <c r="Z263">
        <v>0.2</v>
      </c>
      <c r="AA263">
        <v>0.6</v>
      </c>
      <c r="AB263">
        <v>0.8</v>
      </c>
      <c r="AC263">
        <v>1.9</v>
      </c>
      <c r="AD263">
        <v>6.8</v>
      </c>
      <c r="AE263" t="str">
        <f>IF(OR(_nba2122[[#This Row],[G]]&gt;=58,nba2122_advanced[[#This Row],[MP]]&gt;=1000),"Y","N")</f>
        <v>N</v>
      </c>
      <c r="AF26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6.0632555080648416</v>
      </c>
    </row>
    <row r="264" spans="1:32" x14ac:dyDescent="0.35">
      <c r="A264">
        <v>263</v>
      </c>
      <c r="B264" s="1" t="s">
        <v>333</v>
      </c>
      <c r="C264" s="1" t="s">
        <v>51</v>
      </c>
      <c r="D264">
        <v>38</v>
      </c>
      <c r="E264" s="1" t="s">
        <v>111</v>
      </c>
      <c r="F264">
        <v>31</v>
      </c>
      <c r="G264">
        <v>0</v>
      </c>
      <c r="H264">
        <v>19.5</v>
      </c>
      <c r="I264">
        <v>1.5</v>
      </c>
      <c r="J264">
        <v>3.9</v>
      </c>
      <c r="K264">
        <v>0.38</v>
      </c>
      <c r="L264">
        <v>0.5</v>
      </c>
      <c r="M264">
        <v>2.4</v>
      </c>
      <c r="N264">
        <v>0.23</v>
      </c>
      <c r="O264">
        <v>0.9</v>
      </c>
      <c r="P264">
        <v>1.5</v>
      </c>
      <c r="Q264">
        <v>0.61699999999999999</v>
      </c>
      <c r="R264">
        <v>0.45</v>
      </c>
      <c r="S264">
        <v>0.5</v>
      </c>
      <c r="T264">
        <v>0.6</v>
      </c>
      <c r="U264">
        <v>0.75</v>
      </c>
      <c r="V264">
        <v>0.7</v>
      </c>
      <c r="W264">
        <v>2.5</v>
      </c>
      <c r="X264">
        <v>3.2</v>
      </c>
      <c r="Y264">
        <v>3.7</v>
      </c>
      <c r="Z264">
        <v>0.9</v>
      </c>
      <c r="AA264">
        <v>0.7</v>
      </c>
      <c r="AB264">
        <v>0.9</v>
      </c>
      <c r="AC264">
        <v>1.1000000000000001</v>
      </c>
      <c r="AD264">
        <v>4</v>
      </c>
      <c r="AE264" t="str">
        <f>IF(OR(_nba2122[[#This Row],[G]]&gt;=58,nba2122_advanced[[#This Row],[MP]]&gt;=1000),"Y","N")</f>
        <v>N</v>
      </c>
      <c r="AF26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7.4201442778872044</v>
      </c>
    </row>
    <row r="265" spans="1:32" x14ac:dyDescent="0.35">
      <c r="A265">
        <v>264</v>
      </c>
      <c r="B265" s="1" t="s">
        <v>334</v>
      </c>
      <c r="C265" s="1" t="s">
        <v>51</v>
      </c>
      <c r="D265">
        <v>34</v>
      </c>
      <c r="E265" s="1" t="s">
        <v>70</v>
      </c>
      <c r="F265">
        <v>45</v>
      </c>
      <c r="G265">
        <v>15</v>
      </c>
      <c r="H265">
        <v>24.9</v>
      </c>
      <c r="I265">
        <v>2.6</v>
      </c>
      <c r="J265">
        <v>6.3</v>
      </c>
      <c r="K265">
        <v>0.40400000000000003</v>
      </c>
      <c r="L265">
        <v>1.7</v>
      </c>
      <c r="M265">
        <v>5</v>
      </c>
      <c r="N265">
        <v>0.34699999999999998</v>
      </c>
      <c r="O265">
        <v>0.8</v>
      </c>
      <c r="P265">
        <v>1.3</v>
      </c>
      <c r="Q265">
        <v>0.61699999999999999</v>
      </c>
      <c r="R265">
        <v>0.54</v>
      </c>
      <c r="S265">
        <v>0.4</v>
      </c>
      <c r="T265">
        <v>0.5</v>
      </c>
      <c r="U265">
        <v>0.77300000000000002</v>
      </c>
      <c r="V265">
        <v>0.3</v>
      </c>
      <c r="W265">
        <v>2.6</v>
      </c>
      <c r="X265">
        <v>2.9</v>
      </c>
      <c r="Y265">
        <v>3.5</v>
      </c>
      <c r="Z265">
        <v>0.5</v>
      </c>
      <c r="AA265">
        <v>0.1</v>
      </c>
      <c r="AB265">
        <v>1</v>
      </c>
      <c r="AC265">
        <v>1.8</v>
      </c>
      <c r="AD265">
        <v>7.2</v>
      </c>
      <c r="AE265" t="str">
        <f>IF(OR(_nba2122[[#This Row],[G]]&gt;=58,nba2122_advanced[[#This Row],[MP]]&gt;=1000),"Y","N")</f>
        <v>Y</v>
      </c>
      <c r="AF26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7.1378385612195849</v>
      </c>
    </row>
    <row r="266" spans="1:32" x14ac:dyDescent="0.35">
      <c r="A266">
        <v>265</v>
      </c>
      <c r="B266" s="1" t="s">
        <v>335</v>
      </c>
      <c r="C266" s="1" t="s">
        <v>51</v>
      </c>
      <c r="D266">
        <v>24</v>
      </c>
      <c r="E266" s="1" t="s">
        <v>49</v>
      </c>
      <c r="F266">
        <v>55</v>
      </c>
      <c r="G266">
        <v>55</v>
      </c>
      <c r="H266">
        <v>34</v>
      </c>
      <c r="I266">
        <v>8.1999999999999993</v>
      </c>
      <c r="J266">
        <v>17.899999999999999</v>
      </c>
      <c r="K266">
        <v>0.46100000000000002</v>
      </c>
      <c r="L266">
        <v>1.3</v>
      </c>
      <c r="M266">
        <v>4.0999999999999996</v>
      </c>
      <c r="N266">
        <v>0.32700000000000001</v>
      </c>
      <c r="O266">
        <v>6.9</v>
      </c>
      <c r="P266">
        <v>13.8</v>
      </c>
      <c r="Q266">
        <v>0.501</v>
      </c>
      <c r="R266">
        <v>0.498</v>
      </c>
      <c r="S266">
        <v>4.8</v>
      </c>
      <c r="T266">
        <v>5.9</v>
      </c>
      <c r="U266">
        <v>0.82599999999999996</v>
      </c>
      <c r="V266">
        <v>0.6</v>
      </c>
      <c r="W266">
        <v>5.2</v>
      </c>
      <c r="X266">
        <v>5.8</v>
      </c>
      <c r="Y266">
        <v>5.6</v>
      </c>
      <c r="Z266">
        <v>0.6</v>
      </c>
      <c r="AA266">
        <v>0.5</v>
      </c>
      <c r="AB266">
        <v>2.7</v>
      </c>
      <c r="AC266">
        <v>2.2000000000000002</v>
      </c>
      <c r="AD266">
        <v>22.7</v>
      </c>
      <c r="AE266" t="str">
        <f>IF(OR(_nba2122[[#This Row],[G]]&gt;=58,nba2122_advanced[[#This Row],[MP]]&gt;=1000),"Y","N")</f>
        <v>Y</v>
      </c>
      <c r="AF26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6.3417093849850117</v>
      </c>
    </row>
    <row r="267" spans="1:32" x14ac:dyDescent="0.35">
      <c r="A267">
        <v>266</v>
      </c>
      <c r="B267" s="1" t="s">
        <v>336</v>
      </c>
      <c r="C267" s="1" t="s">
        <v>48</v>
      </c>
      <c r="D267">
        <v>29</v>
      </c>
      <c r="E267" s="1" t="s">
        <v>39</v>
      </c>
      <c r="F267">
        <v>29</v>
      </c>
      <c r="G267">
        <v>29</v>
      </c>
      <c r="H267">
        <v>37.6</v>
      </c>
      <c r="I267">
        <v>10</v>
      </c>
      <c r="J267">
        <v>21.2</v>
      </c>
      <c r="K267">
        <v>0.46899999999999997</v>
      </c>
      <c r="L267">
        <v>3.4</v>
      </c>
      <c r="M267">
        <v>8.1999999999999993</v>
      </c>
      <c r="N267">
        <v>0.41799999999999998</v>
      </c>
      <c r="O267">
        <v>6.5</v>
      </c>
      <c r="P267">
        <v>13</v>
      </c>
      <c r="Q267">
        <v>0.501</v>
      </c>
      <c r="R267">
        <v>0.55000000000000004</v>
      </c>
      <c r="S267">
        <v>4.0999999999999996</v>
      </c>
      <c r="T267">
        <v>4.4000000000000004</v>
      </c>
      <c r="U267">
        <v>0.91500000000000004</v>
      </c>
      <c r="V267">
        <v>0.6</v>
      </c>
      <c r="W267">
        <v>3.8</v>
      </c>
      <c r="X267">
        <v>4.4000000000000004</v>
      </c>
      <c r="Y267">
        <v>5.8</v>
      </c>
      <c r="Z267">
        <v>1.4</v>
      </c>
      <c r="AA267">
        <v>0.6</v>
      </c>
      <c r="AB267">
        <v>2.5</v>
      </c>
      <c r="AC267">
        <v>2.8</v>
      </c>
      <c r="AD267">
        <v>27.4</v>
      </c>
      <c r="AE267" t="str">
        <f>IF(OR(_nba2122[[#This Row],[G]]&gt;=58,nba2122_advanced[[#This Row],[MP]]&gt;=1000),"Y","N")</f>
        <v>Y</v>
      </c>
      <c r="AF26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7.1804007650331201</v>
      </c>
    </row>
    <row r="268" spans="1:32" x14ac:dyDescent="0.35">
      <c r="A268">
        <v>267</v>
      </c>
      <c r="B268" s="1" t="s">
        <v>337</v>
      </c>
      <c r="C268" s="1" t="s">
        <v>51</v>
      </c>
      <c r="D268">
        <v>27</v>
      </c>
      <c r="E268" s="1" t="s">
        <v>80</v>
      </c>
      <c r="F268">
        <v>3</v>
      </c>
      <c r="G268">
        <v>1</v>
      </c>
      <c r="H268">
        <v>27.3</v>
      </c>
      <c r="I268">
        <v>2.7</v>
      </c>
      <c r="J268">
        <v>6</v>
      </c>
      <c r="K268">
        <v>0.44400000000000001</v>
      </c>
      <c r="L268">
        <v>1</v>
      </c>
      <c r="M268">
        <v>1.7</v>
      </c>
      <c r="N268">
        <v>0.6</v>
      </c>
      <c r="O268">
        <v>1.7</v>
      </c>
      <c r="P268">
        <v>4.3</v>
      </c>
      <c r="Q268">
        <v>0.38500000000000001</v>
      </c>
      <c r="R268">
        <v>0.52800000000000002</v>
      </c>
      <c r="S268">
        <v>1</v>
      </c>
      <c r="T268">
        <v>1.3</v>
      </c>
      <c r="U268">
        <v>0.75</v>
      </c>
      <c r="V268">
        <v>1</v>
      </c>
      <c r="W268">
        <v>3.3</v>
      </c>
      <c r="X268">
        <v>4.3</v>
      </c>
      <c r="Y268">
        <v>0</v>
      </c>
      <c r="Z268">
        <v>0.3</v>
      </c>
      <c r="AA268">
        <v>0</v>
      </c>
      <c r="AB268">
        <v>0.3</v>
      </c>
      <c r="AC268">
        <v>2.7</v>
      </c>
      <c r="AD268">
        <v>7.3</v>
      </c>
      <c r="AE268" t="str">
        <f>IF(OR(_nba2122[[#This Row],[G]]&gt;=58,nba2122_advanced[[#This Row],[MP]]&gt;=1000),"Y","N")</f>
        <v>N</v>
      </c>
      <c r="AF26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9.7956953924535206</v>
      </c>
    </row>
    <row r="269" spans="1:32" x14ac:dyDescent="0.35">
      <c r="A269">
        <v>268</v>
      </c>
      <c r="B269" s="1" t="s">
        <v>338</v>
      </c>
      <c r="C269" s="1" t="s">
        <v>48</v>
      </c>
      <c r="D269">
        <v>23</v>
      </c>
      <c r="E269" s="1" t="s">
        <v>105</v>
      </c>
      <c r="F269">
        <v>53</v>
      </c>
      <c r="G269">
        <v>7</v>
      </c>
      <c r="H269">
        <v>22</v>
      </c>
      <c r="I269">
        <v>3.7</v>
      </c>
      <c r="J269">
        <v>9.1</v>
      </c>
      <c r="K269">
        <v>0.40200000000000002</v>
      </c>
      <c r="L269">
        <v>1.6</v>
      </c>
      <c r="M269">
        <v>5.3</v>
      </c>
      <c r="N269">
        <v>0.308</v>
      </c>
      <c r="O269">
        <v>2</v>
      </c>
      <c r="P269">
        <v>3.8</v>
      </c>
      <c r="Q269">
        <v>0.52900000000000003</v>
      </c>
      <c r="R269">
        <v>0.49099999999999999</v>
      </c>
      <c r="S269">
        <v>1.6</v>
      </c>
      <c r="T269">
        <v>2</v>
      </c>
      <c r="U269">
        <v>0.82699999999999996</v>
      </c>
      <c r="V269">
        <v>0.4</v>
      </c>
      <c r="W269">
        <v>1.3</v>
      </c>
      <c r="X269">
        <v>1.6</v>
      </c>
      <c r="Y269">
        <v>1</v>
      </c>
      <c r="Z269">
        <v>0.5</v>
      </c>
      <c r="AA269">
        <v>0.2</v>
      </c>
      <c r="AB269">
        <v>0.7</v>
      </c>
      <c r="AC269">
        <v>1.7</v>
      </c>
      <c r="AD269">
        <v>10.6</v>
      </c>
      <c r="AE269" t="str">
        <f>IF(OR(_nba2122[[#This Row],[G]]&gt;=58,nba2122_advanced[[#This Row],[MP]]&gt;=1000),"Y","N")</f>
        <v>Y</v>
      </c>
      <c r="AF26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6.9521013012312034</v>
      </c>
    </row>
    <row r="270" spans="1:32" x14ac:dyDescent="0.35">
      <c r="A270">
        <v>269</v>
      </c>
      <c r="B270" s="1" t="s">
        <v>339</v>
      </c>
      <c r="C270" s="1" t="s">
        <v>28</v>
      </c>
      <c r="D270">
        <v>20</v>
      </c>
      <c r="E270" s="1" t="s">
        <v>108</v>
      </c>
      <c r="F270">
        <v>36</v>
      </c>
      <c r="G270">
        <v>15</v>
      </c>
      <c r="H270">
        <v>15</v>
      </c>
      <c r="I270">
        <v>3.2</v>
      </c>
      <c r="J270">
        <v>5.7</v>
      </c>
      <c r="K270">
        <v>0.56299999999999994</v>
      </c>
      <c r="L270">
        <v>0.1</v>
      </c>
      <c r="M270">
        <v>0.4</v>
      </c>
      <c r="N270">
        <v>0.313</v>
      </c>
      <c r="O270">
        <v>3.1</v>
      </c>
      <c r="P270">
        <v>5.3</v>
      </c>
      <c r="Q270">
        <v>0.58399999999999996</v>
      </c>
      <c r="R270">
        <v>0.57499999999999996</v>
      </c>
      <c r="S270">
        <v>1.7</v>
      </c>
      <c r="T270">
        <v>2.4</v>
      </c>
      <c r="U270">
        <v>0.68200000000000005</v>
      </c>
      <c r="V270">
        <v>1.7</v>
      </c>
      <c r="W270">
        <v>2.5</v>
      </c>
      <c r="X270">
        <v>4.0999999999999996</v>
      </c>
      <c r="Y270">
        <v>0.3</v>
      </c>
      <c r="Z270">
        <v>0.7</v>
      </c>
      <c r="AA270">
        <v>1.4</v>
      </c>
      <c r="AB270">
        <v>1.1000000000000001</v>
      </c>
      <c r="AC270">
        <v>2.6</v>
      </c>
      <c r="AD270">
        <v>8.3000000000000007</v>
      </c>
      <c r="AE270" t="str">
        <f>IF(OR(_nba2122[[#This Row],[G]]&gt;=58,nba2122_advanced[[#This Row],[MP]]&gt;=1000),"Y","N")</f>
        <v>N</v>
      </c>
      <c r="AF27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12.122598850633532</v>
      </c>
    </row>
    <row r="271" spans="1:32" x14ac:dyDescent="0.35">
      <c r="A271">
        <v>270</v>
      </c>
      <c r="B271" s="1" t="s">
        <v>340</v>
      </c>
      <c r="C271" s="1" t="s">
        <v>28</v>
      </c>
      <c r="D271">
        <v>22</v>
      </c>
      <c r="E271" s="1" t="s">
        <v>34</v>
      </c>
      <c r="F271">
        <v>78</v>
      </c>
      <c r="G271">
        <v>78</v>
      </c>
      <c r="H271">
        <v>27.3</v>
      </c>
      <c r="I271">
        <v>5.5</v>
      </c>
      <c r="J271">
        <v>13.3</v>
      </c>
      <c r="K271">
        <v>0.41499999999999998</v>
      </c>
      <c r="L271">
        <v>1.6</v>
      </c>
      <c r="M271">
        <v>5.0999999999999996</v>
      </c>
      <c r="N271">
        <v>0.31900000000000001</v>
      </c>
      <c r="O271">
        <v>3.9</v>
      </c>
      <c r="P271">
        <v>8.1</v>
      </c>
      <c r="Q271">
        <v>0.47599999999999998</v>
      </c>
      <c r="R271">
        <v>0.47699999999999998</v>
      </c>
      <c r="S271">
        <v>3.6</v>
      </c>
      <c r="T271">
        <v>4.4000000000000004</v>
      </c>
      <c r="U271">
        <v>0.82299999999999995</v>
      </c>
      <c r="V271">
        <v>1.5</v>
      </c>
      <c r="W271">
        <v>4.3</v>
      </c>
      <c r="X271">
        <v>5.8</v>
      </c>
      <c r="Y271">
        <v>1.1000000000000001</v>
      </c>
      <c r="Z271">
        <v>0.9</v>
      </c>
      <c r="AA271">
        <v>2.2999999999999998</v>
      </c>
      <c r="AB271">
        <v>1.7</v>
      </c>
      <c r="AC271">
        <v>3.5</v>
      </c>
      <c r="AD271">
        <v>16.3</v>
      </c>
      <c r="AE271" t="str">
        <f>IF(OR(_nba2122[[#This Row],[G]]&gt;=58,nba2122_advanced[[#This Row],[MP]]&gt;=1000),"Y","N")</f>
        <v>Y</v>
      </c>
      <c r="AF27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10.733750576567159</v>
      </c>
    </row>
    <row r="272" spans="1:32" x14ac:dyDescent="0.35">
      <c r="A272">
        <v>271</v>
      </c>
      <c r="B272" s="1" t="s">
        <v>341</v>
      </c>
      <c r="C272" s="1" t="s">
        <v>51</v>
      </c>
      <c r="D272">
        <v>24</v>
      </c>
      <c r="E272" s="1" t="s">
        <v>42</v>
      </c>
      <c r="F272">
        <v>51</v>
      </c>
      <c r="G272">
        <v>3</v>
      </c>
      <c r="H272">
        <v>16.3</v>
      </c>
      <c r="I272">
        <v>2.4</v>
      </c>
      <c r="J272">
        <v>5.9</v>
      </c>
      <c r="K272">
        <v>0.4</v>
      </c>
      <c r="L272">
        <v>0.6</v>
      </c>
      <c r="M272">
        <v>2.5</v>
      </c>
      <c r="N272">
        <v>0.254</v>
      </c>
      <c r="O272">
        <v>1.7</v>
      </c>
      <c r="P272">
        <v>3.3</v>
      </c>
      <c r="Q272">
        <v>0.51200000000000001</v>
      </c>
      <c r="R272">
        <v>0.45500000000000002</v>
      </c>
      <c r="S272">
        <v>1.1000000000000001</v>
      </c>
      <c r="T272">
        <v>1.5</v>
      </c>
      <c r="U272">
        <v>0.71399999999999997</v>
      </c>
      <c r="V272">
        <v>0.4</v>
      </c>
      <c r="W272">
        <v>2.4</v>
      </c>
      <c r="X272">
        <v>2.8</v>
      </c>
      <c r="Y272">
        <v>1.1000000000000001</v>
      </c>
      <c r="Z272">
        <v>0.5</v>
      </c>
      <c r="AA272">
        <v>0.4</v>
      </c>
      <c r="AB272">
        <v>0.9</v>
      </c>
      <c r="AC272">
        <v>1.7</v>
      </c>
      <c r="AD272">
        <v>6.4</v>
      </c>
      <c r="AE272" t="str">
        <f>IF(OR(_nba2122[[#This Row],[G]]&gt;=58,nba2122_advanced[[#This Row],[MP]]&gt;=1000),"Y","N")</f>
        <v>N</v>
      </c>
      <c r="AF27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4.7304608228679212</v>
      </c>
    </row>
    <row r="273" spans="1:32" x14ac:dyDescent="0.35">
      <c r="A273">
        <v>272</v>
      </c>
      <c r="B273" s="1" t="s">
        <v>342</v>
      </c>
      <c r="C273" s="1" t="s">
        <v>51</v>
      </c>
      <c r="D273">
        <v>26</v>
      </c>
      <c r="E273" s="1" t="s">
        <v>42</v>
      </c>
      <c r="F273">
        <v>7</v>
      </c>
      <c r="G273">
        <v>0</v>
      </c>
      <c r="H273">
        <v>5.3</v>
      </c>
      <c r="I273">
        <v>0.7</v>
      </c>
      <c r="J273">
        <v>2.1</v>
      </c>
      <c r="K273">
        <v>0.33300000000000002</v>
      </c>
      <c r="L273">
        <v>0.4</v>
      </c>
      <c r="M273">
        <v>1.3</v>
      </c>
      <c r="N273">
        <v>0.33300000000000002</v>
      </c>
      <c r="O273">
        <v>0.3</v>
      </c>
      <c r="P273">
        <v>0.9</v>
      </c>
      <c r="Q273">
        <v>0.33300000000000002</v>
      </c>
      <c r="R273">
        <v>0.433</v>
      </c>
      <c r="S273">
        <v>0.3</v>
      </c>
      <c r="T273">
        <v>0.3</v>
      </c>
      <c r="U273">
        <v>1</v>
      </c>
      <c r="V273">
        <v>0.1</v>
      </c>
      <c r="W273">
        <v>0.9</v>
      </c>
      <c r="X273">
        <v>1</v>
      </c>
      <c r="Y273">
        <v>0.3</v>
      </c>
      <c r="Z273">
        <v>0</v>
      </c>
      <c r="AA273">
        <v>0</v>
      </c>
      <c r="AB273">
        <v>0.1</v>
      </c>
      <c r="AC273">
        <v>0.4</v>
      </c>
      <c r="AD273">
        <v>2.1</v>
      </c>
      <c r="AE273" t="str">
        <f>IF(OR(_nba2122[[#This Row],[G]]&gt;=58,nba2122_advanced[[#This Row],[MP]]&gt;=1000),"Y","N")</f>
        <v>N</v>
      </c>
      <c r="AF27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11.569294579032412</v>
      </c>
    </row>
    <row r="274" spans="1:32" x14ac:dyDescent="0.35">
      <c r="A274">
        <v>273</v>
      </c>
      <c r="B274" s="1" t="s">
        <v>343</v>
      </c>
      <c r="C274" s="1" t="s">
        <v>41</v>
      </c>
      <c r="D274">
        <v>31</v>
      </c>
      <c r="E274" s="1" t="s">
        <v>93</v>
      </c>
      <c r="F274">
        <v>75</v>
      </c>
      <c r="G274">
        <v>75</v>
      </c>
      <c r="H274">
        <v>31.2</v>
      </c>
      <c r="I274">
        <v>6.4</v>
      </c>
      <c r="J274">
        <v>16.3</v>
      </c>
      <c r="K274">
        <v>0.39200000000000002</v>
      </c>
      <c r="L274">
        <v>2.2000000000000002</v>
      </c>
      <c r="M274">
        <v>6.8</v>
      </c>
      <c r="N274">
        <v>0.32600000000000001</v>
      </c>
      <c r="O274">
        <v>4.2</v>
      </c>
      <c r="P274">
        <v>9.5</v>
      </c>
      <c r="Q274">
        <v>0.439</v>
      </c>
      <c r="R274">
        <v>0.46</v>
      </c>
      <c r="S274">
        <v>1.8</v>
      </c>
      <c r="T274">
        <v>2.2000000000000002</v>
      </c>
      <c r="U274">
        <v>0.84699999999999998</v>
      </c>
      <c r="V274">
        <v>0.5</v>
      </c>
      <c r="W274">
        <v>3.1</v>
      </c>
      <c r="X274">
        <v>3.6</v>
      </c>
      <c r="Y274">
        <v>4.8</v>
      </c>
      <c r="Z274">
        <v>0.7</v>
      </c>
      <c r="AA274">
        <v>0.2</v>
      </c>
      <c r="AB274">
        <v>2.2999999999999998</v>
      </c>
      <c r="AC274">
        <v>2.1</v>
      </c>
      <c r="AD274">
        <v>16.8</v>
      </c>
      <c r="AE274" t="str">
        <f>IF(OR(_nba2122[[#This Row],[G]]&gt;=58,nba2122_advanced[[#This Row],[MP]]&gt;=1000),"Y","N")</f>
        <v>Y</v>
      </c>
      <c r="AF27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6.1267208698048705</v>
      </c>
    </row>
    <row r="275" spans="1:32" x14ac:dyDescent="0.35">
      <c r="A275">
        <v>274</v>
      </c>
      <c r="B275" s="1" t="s">
        <v>344</v>
      </c>
      <c r="C275" s="1" t="s">
        <v>51</v>
      </c>
      <c r="D275">
        <v>37</v>
      </c>
      <c r="E275" s="1" t="s">
        <v>56</v>
      </c>
      <c r="F275">
        <v>56</v>
      </c>
      <c r="G275">
        <v>56</v>
      </c>
      <c r="H275">
        <v>37.200000000000003</v>
      </c>
      <c r="I275">
        <v>11.4</v>
      </c>
      <c r="J275">
        <v>21.8</v>
      </c>
      <c r="K275">
        <v>0.52400000000000002</v>
      </c>
      <c r="L275">
        <v>2.9</v>
      </c>
      <c r="M275">
        <v>8</v>
      </c>
      <c r="N275">
        <v>0.35899999999999999</v>
      </c>
      <c r="O275">
        <v>8.6</v>
      </c>
      <c r="P275">
        <v>13.8</v>
      </c>
      <c r="Q275">
        <v>0.62</v>
      </c>
      <c r="R275">
        <v>0.59</v>
      </c>
      <c r="S275">
        <v>4.5</v>
      </c>
      <c r="T275">
        <v>6</v>
      </c>
      <c r="U275">
        <v>0.75600000000000001</v>
      </c>
      <c r="V275">
        <v>1.1000000000000001</v>
      </c>
      <c r="W275">
        <v>7.1</v>
      </c>
      <c r="X275">
        <v>8.1999999999999993</v>
      </c>
      <c r="Y275">
        <v>6.2</v>
      </c>
      <c r="Z275">
        <v>1.3</v>
      </c>
      <c r="AA275">
        <v>1.1000000000000001</v>
      </c>
      <c r="AB275">
        <v>3.5</v>
      </c>
      <c r="AC275">
        <v>2.2000000000000002</v>
      </c>
      <c r="AD275">
        <v>30.3</v>
      </c>
      <c r="AE275" t="str">
        <f>IF(OR(_nba2122[[#This Row],[G]]&gt;=58,nba2122_advanced[[#This Row],[MP]]&gt;=1000),"Y","N")</f>
        <v>Y</v>
      </c>
      <c r="AF27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9.9495749981530324</v>
      </c>
    </row>
    <row r="276" spans="1:32" x14ac:dyDescent="0.35">
      <c r="A276">
        <v>275</v>
      </c>
      <c r="B276" s="1" t="s">
        <v>345</v>
      </c>
      <c r="C276" s="1" t="s">
        <v>41</v>
      </c>
      <c r="D276">
        <v>24</v>
      </c>
      <c r="E276" s="1" t="s">
        <v>108</v>
      </c>
      <c r="F276">
        <v>1</v>
      </c>
      <c r="G276">
        <v>0</v>
      </c>
      <c r="H276">
        <v>1</v>
      </c>
      <c r="I276">
        <v>0</v>
      </c>
      <c r="J276">
        <v>0</v>
      </c>
      <c r="L276">
        <v>0</v>
      </c>
      <c r="M276">
        <v>0</v>
      </c>
      <c r="O276">
        <v>0</v>
      </c>
      <c r="P276">
        <v>0</v>
      </c>
      <c r="S276">
        <v>0</v>
      </c>
      <c r="T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 t="str">
        <f>IF(OR(_nba2122[[#This Row],[G]]&gt;=58,nba2122_advanced[[#This Row],[MP]]&gt;=1000),"Y","N")</f>
        <v>N</v>
      </c>
      <c r="AF27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20</v>
      </c>
    </row>
    <row r="277" spans="1:32" x14ac:dyDescent="0.35">
      <c r="A277">
        <v>276</v>
      </c>
      <c r="B277" s="1" t="s">
        <v>346</v>
      </c>
      <c r="C277" s="1" t="s">
        <v>41</v>
      </c>
      <c r="D277">
        <v>24</v>
      </c>
      <c r="E277" s="1" t="s">
        <v>34</v>
      </c>
      <c r="F277">
        <v>3</v>
      </c>
      <c r="G277">
        <v>0</v>
      </c>
      <c r="H277">
        <v>3</v>
      </c>
      <c r="I277">
        <v>0.3</v>
      </c>
      <c r="J277">
        <v>0.7</v>
      </c>
      <c r="K277">
        <v>0.5</v>
      </c>
      <c r="L277">
        <v>0</v>
      </c>
      <c r="M277">
        <v>0.3</v>
      </c>
      <c r="N277">
        <v>0</v>
      </c>
      <c r="O277">
        <v>0.3</v>
      </c>
      <c r="P277">
        <v>0.3</v>
      </c>
      <c r="Q277">
        <v>1</v>
      </c>
      <c r="R277">
        <v>0.5</v>
      </c>
      <c r="S277">
        <v>0</v>
      </c>
      <c r="T277">
        <v>0</v>
      </c>
      <c r="V277">
        <v>0</v>
      </c>
      <c r="W277">
        <v>0.7</v>
      </c>
      <c r="X277">
        <v>0.7</v>
      </c>
      <c r="Y277">
        <v>0.3</v>
      </c>
      <c r="Z277">
        <v>0</v>
      </c>
      <c r="AA277">
        <v>0</v>
      </c>
      <c r="AB277">
        <v>0</v>
      </c>
      <c r="AC277">
        <v>0.3</v>
      </c>
      <c r="AD277">
        <v>0.7</v>
      </c>
      <c r="AE277" t="str">
        <f>IF(OR(_nba2122[[#This Row],[G]]&gt;=58,nba2122_advanced[[#This Row],[MP]]&gt;=1000),"Y","N")</f>
        <v>N</v>
      </c>
      <c r="AF27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14.248640904039085</v>
      </c>
    </row>
    <row r="278" spans="1:32" x14ac:dyDescent="0.35">
      <c r="A278">
        <v>277</v>
      </c>
      <c r="B278" s="1" t="s">
        <v>347</v>
      </c>
      <c r="C278" s="1" t="s">
        <v>41</v>
      </c>
      <c r="D278">
        <v>24</v>
      </c>
      <c r="E278" s="1" t="s">
        <v>96</v>
      </c>
      <c r="F278">
        <v>48</v>
      </c>
      <c r="G278">
        <v>4</v>
      </c>
      <c r="H278">
        <v>16.7</v>
      </c>
      <c r="I278">
        <v>2.6</v>
      </c>
      <c r="J278">
        <v>6.8</v>
      </c>
      <c r="K278">
        <v>0.378</v>
      </c>
      <c r="L278">
        <v>1.1000000000000001</v>
      </c>
      <c r="M278">
        <v>3.9</v>
      </c>
      <c r="N278">
        <v>0.28999999999999998</v>
      </c>
      <c r="O278">
        <v>1.5</v>
      </c>
      <c r="P278">
        <v>3</v>
      </c>
      <c r="Q278">
        <v>0.49299999999999999</v>
      </c>
      <c r="R278">
        <v>0.46</v>
      </c>
      <c r="S278">
        <v>0.8</v>
      </c>
      <c r="T278">
        <v>1</v>
      </c>
      <c r="U278">
        <v>0.80900000000000005</v>
      </c>
      <c r="V278">
        <v>0.4</v>
      </c>
      <c r="W278">
        <v>1.2</v>
      </c>
      <c r="X278">
        <v>1.6</v>
      </c>
      <c r="Y278">
        <v>2.2999999999999998</v>
      </c>
      <c r="Z278">
        <v>0.6</v>
      </c>
      <c r="AA278">
        <v>0.1</v>
      </c>
      <c r="AB278">
        <v>0.8</v>
      </c>
      <c r="AC278">
        <v>1.5</v>
      </c>
      <c r="AD278">
        <v>7.1</v>
      </c>
      <c r="AE278" t="str">
        <f>IF(OR(_nba2122[[#This Row],[G]]&gt;=58,nba2122_advanced[[#This Row],[MP]]&gt;=1000),"Y","N")</f>
        <v>N</v>
      </c>
      <c r="AF27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6.6837242204258205</v>
      </c>
    </row>
    <row r="279" spans="1:32" x14ac:dyDescent="0.35">
      <c r="A279">
        <v>278</v>
      </c>
      <c r="B279" s="1" t="s">
        <v>348</v>
      </c>
      <c r="C279" s="1" t="s">
        <v>41</v>
      </c>
      <c r="D279">
        <v>22</v>
      </c>
      <c r="E279" s="1" t="s">
        <v>89</v>
      </c>
      <c r="F279">
        <v>55</v>
      </c>
      <c r="G279">
        <v>1</v>
      </c>
      <c r="H279">
        <v>11.1</v>
      </c>
      <c r="I279">
        <v>1.1000000000000001</v>
      </c>
      <c r="J279">
        <v>3.2</v>
      </c>
      <c r="K279">
        <v>0.35</v>
      </c>
      <c r="L279">
        <v>0.8</v>
      </c>
      <c r="M279">
        <v>2.5</v>
      </c>
      <c r="N279">
        <v>0.33300000000000002</v>
      </c>
      <c r="O279">
        <v>0.3</v>
      </c>
      <c r="P279">
        <v>0.8</v>
      </c>
      <c r="Q279">
        <v>0.40500000000000003</v>
      </c>
      <c r="R279">
        <v>0.47699999999999998</v>
      </c>
      <c r="S279">
        <v>0.5</v>
      </c>
      <c r="T279">
        <v>0.6</v>
      </c>
      <c r="U279">
        <v>0.93500000000000005</v>
      </c>
      <c r="V279">
        <v>0.1</v>
      </c>
      <c r="W279">
        <v>0.9</v>
      </c>
      <c r="X279">
        <v>1</v>
      </c>
      <c r="Y279">
        <v>0.6</v>
      </c>
      <c r="Z279">
        <v>0.3</v>
      </c>
      <c r="AA279">
        <v>0.1</v>
      </c>
      <c r="AB279">
        <v>0.3</v>
      </c>
      <c r="AC279">
        <v>0.9</v>
      </c>
      <c r="AD279">
        <v>3.6</v>
      </c>
      <c r="AE279" t="str">
        <f>IF(OR(_nba2122[[#This Row],[G]]&gt;=58,nba2122_advanced[[#This Row],[MP]]&gt;=1000),"Y","N")</f>
        <v>N</v>
      </c>
      <c r="AF27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9.8643364334596324</v>
      </c>
    </row>
    <row r="280" spans="1:32" x14ac:dyDescent="0.35">
      <c r="A280">
        <v>279</v>
      </c>
      <c r="B280" s="1" t="s">
        <v>349</v>
      </c>
      <c r="C280" s="1" t="s">
        <v>28</v>
      </c>
      <c r="D280">
        <v>25</v>
      </c>
      <c r="E280" s="1" t="s">
        <v>42</v>
      </c>
      <c r="F280">
        <v>23</v>
      </c>
      <c r="G280">
        <v>0</v>
      </c>
      <c r="H280">
        <v>7.3</v>
      </c>
      <c r="I280">
        <v>0.7</v>
      </c>
      <c r="J280">
        <v>1.7</v>
      </c>
      <c r="K280">
        <v>0.436</v>
      </c>
      <c r="L280">
        <v>0</v>
      </c>
      <c r="M280">
        <v>0.2</v>
      </c>
      <c r="N280">
        <v>0</v>
      </c>
      <c r="O280">
        <v>0.7</v>
      </c>
      <c r="P280">
        <v>1.5</v>
      </c>
      <c r="Q280">
        <v>0.48599999999999999</v>
      </c>
      <c r="R280">
        <v>0.436</v>
      </c>
      <c r="S280">
        <v>0.3</v>
      </c>
      <c r="T280">
        <v>0.5</v>
      </c>
      <c r="U280">
        <v>0.58299999999999996</v>
      </c>
      <c r="V280">
        <v>1.2</v>
      </c>
      <c r="W280">
        <v>1.4</v>
      </c>
      <c r="X280">
        <v>2.7</v>
      </c>
      <c r="Y280">
        <v>0.4</v>
      </c>
      <c r="Z280">
        <v>0.2</v>
      </c>
      <c r="AA280">
        <v>0</v>
      </c>
      <c r="AB280">
        <v>0.5</v>
      </c>
      <c r="AC280">
        <v>0.8</v>
      </c>
      <c r="AD280">
        <v>1.8</v>
      </c>
      <c r="AE280" t="str">
        <f>IF(OR(_nba2122[[#This Row],[G]]&gt;=58,nba2122_advanced[[#This Row],[MP]]&gt;=1000),"Y","N")</f>
        <v>N</v>
      </c>
      <c r="AF28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11.685218415631288</v>
      </c>
    </row>
    <row r="281" spans="1:32" x14ac:dyDescent="0.35">
      <c r="A281">
        <v>280</v>
      </c>
      <c r="B281" s="1" t="s">
        <v>350</v>
      </c>
      <c r="C281" s="1" t="s">
        <v>51</v>
      </c>
      <c r="D281">
        <v>26</v>
      </c>
      <c r="E281" s="1" t="s">
        <v>58</v>
      </c>
      <c r="F281">
        <v>4</v>
      </c>
      <c r="G281">
        <v>0</v>
      </c>
      <c r="H281">
        <v>16.3</v>
      </c>
      <c r="I281">
        <v>2.8</v>
      </c>
      <c r="J281">
        <v>6.3</v>
      </c>
      <c r="K281">
        <v>0.44</v>
      </c>
      <c r="L281">
        <v>1</v>
      </c>
      <c r="M281">
        <v>2.5</v>
      </c>
      <c r="N281">
        <v>0.4</v>
      </c>
      <c r="O281">
        <v>1.8</v>
      </c>
      <c r="P281">
        <v>3.8</v>
      </c>
      <c r="Q281">
        <v>0.46700000000000003</v>
      </c>
      <c r="R281">
        <v>0.52</v>
      </c>
      <c r="S281">
        <v>0</v>
      </c>
      <c r="T281">
        <v>0</v>
      </c>
      <c r="V281">
        <v>1.5</v>
      </c>
      <c r="W281">
        <v>2.2999999999999998</v>
      </c>
      <c r="X281">
        <v>3.8</v>
      </c>
      <c r="Y281">
        <v>0</v>
      </c>
      <c r="Z281">
        <v>0</v>
      </c>
      <c r="AA281">
        <v>0.3</v>
      </c>
      <c r="AB281">
        <v>0</v>
      </c>
      <c r="AC281">
        <v>1</v>
      </c>
      <c r="AD281">
        <v>6.5</v>
      </c>
      <c r="AE281" t="str">
        <f>IF(OR(_nba2122[[#This Row],[G]]&gt;=58,nba2122_advanced[[#This Row],[MP]]&gt;=1000),"Y","N")</f>
        <v>N</v>
      </c>
      <c r="AF28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10.687905983150573</v>
      </c>
    </row>
    <row r="282" spans="1:32" x14ac:dyDescent="0.35">
      <c r="A282">
        <v>281</v>
      </c>
      <c r="B282" s="1" t="s">
        <v>351</v>
      </c>
      <c r="C282" s="1" t="s">
        <v>28</v>
      </c>
      <c r="D282">
        <v>25</v>
      </c>
      <c r="E282" s="1" t="s">
        <v>68</v>
      </c>
      <c r="F282">
        <v>66</v>
      </c>
      <c r="G282">
        <v>16</v>
      </c>
      <c r="H282">
        <v>26.2</v>
      </c>
      <c r="I282">
        <v>4.2</v>
      </c>
      <c r="J282">
        <v>9.1999999999999993</v>
      </c>
      <c r="K282">
        <v>0.46</v>
      </c>
      <c r="L282">
        <v>2.5</v>
      </c>
      <c r="M282">
        <v>5.9</v>
      </c>
      <c r="N282">
        <v>0.42499999999999999</v>
      </c>
      <c r="O282">
        <v>1.7</v>
      </c>
      <c r="P282">
        <v>3.3</v>
      </c>
      <c r="Q282">
        <v>0.52300000000000002</v>
      </c>
      <c r="R282">
        <v>0.59599999999999997</v>
      </c>
      <c r="S282">
        <v>1.5</v>
      </c>
      <c r="T282">
        <v>1.7</v>
      </c>
      <c r="U282">
        <v>0.86</v>
      </c>
      <c r="V282">
        <v>0.6</v>
      </c>
      <c r="W282">
        <v>3.5</v>
      </c>
      <c r="X282">
        <v>4.0999999999999996</v>
      </c>
      <c r="Y282">
        <v>1.5</v>
      </c>
      <c r="Z282">
        <v>0.9</v>
      </c>
      <c r="AA282">
        <v>0.2</v>
      </c>
      <c r="AB282">
        <v>0.7</v>
      </c>
      <c r="AC282">
        <v>1.7</v>
      </c>
      <c r="AD282">
        <v>12.5</v>
      </c>
      <c r="AE282" t="str">
        <f>IF(OR(_nba2122[[#This Row],[G]]&gt;=58,nba2122_advanced[[#This Row],[MP]]&gt;=1000),"Y","N")</f>
        <v>Y</v>
      </c>
      <c r="AF28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5.0202963205114193</v>
      </c>
    </row>
    <row r="283" spans="1:32" x14ac:dyDescent="0.35">
      <c r="A283">
        <v>282</v>
      </c>
      <c r="B283" s="1" t="s">
        <v>352</v>
      </c>
      <c r="C283" s="1" t="s">
        <v>41</v>
      </c>
      <c r="D283">
        <v>20</v>
      </c>
      <c r="E283" s="1" t="s">
        <v>32</v>
      </c>
      <c r="F283">
        <v>2</v>
      </c>
      <c r="G283">
        <v>0</v>
      </c>
      <c r="H283">
        <v>1</v>
      </c>
      <c r="I283">
        <v>0</v>
      </c>
      <c r="J283">
        <v>0.5</v>
      </c>
      <c r="K283">
        <v>0</v>
      </c>
      <c r="L283">
        <v>0</v>
      </c>
      <c r="M283">
        <v>0.5</v>
      </c>
      <c r="N283">
        <v>0</v>
      </c>
      <c r="O283">
        <v>0</v>
      </c>
      <c r="P283">
        <v>0</v>
      </c>
      <c r="R283">
        <v>0</v>
      </c>
      <c r="S283">
        <v>0</v>
      </c>
      <c r="T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 t="str">
        <f>IF(OR(_nba2122[[#This Row],[G]]&gt;=58,nba2122_advanced[[#This Row],[MP]]&gt;=1000),"Y","N")</f>
        <v>N</v>
      </c>
      <c r="AF28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20.893914539531295</v>
      </c>
    </row>
    <row r="284" spans="1:32" x14ac:dyDescent="0.35">
      <c r="A284">
        <v>283</v>
      </c>
      <c r="B284" s="1" t="s">
        <v>353</v>
      </c>
      <c r="C284" s="1" t="s">
        <v>28</v>
      </c>
      <c r="D284">
        <v>20</v>
      </c>
      <c r="E284" s="1" t="s">
        <v>80</v>
      </c>
      <c r="F284">
        <v>22</v>
      </c>
      <c r="G284">
        <v>0</v>
      </c>
      <c r="H284">
        <v>5.5</v>
      </c>
      <c r="I284">
        <v>1</v>
      </c>
      <c r="J284">
        <v>1.9</v>
      </c>
      <c r="K284">
        <v>0.53700000000000003</v>
      </c>
      <c r="L284">
        <v>0.1</v>
      </c>
      <c r="M284">
        <v>0.6</v>
      </c>
      <c r="N284">
        <v>0.23100000000000001</v>
      </c>
      <c r="O284">
        <v>0.9</v>
      </c>
      <c r="P284">
        <v>1.3</v>
      </c>
      <c r="Q284">
        <v>0.67900000000000005</v>
      </c>
      <c r="R284">
        <v>0.57299999999999995</v>
      </c>
      <c r="S284">
        <v>0.2</v>
      </c>
      <c r="T284">
        <v>0.3</v>
      </c>
      <c r="U284">
        <v>0.71399999999999997</v>
      </c>
      <c r="V284">
        <v>0.1</v>
      </c>
      <c r="W284">
        <v>1.1000000000000001</v>
      </c>
      <c r="X284">
        <v>1.2</v>
      </c>
      <c r="Y284">
        <v>0.1</v>
      </c>
      <c r="Z284">
        <v>0.1</v>
      </c>
      <c r="AA284">
        <v>0.1</v>
      </c>
      <c r="AB284">
        <v>0.4</v>
      </c>
      <c r="AC284">
        <v>0.4</v>
      </c>
      <c r="AD284">
        <v>2.4</v>
      </c>
      <c r="AE284" t="str">
        <f>IF(OR(_nba2122[[#This Row],[G]]&gt;=58,nba2122_advanced[[#This Row],[MP]]&gt;=1000),"Y","N")</f>
        <v>N</v>
      </c>
      <c r="AF28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8.9772452182584868</v>
      </c>
    </row>
    <row r="285" spans="1:32" x14ac:dyDescent="0.35">
      <c r="A285">
        <v>284</v>
      </c>
      <c r="B285" s="1" t="s">
        <v>354</v>
      </c>
      <c r="C285" s="1" t="s">
        <v>28</v>
      </c>
      <c r="D285">
        <v>34</v>
      </c>
      <c r="E285" s="1" t="s">
        <v>39</v>
      </c>
      <c r="F285">
        <v>62</v>
      </c>
      <c r="G285">
        <v>10</v>
      </c>
      <c r="H285">
        <v>19.2</v>
      </c>
      <c r="I285">
        <v>2.2999999999999998</v>
      </c>
      <c r="J285">
        <v>5</v>
      </c>
      <c r="K285">
        <v>0.46899999999999997</v>
      </c>
      <c r="L285">
        <v>0.4</v>
      </c>
      <c r="M285">
        <v>1.4</v>
      </c>
      <c r="N285">
        <v>0.27100000000000002</v>
      </c>
      <c r="O285">
        <v>2</v>
      </c>
      <c r="P285">
        <v>3.6</v>
      </c>
      <c r="Q285">
        <v>0.54500000000000004</v>
      </c>
      <c r="R285">
        <v>0.50700000000000001</v>
      </c>
      <c r="S285">
        <v>0.5</v>
      </c>
      <c r="T285">
        <v>0.9</v>
      </c>
      <c r="U285">
        <v>0.52700000000000002</v>
      </c>
      <c r="V285">
        <v>0.8</v>
      </c>
      <c r="W285">
        <v>2.6</v>
      </c>
      <c r="X285">
        <v>3.5</v>
      </c>
      <c r="Y285">
        <v>2.1</v>
      </c>
      <c r="Z285">
        <v>0.5</v>
      </c>
      <c r="AA285">
        <v>0.5</v>
      </c>
      <c r="AB285">
        <v>0.8</v>
      </c>
      <c r="AC285">
        <v>2.6</v>
      </c>
      <c r="AD285">
        <v>5.5</v>
      </c>
      <c r="AE285" t="str">
        <f>IF(OR(_nba2122[[#This Row],[G]]&gt;=58,nba2122_advanced[[#This Row],[MP]]&gt;=1000),"Y","N")</f>
        <v>Y</v>
      </c>
      <c r="AF28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4.9961143225993139</v>
      </c>
    </row>
    <row r="286" spans="1:32" x14ac:dyDescent="0.35">
      <c r="A286">
        <v>285</v>
      </c>
      <c r="B286" s="1" t="s">
        <v>355</v>
      </c>
      <c r="C286" s="1" t="s">
        <v>41</v>
      </c>
      <c r="D286">
        <v>40</v>
      </c>
      <c r="E286" s="1" t="s">
        <v>140</v>
      </c>
      <c r="F286">
        <v>1</v>
      </c>
      <c r="G286">
        <v>0</v>
      </c>
      <c r="H286">
        <v>2</v>
      </c>
      <c r="I286">
        <v>1</v>
      </c>
      <c r="J286">
        <v>1</v>
      </c>
      <c r="K286">
        <v>1</v>
      </c>
      <c r="L286">
        <v>0</v>
      </c>
      <c r="M286">
        <v>0</v>
      </c>
      <c r="O286">
        <v>1</v>
      </c>
      <c r="P286">
        <v>1</v>
      </c>
      <c r="Q286">
        <v>1</v>
      </c>
      <c r="R286">
        <v>1</v>
      </c>
      <c r="S286">
        <v>0</v>
      </c>
      <c r="T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2</v>
      </c>
      <c r="AE286" t="str">
        <f>IF(OR(_nba2122[[#This Row],[G]]&gt;=58,nba2122_advanced[[#This Row],[MP]]&gt;=1000),"Y","N")</f>
        <v>N</v>
      </c>
      <c r="AF28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19.402997590711713</v>
      </c>
    </row>
    <row r="287" spans="1:32" x14ac:dyDescent="0.35">
      <c r="A287">
        <v>286</v>
      </c>
      <c r="B287" s="1" t="s">
        <v>356</v>
      </c>
      <c r="C287" s="1" t="s">
        <v>51</v>
      </c>
      <c r="D287">
        <v>22</v>
      </c>
      <c r="E287" s="1" t="s">
        <v>91</v>
      </c>
      <c r="F287">
        <v>75</v>
      </c>
      <c r="G287">
        <v>74</v>
      </c>
      <c r="H287">
        <v>31.9</v>
      </c>
      <c r="I287">
        <v>6.3</v>
      </c>
      <c r="J287">
        <v>13.5</v>
      </c>
      <c r="K287">
        <v>0.46600000000000003</v>
      </c>
      <c r="L287">
        <v>2.1</v>
      </c>
      <c r="M287">
        <v>5.3</v>
      </c>
      <c r="N287">
        <v>0.39800000000000002</v>
      </c>
      <c r="O287">
        <v>4.2</v>
      </c>
      <c r="P287">
        <v>8.1999999999999993</v>
      </c>
      <c r="Q287">
        <v>0.51</v>
      </c>
      <c r="R287">
        <v>0.54500000000000004</v>
      </c>
      <c r="S287">
        <v>2.4</v>
      </c>
      <c r="T287">
        <v>3.1</v>
      </c>
      <c r="U287">
        <v>0.75600000000000001</v>
      </c>
      <c r="V287">
        <v>1.1000000000000001</v>
      </c>
      <c r="W287">
        <v>5</v>
      </c>
      <c r="X287">
        <v>6.1</v>
      </c>
      <c r="Y287">
        <v>2.1</v>
      </c>
      <c r="Z287">
        <v>0.8</v>
      </c>
      <c r="AA287">
        <v>0.2</v>
      </c>
      <c r="AB287">
        <v>1.2</v>
      </c>
      <c r="AC287">
        <v>2</v>
      </c>
      <c r="AD287">
        <v>17</v>
      </c>
      <c r="AE287" t="str">
        <f>IF(OR(_nba2122[[#This Row],[G]]&gt;=58,nba2122_advanced[[#This Row],[MP]]&gt;=1000),"Y","N")</f>
        <v>Y</v>
      </c>
      <c r="AF28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3.7412097896283076</v>
      </c>
    </row>
    <row r="288" spans="1:32" x14ac:dyDescent="0.35">
      <c r="A288">
        <v>287</v>
      </c>
      <c r="B288" s="1" t="s">
        <v>357</v>
      </c>
      <c r="C288" s="1" t="s">
        <v>41</v>
      </c>
      <c r="D288">
        <v>19</v>
      </c>
      <c r="E288" s="1" t="s">
        <v>42</v>
      </c>
      <c r="F288">
        <v>37</v>
      </c>
      <c r="G288">
        <v>12</v>
      </c>
      <c r="H288">
        <v>18.8</v>
      </c>
      <c r="I288">
        <v>2.6</v>
      </c>
      <c r="J288">
        <v>7.4</v>
      </c>
      <c r="K288">
        <v>0.35299999999999998</v>
      </c>
      <c r="L288">
        <v>0.9</v>
      </c>
      <c r="M288">
        <v>2.7</v>
      </c>
      <c r="N288">
        <v>0.34</v>
      </c>
      <c r="O288">
        <v>1.7</v>
      </c>
      <c r="P288">
        <v>4.5999999999999996</v>
      </c>
      <c r="Q288">
        <v>0.36</v>
      </c>
      <c r="R288">
        <v>0.41499999999999998</v>
      </c>
      <c r="S288">
        <v>1.1000000000000001</v>
      </c>
      <c r="T288">
        <v>1.4</v>
      </c>
      <c r="U288">
        <v>0.80400000000000005</v>
      </c>
      <c r="V288">
        <v>0.6</v>
      </c>
      <c r="W288">
        <v>1.5</v>
      </c>
      <c r="X288">
        <v>2.2000000000000002</v>
      </c>
      <c r="Y288">
        <v>2.1</v>
      </c>
      <c r="Z288">
        <v>0.8</v>
      </c>
      <c r="AA288">
        <v>0.3</v>
      </c>
      <c r="AB288">
        <v>1.2</v>
      </c>
      <c r="AC288">
        <v>1.9</v>
      </c>
      <c r="AD288">
        <v>7.2</v>
      </c>
      <c r="AE288" t="str">
        <f>IF(OR(_nba2122[[#This Row],[G]]&gt;=58,nba2122_advanced[[#This Row],[MP]]&gt;=1000),"Y","N")</f>
        <v>N</v>
      </c>
      <c r="AF28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4.1996652769428104</v>
      </c>
    </row>
    <row r="289" spans="1:32" x14ac:dyDescent="0.35">
      <c r="A289">
        <v>288</v>
      </c>
      <c r="B289" s="1" t="s">
        <v>358</v>
      </c>
      <c r="C289" s="1" t="s">
        <v>28</v>
      </c>
      <c r="D289">
        <v>25</v>
      </c>
      <c r="E289" s="1" t="s">
        <v>56</v>
      </c>
      <c r="F289">
        <v>48</v>
      </c>
      <c r="G289">
        <v>27</v>
      </c>
      <c r="H289">
        <v>22.8</v>
      </c>
      <c r="I289">
        <v>2.4</v>
      </c>
      <c r="J289">
        <v>5.2</v>
      </c>
      <c r="K289">
        <v>0.46600000000000003</v>
      </c>
      <c r="L289">
        <v>0.7</v>
      </c>
      <c r="M289">
        <v>2.2000000000000002</v>
      </c>
      <c r="N289">
        <v>0.314</v>
      </c>
      <c r="O289">
        <v>1.8</v>
      </c>
      <c r="P289">
        <v>3</v>
      </c>
      <c r="Q289">
        <v>0.57499999999999996</v>
      </c>
      <c r="R289">
        <v>0.53200000000000003</v>
      </c>
      <c r="S289">
        <v>1.1000000000000001</v>
      </c>
      <c r="T289">
        <v>1.5</v>
      </c>
      <c r="U289">
        <v>0.71599999999999997</v>
      </c>
      <c r="V289">
        <v>0.7</v>
      </c>
      <c r="W289">
        <v>2.5</v>
      </c>
      <c r="X289">
        <v>3.2</v>
      </c>
      <c r="Y289">
        <v>1.7</v>
      </c>
      <c r="Z289">
        <v>0.9</v>
      </c>
      <c r="AA289">
        <v>0.3</v>
      </c>
      <c r="AB289">
        <v>0.7</v>
      </c>
      <c r="AC289">
        <v>2.2999999999999998</v>
      </c>
      <c r="AD289">
        <v>6.7</v>
      </c>
      <c r="AE289" t="str">
        <f>IF(OR(_nba2122[[#This Row],[G]]&gt;=58,nba2122_advanced[[#This Row],[MP]]&gt;=1000),"Y","N")</f>
        <v>Y</v>
      </c>
      <c r="AF28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4.7449874023580669</v>
      </c>
    </row>
    <row r="290" spans="1:32" x14ac:dyDescent="0.35">
      <c r="A290">
        <v>289</v>
      </c>
      <c r="B290" s="1" t="s">
        <v>359</v>
      </c>
      <c r="C290" s="1" t="s">
        <v>48</v>
      </c>
      <c r="D290">
        <v>29</v>
      </c>
      <c r="E290" s="1" t="s">
        <v>42</v>
      </c>
      <c r="F290">
        <v>6</v>
      </c>
      <c r="G290">
        <v>0</v>
      </c>
      <c r="H290">
        <v>15.2</v>
      </c>
      <c r="I290">
        <v>1</v>
      </c>
      <c r="J290">
        <v>3.3</v>
      </c>
      <c r="K290">
        <v>0.3</v>
      </c>
      <c r="L290">
        <v>0.8</v>
      </c>
      <c r="M290">
        <v>2.2000000000000002</v>
      </c>
      <c r="N290">
        <v>0.38500000000000001</v>
      </c>
      <c r="O290">
        <v>0.2</v>
      </c>
      <c r="P290">
        <v>1.2</v>
      </c>
      <c r="Q290">
        <v>0.14299999999999999</v>
      </c>
      <c r="R290">
        <v>0.42499999999999999</v>
      </c>
      <c r="S290">
        <v>0</v>
      </c>
      <c r="T290">
        <v>0</v>
      </c>
      <c r="V290">
        <v>0.5</v>
      </c>
      <c r="W290">
        <v>1.5</v>
      </c>
      <c r="X290">
        <v>2</v>
      </c>
      <c r="Y290">
        <v>1.2</v>
      </c>
      <c r="Z290">
        <v>0.5</v>
      </c>
      <c r="AA290">
        <v>0.5</v>
      </c>
      <c r="AB290">
        <v>0.3</v>
      </c>
      <c r="AC290">
        <v>1.2</v>
      </c>
      <c r="AD290">
        <v>2.8</v>
      </c>
      <c r="AE290" t="str">
        <f>IF(OR(_nba2122[[#This Row],[G]]&gt;=58,nba2122_advanced[[#This Row],[MP]]&gt;=1000),"Y","N")</f>
        <v>N</v>
      </c>
      <c r="AF29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9.382685043361473</v>
      </c>
    </row>
    <row r="291" spans="1:32" x14ac:dyDescent="0.35">
      <c r="A291">
        <v>290</v>
      </c>
      <c r="B291" s="1" t="s">
        <v>360</v>
      </c>
      <c r="C291" s="1" t="s">
        <v>31</v>
      </c>
      <c r="D291">
        <v>26</v>
      </c>
      <c r="E291" s="1" t="s">
        <v>86</v>
      </c>
      <c r="F291">
        <v>74</v>
      </c>
      <c r="G291">
        <v>74</v>
      </c>
      <c r="H291">
        <v>33.5</v>
      </c>
      <c r="I291">
        <v>10.3</v>
      </c>
      <c r="J291">
        <v>17.7</v>
      </c>
      <c r="K291">
        <v>0.58299999999999996</v>
      </c>
      <c r="L291">
        <v>1.3</v>
      </c>
      <c r="M291">
        <v>3.9</v>
      </c>
      <c r="N291">
        <v>0.33700000000000002</v>
      </c>
      <c r="O291">
        <v>9</v>
      </c>
      <c r="P291">
        <v>13.8</v>
      </c>
      <c r="Q291">
        <v>0.65200000000000002</v>
      </c>
      <c r="R291">
        <v>0.62</v>
      </c>
      <c r="S291">
        <v>5.0999999999999996</v>
      </c>
      <c r="T291">
        <v>6.3</v>
      </c>
      <c r="U291">
        <v>0.81</v>
      </c>
      <c r="V291">
        <v>2.8</v>
      </c>
      <c r="W291">
        <v>11</v>
      </c>
      <c r="X291">
        <v>13.8</v>
      </c>
      <c r="Y291">
        <v>7.9</v>
      </c>
      <c r="Z291">
        <v>1.5</v>
      </c>
      <c r="AA291">
        <v>0.9</v>
      </c>
      <c r="AB291">
        <v>3.8</v>
      </c>
      <c r="AC291">
        <v>2.6</v>
      </c>
      <c r="AD291">
        <v>27.1</v>
      </c>
      <c r="AE291" t="str">
        <f>IF(OR(_nba2122[[#This Row],[G]]&gt;=58,nba2122_advanced[[#This Row],[MP]]&gt;=1000),"Y","N")</f>
        <v>Y</v>
      </c>
      <c r="AF29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15.431163767372306</v>
      </c>
    </row>
    <row r="292" spans="1:32" x14ac:dyDescent="0.35">
      <c r="A292">
        <v>291</v>
      </c>
      <c r="B292" s="1" t="s">
        <v>361</v>
      </c>
      <c r="C292" s="1" t="s">
        <v>48</v>
      </c>
      <c r="D292">
        <v>24</v>
      </c>
      <c r="E292" s="1" t="s">
        <v>42</v>
      </c>
      <c r="F292">
        <v>5</v>
      </c>
      <c r="G292">
        <v>0</v>
      </c>
      <c r="H292">
        <v>4.5999999999999996</v>
      </c>
      <c r="I292">
        <v>0.2</v>
      </c>
      <c r="J292">
        <v>1.8</v>
      </c>
      <c r="K292">
        <v>0.111</v>
      </c>
      <c r="L292">
        <v>0</v>
      </c>
      <c r="M292">
        <v>0.2</v>
      </c>
      <c r="N292">
        <v>0</v>
      </c>
      <c r="O292">
        <v>0.2</v>
      </c>
      <c r="P292">
        <v>1.6</v>
      </c>
      <c r="Q292">
        <v>0.125</v>
      </c>
      <c r="R292">
        <v>0.111</v>
      </c>
      <c r="S292">
        <v>0.4</v>
      </c>
      <c r="T292">
        <v>0.4</v>
      </c>
      <c r="U292">
        <v>1</v>
      </c>
      <c r="V292">
        <v>0.2</v>
      </c>
      <c r="W292">
        <v>0.4</v>
      </c>
      <c r="X292">
        <v>0.6</v>
      </c>
      <c r="Y292">
        <v>1</v>
      </c>
      <c r="Z292">
        <v>0.2</v>
      </c>
      <c r="AA292">
        <v>0</v>
      </c>
      <c r="AB292">
        <v>0.6</v>
      </c>
      <c r="AC292">
        <v>0</v>
      </c>
      <c r="AD292">
        <v>0.8</v>
      </c>
      <c r="AE292" t="str">
        <f>IF(OR(_nba2122[[#This Row],[G]]&gt;=58,nba2122_advanced[[#This Row],[MP]]&gt;=1000),"Y","N")</f>
        <v>N</v>
      </c>
      <c r="AF29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14.104359592561211</v>
      </c>
    </row>
    <row r="293" spans="1:32" x14ac:dyDescent="0.35">
      <c r="A293">
        <v>292</v>
      </c>
      <c r="B293" s="1" t="s">
        <v>362</v>
      </c>
      <c r="C293" s="1" t="s">
        <v>31</v>
      </c>
      <c r="D293">
        <v>26</v>
      </c>
      <c r="E293" s="1" t="s">
        <v>82</v>
      </c>
      <c r="F293">
        <v>56</v>
      </c>
      <c r="G293">
        <v>15</v>
      </c>
      <c r="H293">
        <v>18.2</v>
      </c>
      <c r="I293">
        <v>3.1</v>
      </c>
      <c r="J293">
        <v>4.8</v>
      </c>
      <c r="K293">
        <v>0.65800000000000003</v>
      </c>
      <c r="L293">
        <v>0.2</v>
      </c>
      <c r="M293">
        <v>0.5</v>
      </c>
      <c r="N293">
        <v>0.34499999999999997</v>
      </c>
      <c r="O293">
        <v>2.9</v>
      </c>
      <c r="P293">
        <v>4.2</v>
      </c>
      <c r="Q293">
        <v>0.69599999999999995</v>
      </c>
      <c r="R293">
        <v>0.67700000000000005</v>
      </c>
      <c r="S293">
        <v>1.7</v>
      </c>
      <c r="T293">
        <v>2.2999999999999998</v>
      </c>
      <c r="U293">
        <v>0.71799999999999997</v>
      </c>
      <c r="V293">
        <v>1.3</v>
      </c>
      <c r="W293">
        <v>3.1</v>
      </c>
      <c r="X293">
        <v>4.4000000000000004</v>
      </c>
      <c r="Y293">
        <v>1.2</v>
      </c>
      <c r="Z293">
        <v>0.5</v>
      </c>
      <c r="AA293">
        <v>0.8</v>
      </c>
      <c r="AB293">
        <v>1.1000000000000001</v>
      </c>
      <c r="AC293">
        <v>2.2999999999999998</v>
      </c>
      <c r="AD293">
        <v>8.1</v>
      </c>
      <c r="AE293" t="str">
        <f>IF(OR(_nba2122[[#This Row],[G]]&gt;=58,nba2122_advanced[[#This Row],[MP]]&gt;=1000),"Y","N")</f>
        <v>Y</v>
      </c>
      <c r="AF29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7.7067130341364773</v>
      </c>
    </row>
    <row r="294" spans="1:32" x14ac:dyDescent="0.35">
      <c r="A294">
        <v>293</v>
      </c>
      <c r="B294" s="1" t="s">
        <v>363</v>
      </c>
      <c r="C294" s="1" t="s">
        <v>28</v>
      </c>
      <c r="D294">
        <v>24</v>
      </c>
      <c r="E294" s="1" t="s">
        <v>75</v>
      </c>
      <c r="F294">
        <v>51</v>
      </c>
      <c r="G294">
        <v>8</v>
      </c>
      <c r="H294">
        <v>17.600000000000001</v>
      </c>
      <c r="I294">
        <v>2.1</v>
      </c>
      <c r="J294">
        <v>3.8</v>
      </c>
      <c r="K294">
        <v>0.53800000000000003</v>
      </c>
      <c r="L294">
        <v>0.4</v>
      </c>
      <c r="M294">
        <v>1.2</v>
      </c>
      <c r="N294">
        <v>0.32800000000000001</v>
      </c>
      <c r="O294">
        <v>1.7</v>
      </c>
      <c r="P294">
        <v>2.6</v>
      </c>
      <c r="Q294">
        <v>0.63400000000000001</v>
      </c>
      <c r="R294">
        <v>0.59</v>
      </c>
      <c r="S294">
        <v>1.1000000000000001</v>
      </c>
      <c r="T294">
        <v>1.4</v>
      </c>
      <c r="U294">
        <v>0.8</v>
      </c>
      <c r="V294">
        <v>1.2</v>
      </c>
      <c r="W294">
        <v>2.1</v>
      </c>
      <c r="X294">
        <v>3.3</v>
      </c>
      <c r="Y294">
        <v>0.6</v>
      </c>
      <c r="Z294">
        <v>0.5</v>
      </c>
      <c r="AA294">
        <v>0.6</v>
      </c>
      <c r="AB294">
        <v>0.6</v>
      </c>
      <c r="AC294">
        <v>2.1</v>
      </c>
      <c r="AD294">
        <v>5.6</v>
      </c>
      <c r="AE294" t="str">
        <f>IF(OR(_nba2122[[#This Row],[G]]&gt;=58,nba2122_advanced[[#This Row],[MP]]&gt;=1000),"Y","N")</f>
        <v>N</v>
      </c>
      <c r="AF29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6.0915377712271317</v>
      </c>
    </row>
    <row r="295" spans="1:32" x14ac:dyDescent="0.35">
      <c r="A295">
        <v>294</v>
      </c>
      <c r="B295" s="1" t="s">
        <v>364</v>
      </c>
      <c r="C295" s="1" t="s">
        <v>28</v>
      </c>
      <c r="D295">
        <v>23</v>
      </c>
      <c r="E295" s="1" t="s">
        <v>49</v>
      </c>
      <c r="F295">
        <v>78</v>
      </c>
      <c r="G295">
        <v>69</v>
      </c>
      <c r="H295">
        <v>29.9</v>
      </c>
      <c r="I295">
        <v>3.5</v>
      </c>
      <c r="J295">
        <v>7.4</v>
      </c>
      <c r="K295">
        <v>0.47599999999999998</v>
      </c>
      <c r="L295">
        <v>0.7</v>
      </c>
      <c r="M295">
        <v>2.2000000000000002</v>
      </c>
      <c r="N295">
        <v>0.33700000000000002</v>
      </c>
      <c r="O295">
        <v>2.8</v>
      </c>
      <c r="P295">
        <v>5.2</v>
      </c>
      <c r="Q295">
        <v>0.53300000000000003</v>
      </c>
      <c r="R295">
        <v>0.52500000000000002</v>
      </c>
      <c r="S295">
        <v>1.8</v>
      </c>
      <c r="T295">
        <v>2.1</v>
      </c>
      <c r="U295">
        <v>0.84</v>
      </c>
      <c r="V295">
        <v>1.3</v>
      </c>
      <c r="W295">
        <v>2.5</v>
      </c>
      <c r="X295">
        <v>3.8</v>
      </c>
      <c r="Y295">
        <v>2.1</v>
      </c>
      <c r="Z295">
        <v>1.7</v>
      </c>
      <c r="AA295">
        <v>0.8</v>
      </c>
      <c r="AB295">
        <v>1.3</v>
      </c>
      <c r="AC295">
        <v>3.1</v>
      </c>
      <c r="AD295">
        <v>9.5</v>
      </c>
      <c r="AE295" t="str">
        <f>IF(OR(_nba2122[[#This Row],[G]]&gt;=58,nba2122_advanced[[#This Row],[MP]]&gt;=1000),"Y","N")</f>
        <v>Y</v>
      </c>
      <c r="AF29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5.9460038479194761</v>
      </c>
    </row>
    <row r="296" spans="1:32" x14ac:dyDescent="0.35">
      <c r="A296">
        <v>295</v>
      </c>
      <c r="B296" s="1" t="s">
        <v>365</v>
      </c>
      <c r="C296" s="1" t="s">
        <v>51</v>
      </c>
      <c r="D296">
        <v>26</v>
      </c>
      <c r="E296" s="1" t="s">
        <v>56</v>
      </c>
      <c r="F296">
        <v>2</v>
      </c>
      <c r="G296">
        <v>0</v>
      </c>
      <c r="H296">
        <v>7.5</v>
      </c>
      <c r="I296">
        <v>1</v>
      </c>
      <c r="J296">
        <v>1.5</v>
      </c>
      <c r="K296">
        <v>0.66700000000000004</v>
      </c>
      <c r="L296">
        <v>0</v>
      </c>
      <c r="M296">
        <v>0</v>
      </c>
      <c r="O296">
        <v>1</v>
      </c>
      <c r="P296">
        <v>1.5</v>
      </c>
      <c r="Q296">
        <v>0.66700000000000004</v>
      </c>
      <c r="R296">
        <v>0.66700000000000004</v>
      </c>
      <c r="S296">
        <v>0</v>
      </c>
      <c r="T296">
        <v>0</v>
      </c>
      <c r="V296">
        <v>1</v>
      </c>
      <c r="W296">
        <v>0.5</v>
      </c>
      <c r="X296">
        <v>1.5</v>
      </c>
      <c r="Y296">
        <v>0</v>
      </c>
      <c r="Z296">
        <v>0.5</v>
      </c>
      <c r="AA296">
        <v>0</v>
      </c>
      <c r="AB296">
        <v>0</v>
      </c>
      <c r="AC296">
        <v>1</v>
      </c>
      <c r="AD296">
        <v>2</v>
      </c>
      <c r="AE296" t="str">
        <f>IF(OR(_nba2122[[#This Row],[G]]&gt;=58,nba2122_advanced[[#This Row],[MP]]&gt;=1000),"Y","N")</f>
        <v>N</v>
      </c>
      <c r="AF29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14.787451392187418</v>
      </c>
    </row>
    <row r="297" spans="1:32" x14ac:dyDescent="0.35">
      <c r="A297">
        <v>296</v>
      </c>
      <c r="B297" s="1" t="s">
        <v>366</v>
      </c>
      <c r="C297" s="1" t="s">
        <v>31</v>
      </c>
      <c r="D297">
        <v>21</v>
      </c>
      <c r="E297" s="1" t="s">
        <v>73</v>
      </c>
      <c r="F297">
        <v>21</v>
      </c>
      <c r="G297">
        <v>0</v>
      </c>
      <c r="H297">
        <v>3</v>
      </c>
      <c r="I297">
        <v>0.4</v>
      </c>
      <c r="J297">
        <v>0.7</v>
      </c>
      <c r="K297">
        <v>0.64300000000000002</v>
      </c>
      <c r="L297">
        <v>0</v>
      </c>
      <c r="M297">
        <v>0.1</v>
      </c>
      <c r="N297">
        <v>0.5</v>
      </c>
      <c r="O297">
        <v>0.4</v>
      </c>
      <c r="P297">
        <v>0.6</v>
      </c>
      <c r="Q297">
        <v>0.66700000000000004</v>
      </c>
      <c r="R297">
        <v>0.67900000000000005</v>
      </c>
      <c r="S297">
        <v>0.1</v>
      </c>
      <c r="T297">
        <v>0.4</v>
      </c>
      <c r="U297">
        <v>0.375</v>
      </c>
      <c r="V297">
        <v>0.1</v>
      </c>
      <c r="W297">
        <v>0.4</v>
      </c>
      <c r="X297">
        <v>0.5</v>
      </c>
      <c r="Y297">
        <v>0.2</v>
      </c>
      <c r="Z297">
        <v>0</v>
      </c>
      <c r="AA297">
        <v>0.1</v>
      </c>
      <c r="AB297">
        <v>0.3</v>
      </c>
      <c r="AC297">
        <v>0.4</v>
      </c>
      <c r="AD297">
        <v>1</v>
      </c>
      <c r="AE297" t="str">
        <f>IF(OR(_nba2122[[#This Row],[G]]&gt;=58,nba2122_advanced[[#This Row],[MP]]&gt;=1000),"Y","N")</f>
        <v>N</v>
      </c>
      <c r="AF29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12.969006285676594</v>
      </c>
    </row>
    <row r="298" spans="1:32" x14ac:dyDescent="0.35">
      <c r="A298">
        <v>297</v>
      </c>
      <c r="B298" s="1" t="s">
        <v>367</v>
      </c>
      <c r="C298" s="1" t="s">
        <v>41</v>
      </c>
      <c r="D298">
        <v>23</v>
      </c>
      <c r="E298" s="1" t="s">
        <v>56</v>
      </c>
      <c r="F298">
        <v>4</v>
      </c>
      <c r="G298">
        <v>0</v>
      </c>
      <c r="H298">
        <v>12.8</v>
      </c>
      <c r="I298">
        <v>1.8</v>
      </c>
      <c r="J298">
        <v>3.8</v>
      </c>
      <c r="K298">
        <v>0.46700000000000003</v>
      </c>
      <c r="L298">
        <v>0.3</v>
      </c>
      <c r="M298">
        <v>1</v>
      </c>
      <c r="N298">
        <v>0.25</v>
      </c>
      <c r="O298">
        <v>1.5</v>
      </c>
      <c r="P298">
        <v>2.8</v>
      </c>
      <c r="Q298">
        <v>0.54500000000000004</v>
      </c>
      <c r="R298">
        <v>0.5</v>
      </c>
      <c r="S298">
        <v>3</v>
      </c>
      <c r="T298">
        <v>3.8</v>
      </c>
      <c r="U298">
        <v>0.8</v>
      </c>
      <c r="V298">
        <v>0.3</v>
      </c>
      <c r="W298">
        <v>2.2999999999999998</v>
      </c>
      <c r="X298">
        <v>2.5</v>
      </c>
      <c r="Y298">
        <v>1</v>
      </c>
      <c r="Z298">
        <v>0.5</v>
      </c>
      <c r="AA298">
        <v>0</v>
      </c>
      <c r="AB298">
        <v>0.3</v>
      </c>
      <c r="AC298">
        <v>2</v>
      </c>
      <c r="AD298">
        <v>6.8</v>
      </c>
      <c r="AE298" t="str">
        <f>IF(OR(_nba2122[[#This Row],[G]]&gt;=58,nba2122_advanced[[#This Row],[MP]]&gt;=1000),"Y","N")</f>
        <v>N</v>
      </c>
      <c r="AF29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10.024235359134735</v>
      </c>
    </row>
    <row r="299" spans="1:32" x14ac:dyDescent="0.35">
      <c r="A299">
        <v>298</v>
      </c>
      <c r="B299" s="1" t="s">
        <v>368</v>
      </c>
      <c r="C299" s="1" t="s">
        <v>48</v>
      </c>
      <c r="D299">
        <v>22</v>
      </c>
      <c r="E299" s="1" t="s">
        <v>91</v>
      </c>
      <c r="F299">
        <v>69</v>
      </c>
      <c r="G299">
        <v>11</v>
      </c>
      <c r="H299">
        <v>16.600000000000001</v>
      </c>
      <c r="I299">
        <v>2.4</v>
      </c>
      <c r="J299">
        <v>4.9000000000000004</v>
      </c>
      <c r="K299">
        <v>0.49</v>
      </c>
      <c r="L299">
        <v>0.1</v>
      </c>
      <c r="M299">
        <v>0.7</v>
      </c>
      <c r="N299">
        <v>0.19600000000000001</v>
      </c>
      <c r="O299">
        <v>2.2999999999999998</v>
      </c>
      <c r="P299">
        <v>4.2</v>
      </c>
      <c r="Q299">
        <v>0.54200000000000004</v>
      </c>
      <c r="R299">
        <v>0.504</v>
      </c>
      <c r="S299">
        <v>1</v>
      </c>
      <c r="T299">
        <v>1.3</v>
      </c>
      <c r="U299">
        <v>0.78</v>
      </c>
      <c r="V299">
        <v>0.4</v>
      </c>
      <c r="W299">
        <v>1.8</v>
      </c>
      <c r="X299">
        <v>2.2000000000000002</v>
      </c>
      <c r="Y299">
        <v>3.4</v>
      </c>
      <c r="Z299">
        <v>0.6</v>
      </c>
      <c r="AA299">
        <v>0.1</v>
      </c>
      <c r="AB299">
        <v>0.7</v>
      </c>
      <c r="AC299">
        <v>1.1000000000000001</v>
      </c>
      <c r="AD299">
        <v>6</v>
      </c>
      <c r="AE299" t="str">
        <f>IF(OR(_nba2122[[#This Row],[G]]&gt;=58,nba2122_advanced[[#This Row],[MP]]&gt;=1000),"Y","N")</f>
        <v>Y</v>
      </c>
      <c r="AF29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6.8299858695080173</v>
      </c>
    </row>
    <row r="300" spans="1:32" x14ac:dyDescent="0.35">
      <c r="A300">
        <v>299</v>
      </c>
      <c r="B300" s="1" t="s">
        <v>369</v>
      </c>
      <c r="C300" s="1" t="s">
        <v>48</v>
      </c>
      <c r="D300">
        <v>25</v>
      </c>
      <c r="E300" s="1" t="s">
        <v>34</v>
      </c>
      <c r="F300">
        <v>73</v>
      </c>
      <c r="G300">
        <v>23</v>
      </c>
      <c r="H300">
        <v>21.2</v>
      </c>
      <c r="I300">
        <v>3.4</v>
      </c>
      <c r="J300">
        <v>7.6</v>
      </c>
      <c r="K300">
        <v>0.45100000000000001</v>
      </c>
      <c r="L300">
        <v>1.1000000000000001</v>
      </c>
      <c r="M300">
        <v>2.8</v>
      </c>
      <c r="N300">
        <v>0.39</v>
      </c>
      <c r="O300">
        <v>2.2999999999999998</v>
      </c>
      <c r="P300">
        <v>4.8</v>
      </c>
      <c r="Q300">
        <v>0.48699999999999999</v>
      </c>
      <c r="R300">
        <v>0.52400000000000002</v>
      </c>
      <c r="S300">
        <v>0.7</v>
      </c>
      <c r="T300">
        <v>0.9</v>
      </c>
      <c r="U300">
        <v>0.81799999999999995</v>
      </c>
      <c r="V300">
        <v>0.2</v>
      </c>
      <c r="W300">
        <v>2.2000000000000002</v>
      </c>
      <c r="X300">
        <v>2.4</v>
      </c>
      <c r="Y300">
        <v>4.4000000000000004</v>
      </c>
      <c r="Z300">
        <v>0.9</v>
      </c>
      <c r="AA300">
        <v>0</v>
      </c>
      <c r="AB300">
        <v>0.6</v>
      </c>
      <c r="AC300">
        <v>0.4</v>
      </c>
      <c r="AD300">
        <v>8.6999999999999993</v>
      </c>
      <c r="AE300" t="str">
        <f>IF(OR(_nba2122[[#This Row],[G]]&gt;=58,nba2122_advanced[[#This Row],[MP]]&gt;=1000),"Y","N")</f>
        <v>Y</v>
      </c>
      <c r="AF30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7.7181018380262127</v>
      </c>
    </row>
    <row r="301" spans="1:32" x14ac:dyDescent="0.35">
      <c r="A301">
        <v>300</v>
      </c>
      <c r="B301" s="1" t="s">
        <v>370</v>
      </c>
      <c r="C301" s="1" t="s">
        <v>31</v>
      </c>
      <c r="D301">
        <v>33</v>
      </c>
      <c r="E301" s="1" t="s">
        <v>42</v>
      </c>
      <c r="F301">
        <v>48</v>
      </c>
      <c r="G301">
        <v>20</v>
      </c>
      <c r="H301">
        <v>13</v>
      </c>
      <c r="I301">
        <v>1.9</v>
      </c>
      <c r="J301">
        <v>3</v>
      </c>
      <c r="K301">
        <v>0.64300000000000002</v>
      </c>
      <c r="L301">
        <v>0</v>
      </c>
      <c r="M301">
        <v>0</v>
      </c>
      <c r="O301">
        <v>1.9</v>
      </c>
      <c r="P301">
        <v>3</v>
      </c>
      <c r="Q301">
        <v>0.64300000000000002</v>
      </c>
      <c r="R301">
        <v>0.64300000000000002</v>
      </c>
      <c r="S301">
        <v>0.5</v>
      </c>
      <c r="T301">
        <v>0.8</v>
      </c>
      <c r="U301">
        <v>0.55000000000000004</v>
      </c>
      <c r="V301">
        <v>1.7</v>
      </c>
      <c r="W301">
        <v>3.8</v>
      </c>
      <c r="X301">
        <v>5.5</v>
      </c>
      <c r="Y301">
        <v>0.4</v>
      </c>
      <c r="Z301">
        <v>0.3</v>
      </c>
      <c r="AA301">
        <v>0.7</v>
      </c>
      <c r="AB301">
        <v>0.8</v>
      </c>
      <c r="AC301">
        <v>1.5</v>
      </c>
      <c r="AD301">
        <v>4.3</v>
      </c>
      <c r="AE301" t="str">
        <f>IF(OR(_nba2122[[#This Row],[G]]&gt;=58,nba2122_advanced[[#This Row],[MP]]&gt;=1000),"Y","N")</f>
        <v>N</v>
      </c>
      <c r="AF30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11.606128142440451</v>
      </c>
    </row>
    <row r="302" spans="1:32" x14ac:dyDescent="0.35">
      <c r="A302">
        <v>301</v>
      </c>
      <c r="B302" s="1" t="s">
        <v>371</v>
      </c>
      <c r="C302" s="1" t="s">
        <v>48</v>
      </c>
      <c r="D302">
        <v>30</v>
      </c>
      <c r="E302" s="1" t="s">
        <v>105</v>
      </c>
      <c r="F302">
        <v>65</v>
      </c>
      <c r="G302">
        <v>39</v>
      </c>
      <c r="H302">
        <v>24.6</v>
      </c>
      <c r="I302">
        <v>2.7</v>
      </c>
      <c r="J302">
        <v>6.2</v>
      </c>
      <c r="K302">
        <v>0.44500000000000001</v>
      </c>
      <c r="L302">
        <v>1</v>
      </c>
      <c r="M302">
        <v>2.4</v>
      </c>
      <c r="N302">
        <v>0.41399999999999998</v>
      </c>
      <c r="O302">
        <v>1.7</v>
      </c>
      <c r="P302">
        <v>3.7</v>
      </c>
      <c r="Q302">
        <v>0.46500000000000002</v>
      </c>
      <c r="R302">
        <v>0.52600000000000002</v>
      </c>
      <c r="S302">
        <v>1.5</v>
      </c>
      <c r="T302">
        <v>1.7</v>
      </c>
      <c r="U302">
        <v>0.88500000000000001</v>
      </c>
      <c r="V302">
        <v>0.4</v>
      </c>
      <c r="W302">
        <v>2.2000000000000002</v>
      </c>
      <c r="X302">
        <v>2.7</v>
      </c>
      <c r="Y302">
        <v>3.6</v>
      </c>
      <c r="Z302">
        <v>0.6</v>
      </c>
      <c r="AA302">
        <v>0.3</v>
      </c>
      <c r="AB302">
        <v>1.3</v>
      </c>
      <c r="AC302">
        <v>2.2999999999999998</v>
      </c>
      <c r="AD302">
        <v>8</v>
      </c>
      <c r="AE302" t="str">
        <f>IF(OR(_nba2122[[#This Row],[G]]&gt;=58,nba2122_advanced[[#This Row],[MP]]&gt;=1000),"Y","N")</f>
        <v>Y</v>
      </c>
      <c r="AF30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4.8277326402292164</v>
      </c>
    </row>
    <row r="303" spans="1:32" x14ac:dyDescent="0.35">
      <c r="A303">
        <v>302</v>
      </c>
      <c r="B303" s="1" t="s">
        <v>372</v>
      </c>
      <c r="C303" s="1" t="s">
        <v>51</v>
      </c>
      <c r="D303">
        <v>23</v>
      </c>
      <c r="E303" s="1" t="s">
        <v>42</v>
      </c>
      <c r="F303">
        <v>13</v>
      </c>
      <c r="G303">
        <v>4</v>
      </c>
      <c r="H303">
        <v>16.5</v>
      </c>
      <c r="I303">
        <v>2.4</v>
      </c>
      <c r="J303">
        <v>5.2</v>
      </c>
      <c r="K303">
        <v>0.46300000000000002</v>
      </c>
      <c r="L303">
        <v>0.8</v>
      </c>
      <c r="M303">
        <v>2</v>
      </c>
      <c r="N303">
        <v>0.38500000000000001</v>
      </c>
      <c r="O303">
        <v>1.6</v>
      </c>
      <c r="P303">
        <v>3.2</v>
      </c>
      <c r="Q303">
        <v>0.51200000000000001</v>
      </c>
      <c r="R303">
        <v>0.53700000000000003</v>
      </c>
      <c r="S303">
        <v>1.1000000000000001</v>
      </c>
      <c r="T303">
        <v>2.2999999999999998</v>
      </c>
      <c r="U303">
        <v>0.46700000000000003</v>
      </c>
      <c r="V303">
        <v>0.5</v>
      </c>
      <c r="W303">
        <v>1.2</v>
      </c>
      <c r="X303">
        <v>1.6</v>
      </c>
      <c r="Y303">
        <v>0.9</v>
      </c>
      <c r="Z303">
        <v>0.8</v>
      </c>
      <c r="AA303">
        <v>0.2</v>
      </c>
      <c r="AB303">
        <v>1.5</v>
      </c>
      <c r="AC303">
        <v>1.5</v>
      </c>
      <c r="AD303">
        <v>6.6</v>
      </c>
      <c r="AE303" t="str">
        <f>IF(OR(_nba2122[[#This Row],[G]]&gt;=58,nba2122_advanced[[#This Row],[MP]]&gt;=1000),"Y","N")</f>
        <v>N</v>
      </c>
      <c r="AF30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7.3402398451401343</v>
      </c>
    </row>
    <row r="304" spans="1:32" x14ac:dyDescent="0.35">
      <c r="A304">
        <v>303</v>
      </c>
      <c r="B304" s="1" t="s">
        <v>373</v>
      </c>
      <c r="C304" s="1" t="s">
        <v>31</v>
      </c>
      <c r="D304">
        <v>28</v>
      </c>
      <c r="E304" s="1" t="s">
        <v>68</v>
      </c>
      <c r="F304">
        <v>9</v>
      </c>
      <c r="G304">
        <v>0</v>
      </c>
      <c r="H304">
        <v>20.100000000000001</v>
      </c>
      <c r="I304">
        <v>4</v>
      </c>
      <c r="J304">
        <v>7.3</v>
      </c>
      <c r="K304">
        <v>0.54500000000000004</v>
      </c>
      <c r="L304">
        <v>0.6</v>
      </c>
      <c r="M304">
        <v>1.7</v>
      </c>
      <c r="N304">
        <v>0.33300000000000002</v>
      </c>
      <c r="O304">
        <v>3.4</v>
      </c>
      <c r="P304">
        <v>5.7</v>
      </c>
      <c r="Q304">
        <v>0.60799999999999998</v>
      </c>
      <c r="R304">
        <v>0.58299999999999996</v>
      </c>
      <c r="S304">
        <v>2</v>
      </c>
      <c r="T304">
        <v>2.2000000000000002</v>
      </c>
      <c r="U304">
        <v>0.9</v>
      </c>
      <c r="V304">
        <v>1.2</v>
      </c>
      <c r="W304">
        <v>3.3</v>
      </c>
      <c r="X304">
        <v>4.5999999999999996</v>
      </c>
      <c r="Y304">
        <v>1.4</v>
      </c>
      <c r="Z304">
        <v>0.9</v>
      </c>
      <c r="AA304">
        <v>0.8</v>
      </c>
      <c r="AB304">
        <v>0.6</v>
      </c>
      <c r="AC304">
        <v>1.6</v>
      </c>
      <c r="AD304">
        <v>10.6</v>
      </c>
      <c r="AE304" t="str">
        <f>IF(OR(_nba2122[[#This Row],[G]]&gt;=58,nba2122_advanced[[#This Row],[MP]]&gt;=1000),"Y","N")</f>
        <v>N</v>
      </c>
      <c r="AF30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6.0548524509447939</v>
      </c>
    </row>
    <row r="305" spans="1:32" x14ac:dyDescent="0.35">
      <c r="A305">
        <v>304</v>
      </c>
      <c r="B305" s="1" t="s">
        <v>374</v>
      </c>
      <c r="C305" s="1" t="s">
        <v>41</v>
      </c>
      <c r="D305">
        <v>25</v>
      </c>
      <c r="E305" s="1" t="s">
        <v>93</v>
      </c>
      <c r="F305">
        <v>70</v>
      </c>
      <c r="G305">
        <v>13</v>
      </c>
      <c r="H305">
        <v>27.4</v>
      </c>
      <c r="I305">
        <v>4.0999999999999996</v>
      </c>
      <c r="J305">
        <v>9.1</v>
      </c>
      <c r="K305">
        <v>0.44900000000000001</v>
      </c>
      <c r="L305">
        <v>2.7</v>
      </c>
      <c r="M305">
        <v>6</v>
      </c>
      <c r="N305">
        <v>0.44900000000000001</v>
      </c>
      <c r="O305">
        <v>1.4</v>
      </c>
      <c r="P305">
        <v>3.1</v>
      </c>
      <c r="Q305">
        <v>0.44900000000000001</v>
      </c>
      <c r="R305">
        <v>0.59799999999999998</v>
      </c>
      <c r="S305">
        <v>1</v>
      </c>
      <c r="T305">
        <v>1.1000000000000001</v>
      </c>
      <c r="U305">
        <v>0.89600000000000002</v>
      </c>
      <c r="V305">
        <v>0.3</v>
      </c>
      <c r="W305">
        <v>3</v>
      </c>
      <c r="X305">
        <v>3.3</v>
      </c>
      <c r="Y305">
        <v>2.1</v>
      </c>
      <c r="Z305">
        <v>0.6</v>
      </c>
      <c r="AA305">
        <v>0.1</v>
      </c>
      <c r="AB305">
        <v>0.9</v>
      </c>
      <c r="AC305">
        <v>1.4</v>
      </c>
      <c r="AD305">
        <v>11.9</v>
      </c>
      <c r="AE305" t="str">
        <f>IF(OR(_nba2122[[#This Row],[G]]&gt;=58,nba2122_advanced[[#This Row],[MP]]&gt;=1000),"Y","N")</f>
        <v>Y</v>
      </c>
      <c r="AF30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6.4611362808304982</v>
      </c>
    </row>
    <row r="306" spans="1:32" x14ac:dyDescent="0.35">
      <c r="A306">
        <v>305</v>
      </c>
      <c r="B306" s="1" t="s">
        <v>375</v>
      </c>
      <c r="C306" s="1" t="s">
        <v>51</v>
      </c>
      <c r="D306">
        <v>24</v>
      </c>
      <c r="E306" s="1" t="s">
        <v>42</v>
      </c>
      <c r="F306">
        <v>11</v>
      </c>
      <c r="G306">
        <v>0</v>
      </c>
      <c r="H306">
        <v>17.899999999999999</v>
      </c>
      <c r="I306">
        <v>3</v>
      </c>
      <c r="J306">
        <v>6.5</v>
      </c>
      <c r="K306">
        <v>0.45800000000000002</v>
      </c>
      <c r="L306">
        <v>0.5</v>
      </c>
      <c r="M306">
        <v>1.9</v>
      </c>
      <c r="N306">
        <v>0.28599999999999998</v>
      </c>
      <c r="O306">
        <v>2.5</v>
      </c>
      <c r="P306">
        <v>4.5999999999999996</v>
      </c>
      <c r="Q306">
        <v>0.52900000000000003</v>
      </c>
      <c r="R306">
        <v>0.5</v>
      </c>
      <c r="S306">
        <v>0.6</v>
      </c>
      <c r="T306">
        <v>1.2</v>
      </c>
      <c r="U306">
        <v>0.53800000000000003</v>
      </c>
      <c r="V306">
        <v>1.2</v>
      </c>
      <c r="W306">
        <v>3.4</v>
      </c>
      <c r="X306">
        <v>4.5</v>
      </c>
      <c r="Y306">
        <v>1</v>
      </c>
      <c r="Z306">
        <v>0.9</v>
      </c>
      <c r="AA306">
        <v>1</v>
      </c>
      <c r="AB306">
        <v>1</v>
      </c>
      <c r="AC306">
        <v>2.4</v>
      </c>
      <c r="AD306">
        <v>7.2</v>
      </c>
      <c r="AE306" t="str">
        <f>IF(OR(_nba2122[[#This Row],[G]]&gt;=58,nba2122_advanced[[#This Row],[MP]]&gt;=1000),"Y","N")</f>
        <v>N</v>
      </c>
      <c r="AF30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7.2443648322932344</v>
      </c>
    </row>
    <row r="307" spans="1:32" x14ac:dyDescent="0.35">
      <c r="A307">
        <v>306</v>
      </c>
      <c r="B307" s="1" t="s">
        <v>376</v>
      </c>
      <c r="C307" s="1" t="s">
        <v>51</v>
      </c>
      <c r="D307">
        <v>28</v>
      </c>
      <c r="E307" s="1" t="s">
        <v>143</v>
      </c>
      <c r="F307">
        <v>4</v>
      </c>
      <c r="G307">
        <v>0</v>
      </c>
      <c r="H307">
        <v>4.8</v>
      </c>
      <c r="I307">
        <v>0</v>
      </c>
      <c r="J307">
        <v>1.3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0.3</v>
      </c>
      <c r="Q307">
        <v>0</v>
      </c>
      <c r="R307">
        <v>0</v>
      </c>
      <c r="S307">
        <v>0.3</v>
      </c>
      <c r="T307">
        <v>0.5</v>
      </c>
      <c r="U307">
        <v>0.5</v>
      </c>
      <c r="V307">
        <v>0</v>
      </c>
      <c r="W307">
        <v>1.3</v>
      </c>
      <c r="X307">
        <v>1.3</v>
      </c>
      <c r="Y307">
        <v>0</v>
      </c>
      <c r="Z307">
        <v>0</v>
      </c>
      <c r="AA307">
        <v>0</v>
      </c>
      <c r="AB307">
        <v>0.3</v>
      </c>
      <c r="AC307">
        <v>1</v>
      </c>
      <c r="AD307">
        <v>0.3</v>
      </c>
      <c r="AE307" t="str">
        <f>IF(OR(_nba2122[[#This Row],[G]]&gt;=58,nba2122_advanced[[#This Row],[MP]]&gt;=1000),"Y","N")</f>
        <v>N</v>
      </c>
      <c r="AF30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16.542500106304988</v>
      </c>
    </row>
    <row r="308" spans="1:32" x14ac:dyDescent="0.35">
      <c r="A308">
        <v>307</v>
      </c>
      <c r="B308" s="1" t="s">
        <v>377</v>
      </c>
      <c r="C308" s="1" t="s">
        <v>51</v>
      </c>
      <c r="D308">
        <v>22</v>
      </c>
      <c r="E308" s="1" t="s">
        <v>82</v>
      </c>
      <c r="F308">
        <v>10</v>
      </c>
      <c r="G308">
        <v>0</v>
      </c>
      <c r="H308">
        <v>10.4</v>
      </c>
      <c r="I308">
        <v>1.5</v>
      </c>
      <c r="J308">
        <v>4.7</v>
      </c>
      <c r="K308">
        <v>0.31900000000000001</v>
      </c>
      <c r="L308">
        <v>0.8</v>
      </c>
      <c r="M308">
        <v>2.7</v>
      </c>
      <c r="N308">
        <v>0.29599999999999999</v>
      </c>
      <c r="O308">
        <v>0.7</v>
      </c>
      <c r="P308">
        <v>2</v>
      </c>
      <c r="Q308">
        <v>0.35</v>
      </c>
      <c r="R308">
        <v>0.40400000000000003</v>
      </c>
      <c r="S308">
        <v>0.7</v>
      </c>
      <c r="T308">
        <v>1</v>
      </c>
      <c r="U308">
        <v>0.7</v>
      </c>
      <c r="V308">
        <v>0</v>
      </c>
      <c r="W308">
        <v>1.2</v>
      </c>
      <c r="X308">
        <v>1.2</v>
      </c>
      <c r="Y308">
        <v>0.9</v>
      </c>
      <c r="Z308">
        <v>0.2</v>
      </c>
      <c r="AA308">
        <v>0.1</v>
      </c>
      <c r="AB308">
        <v>0</v>
      </c>
      <c r="AC308">
        <v>1.4</v>
      </c>
      <c r="AD308">
        <v>4.5</v>
      </c>
      <c r="AE308" t="str">
        <f>IF(OR(_nba2122[[#This Row],[G]]&gt;=58,nba2122_advanced[[#This Row],[MP]]&gt;=1000),"Y","N")</f>
        <v>N</v>
      </c>
      <c r="AF30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9.4284065521715856</v>
      </c>
    </row>
    <row r="309" spans="1:32" x14ac:dyDescent="0.35">
      <c r="A309">
        <v>308</v>
      </c>
      <c r="B309" s="1" t="s">
        <v>378</v>
      </c>
      <c r="C309" s="1" t="s">
        <v>51</v>
      </c>
      <c r="D309">
        <v>22</v>
      </c>
      <c r="E309" s="1" t="s">
        <v>65</v>
      </c>
      <c r="F309">
        <v>77</v>
      </c>
      <c r="G309">
        <v>36</v>
      </c>
      <c r="H309">
        <v>23.4</v>
      </c>
      <c r="I309">
        <v>3</v>
      </c>
      <c r="J309">
        <v>6.7</v>
      </c>
      <c r="K309">
        <v>0.45500000000000002</v>
      </c>
      <c r="L309">
        <v>1.5</v>
      </c>
      <c r="M309">
        <v>4.2</v>
      </c>
      <c r="N309">
        <v>0.35</v>
      </c>
      <c r="O309">
        <v>1.6</v>
      </c>
      <c r="P309">
        <v>2.5</v>
      </c>
      <c r="Q309">
        <v>0.629</v>
      </c>
      <c r="R309">
        <v>0.56399999999999995</v>
      </c>
      <c r="S309">
        <v>0.7</v>
      </c>
      <c r="T309">
        <v>0.8</v>
      </c>
      <c r="U309">
        <v>0.871</v>
      </c>
      <c r="V309">
        <v>0.7</v>
      </c>
      <c r="W309">
        <v>2</v>
      </c>
      <c r="X309">
        <v>2.7</v>
      </c>
      <c r="Y309">
        <v>1.1000000000000001</v>
      </c>
      <c r="Z309">
        <v>0.5</v>
      </c>
      <c r="AA309">
        <v>0.3</v>
      </c>
      <c r="AB309">
        <v>0.6</v>
      </c>
      <c r="AC309">
        <v>1.2</v>
      </c>
      <c r="AD309">
        <v>8.1999999999999993</v>
      </c>
      <c r="AE309" t="str">
        <f>IF(OR(_nba2122[[#This Row],[G]]&gt;=58,nba2122_advanced[[#This Row],[MP]]&gt;=1000),"Y","N")</f>
        <v>Y</v>
      </c>
      <c r="AF30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7.0125940286301711</v>
      </c>
    </row>
    <row r="310" spans="1:32" x14ac:dyDescent="0.35">
      <c r="A310">
        <v>309</v>
      </c>
      <c r="B310" s="1" t="s">
        <v>379</v>
      </c>
      <c r="C310" s="1" t="s">
        <v>28</v>
      </c>
      <c r="D310">
        <v>30</v>
      </c>
      <c r="E310" s="1" t="s">
        <v>143</v>
      </c>
      <c r="F310">
        <v>59</v>
      </c>
      <c r="G310">
        <v>21</v>
      </c>
      <c r="H310">
        <v>24.6</v>
      </c>
      <c r="I310">
        <v>2.4</v>
      </c>
      <c r="J310">
        <v>6</v>
      </c>
      <c r="K310">
        <v>0.39800000000000002</v>
      </c>
      <c r="L310">
        <v>1.4</v>
      </c>
      <c r="M310">
        <v>4.3</v>
      </c>
      <c r="N310">
        <v>0.32500000000000001</v>
      </c>
      <c r="O310">
        <v>1</v>
      </c>
      <c r="P310">
        <v>1.7</v>
      </c>
      <c r="Q310">
        <v>0.58599999999999997</v>
      </c>
      <c r="R310">
        <v>0.51600000000000001</v>
      </c>
      <c r="S310">
        <v>0.8</v>
      </c>
      <c r="T310">
        <v>1.1000000000000001</v>
      </c>
      <c r="U310">
        <v>0.70799999999999996</v>
      </c>
      <c r="V310">
        <v>1.2</v>
      </c>
      <c r="W310">
        <v>4.7</v>
      </c>
      <c r="X310">
        <v>5.9</v>
      </c>
      <c r="Y310">
        <v>1.2</v>
      </c>
      <c r="Z310">
        <v>0.5</v>
      </c>
      <c r="AA310">
        <v>1</v>
      </c>
      <c r="AB310">
        <v>0.8</v>
      </c>
      <c r="AC310">
        <v>2.2999999999999998</v>
      </c>
      <c r="AD310">
        <v>7</v>
      </c>
      <c r="AE310" t="str">
        <f>IF(OR(_nba2122[[#This Row],[G]]&gt;=58,nba2122_advanced[[#This Row],[MP]]&gt;=1000),"Y","N")</f>
        <v>Y</v>
      </c>
      <c r="AF31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7.6248075467117085</v>
      </c>
    </row>
    <row r="311" spans="1:32" x14ac:dyDescent="0.35">
      <c r="A311">
        <v>310</v>
      </c>
      <c r="B311" s="1" t="s">
        <v>380</v>
      </c>
      <c r="C311" s="1" t="s">
        <v>48</v>
      </c>
      <c r="D311">
        <v>30</v>
      </c>
      <c r="E311" s="1" t="s">
        <v>143</v>
      </c>
      <c r="F311">
        <v>5</v>
      </c>
      <c r="G311">
        <v>0</v>
      </c>
      <c r="H311">
        <v>13</v>
      </c>
      <c r="I311">
        <v>2</v>
      </c>
      <c r="J311">
        <v>5</v>
      </c>
      <c r="K311">
        <v>0.4</v>
      </c>
      <c r="L311">
        <v>0.8</v>
      </c>
      <c r="M311">
        <v>3.4</v>
      </c>
      <c r="N311">
        <v>0.23499999999999999</v>
      </c>
      <c r="O311">
        <v>1.2</v>
      </c>
      <c r="P311">
        <v>1.6</v>
      </c>
      <c r="Q311">
        <v>0.75</v>
      </c>
      <c r="R311">
        <v>0.48</v>
      </c>
      <c r="S311">
        <v>1.6</v>
      </c>
      <c r="T311">
        <v>1.6</v>
      </c>
      <c r="U311">
        <v>1</v>
      </c>
      <c r="V311">
        <v>0</v>
      </c>
      <c r="W311">
        <v>1.6</v>
      </c>
      <c r="X311">
        <v>1.6</v>
      </c>
      <c r="Y311">
        <v>1.6</v>
      </c>
      <c r="Z311">
        <v>0.2</v>
      </c>
      <c r="AA311">
        <v>0</v>
      </c>
      <c r="AB311">
        <v>0.8</v>
      </c>
      <c r="AC311">
        <v>1</v>
      </c>
      <c r="AD311">
        <v>6.4</v>
      </c>
      <c r="AE311" t="str">
        <f>IF(OR(_nba2122[[#This Row],[G]]&gt;=58,nba2122_advanced[[#This Row],[MP]]&gt;=1000),"Y","N")</f>
        <v>N</v>
      </c>
      <c r="AF31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8.4328394142110206</v>
      </c>
    </row>
    <row r="312" spans="1:32" x14ac:dyDescent="0.35">
      <c r="A312">
        <v>311</v>
      </c>
      <c r="B312" s="1" t="s">
        <v>381</v>
      </c>
      <c r="C312" s="1" t="s">
        <v>28</v>
      </c>
      <c r="D312">
        <v>24</v>
      </c>
      <c r="E312" s="1" t="s">
        <v>99</v>
      </c>
      <c r="F312">
        <v>37</v>
      </c>
      <c r="G312">
        <v>2</v>
      </c>
      <c r="H312">
        <v>7.2</v>
      </c>
      <c r="I312">
        <v>1.2</v>
      </c>
      <c r="J312">
        <v>2.4</v>
      </c>
      <c r="K312">
        <v>0.51100000000000001</v>
      </c>
      <c r="L312">
        <v>0.1</v>
      </c>
      <c r="M312">
        <v>0.4</v>
      </c>
      <c r="N312">
        <v>0.308</v>
      </c>
      <c r="O312">
        <v>1.1000000000000001</v>
      </c>
      <c r="P312">
        <v>2</v>
      </c>
      <c r="Q312">
        <v>0.54700000000000004</v>
      </c>
      <c r="R312">
        <v>0.53400000000000003</v>
      </c>
      <c r="S312">
        <v>1.2</v>
      </c>
      <c r="T312">
        <v>1.6</v>
      </c>
      <c r="U312">
        <v>0.73299999999999998</v>
      </c>
      <c r="V312">
        <v>0.9</v>
      </c>
      <c r="W312">
        <v>1.4</v>
      </c>
      <c r="X312">
        <v>2.2999999999999998</v>
      </c>
      <c r="Y312">
        <v>0.6</v>
      </c>
      <c r="Z312">
        <v>0.2</v>
      </c>
      <c r="AA312">
        <v>0.2</v>
      </c>
      <c r="AB312">
        <v>0.5</v>
      </c>
      <c r="AC312">
        <v>1.1000000000000001</v>
      </c>
      <c r="AD312">
        <v>3.7</v>
      </c>
      <c r="AE312" t="str">
        <f>IF(OR(_nba2122[[#This Row],[G]]&gt;=58,nba2122_advanced[[#This Row],[MP]]&gt;=1000),"Y","N")</f>
        <v>N</v>
      </c>
      <c r="AF31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9.4998643810822152</v>
      </c>
    </row>
    <row r="313" spans="1:32" x14ac:dyDescent="0.35">
      <c r="A313">
        <v>312</v>
      </c>
      <c r="B313" s="1" t="s">
        <v>382</v>
      </c>
      <c r="C313" s="1" t="s">
        <v>51</v>
      </c>
      <c r="D313">
        <v>22</v>
      </c>
      <c r="E313" s="1" t="s">
        <v>42</v>
      </c>
      <c r="F313">
        <v>30</v>
      </c>
      <c r="G313">
        <v>0</v>
      </c>
      <c r="H313">
        <v>7.4</v>
      </c>
      <c r="I313">
        <v>1</v>
      </c>
      <c r="J313">
        <v>2.8</v>
      </c>
      <c r="K313">
        <v>0.36499999999999999</v>
      </c>
      <c r="L313">
        <v>0.5</v>
      </c>
      <c r="M313">
        <v>1.8</v>
      </c>
      <c r="N313">
        <v>0.27800000000000002</v>
      </c>
      <c r="O313">
        <v>0.5</v>
      </c>
      <c r="P313">
        <v>1</v>
      </c>
      <c r="Q313">
        <v>0.51600000000000001</v>
      </c>
      <c r="R313">
        <v>0.45300000000000001</v>
      </c>
      <c r="S313">
        <v>0.5</v>
      </c>
      <c r="T313">
        <v>0.7</v>
      </c>
      <c r="U313">
        <v>0.72699999999999998</v>
      </c>
      <c r="V313">
        <v>0.5</v>
      </c>
      <c r="W313">
        <v>1</v>
      </c>
      <c r="X313">
        <v>1.5</v>
      </c>
      <c r="Y313">
        <v>0.3</v>
      </c>
      <c r="Z313">
        <v>0.1</v>
      </c>
      <c r="AA313">
        <v>0.1</v>
      </c>
      <c r="AB313">
        <v>0.2</v>
      </c>
      <c r="AC313">
        <v>0.6</v>
      </c>
      <c r="AD313">
        <v>3.1</v>
      </c>
      <c r="AE313" t="str">
        <f>IF(OR(_nba2122[[#This Row],[G]]&gt;=58,nba2122_advanced[[#This Row],[MP]]&gt;=1000),"Y","N")</f>
        <v>N</v>
      </c>
      <c r="AF31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9.2079810231563517</v>
      </c>
    </row>
    <row r="314" spans="1:32" x14ac:dyDescent="0.35">
      <c r="A314">
        <v>313</v>
      </c>
      <c r="B314" s="1" t="s">
        <v>383</v>
      </c>
      <c r="C314" s="1" t="s">
        <v>41</v>
      </c>
      <c r="D314">
        <v>25</v>
      </c>
      <c r="E314" s="1" t="s">
        <v>34</v>
      </c>
      <c r="F314">
        <v>72</v>
      </c>
      <c r="G314">
        <v>7</v>
      </c>
      <c r="H314">
        <v>17.899999999999999</v>
      </c>
      <c r="I314">
        <v>1.9</v>
      </c>
      <c r="J314">
        <v>3.6</v>
      </c>
      <c r="K314">
        <v>0.51500000000000001</v>
      </c>
      <c r="L314">
        <v>0.7</v>
      </c>
      <c r="M314">
        <v>1.8</v>
      </c>
      <c r="N314">
        <v>0.41299999999999998</v>
      </c>
      <c r="O314">
        <v>1.2</v>
      </c>
      <c r="P314">
        <v>1.9</v>
      </c>
      <c r="Q314">
        <v>0.61</v>
      </c>
      <c r="R314">
        <v>0.61499999999999999</v>
      </c>
      <c r="S314">
        <v>0.4</v>
      </c>
      <c r="T314">
        <v>0.7</v>
      </c>
      <c r="U314">
        <v>0.55100000000000005</v>
      </c>
      <c r="V314">
        <v>1.2</v>
      </c>
      <c r="W314">
        <v>3.4</v>
      </c>
      <c r="X314">
        <v>4.5999999999999996</v>
      </c>
      <c r="Y314">
        <v>1.5</v>
      </c>
      <c r="Z314">
        <v>0.6</v>
      </c>
      <c r="AA314">
        <v>0.3</v>
      </c>
      <c r="AB314">
        <v>0.4</v>
      </c>
      <c r="AC314">
        <v>1.3</v>
      </c>
      <c r="AD314">
        <v>4.8</v>
      </c>
      <c r="AE314" t="str">
        <f>IF(OR(_nba2122[[#This Row],[G]]&gt;=58,nba2122_advanced[[#This Row],[MP]]&gt;=1000),"Y","N")</f>
        <v>Y</v>
      </c>
      <c r="AF31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5.7068232674545918</v>
      </c>
    </row>
    <row r="315" spans="1:32" x14ac:dyDescent="0.35">
      <c r="A315">
        <v>314</v>
      </c>
      <c r="B315" s="1" t="s">
        <v>384</v>
      </c>
      <c r="C315" s="1" t="s">
        <v>41</v>
      </c>
      <c r="D315">
        <v>24</v>
      </c>
      <c r="E315" s="1" t="s">
        <v>89</v>
      </c>
      <c r="F315">
        <v>67</v>
      </c>
      <c r="G315">
        <v>19</v>
      </c>
      <c r="H315">
        <v>21.1</v>
      </c>
      <c r="I315">
        <v>2.7</v>
      </c>
      <c r="J315">
        <v>7</v>
      </c>
      <c r="K315">
        <v>0.38700000000000001</v>
      </c>
      <c r="L315">
        <v>1.1000000000000001</v>
      </c>
      <c r="M315">
        <v>4</v>
      </c>
      <c r="N315">
        <v>0.28899999999999998</v>
      </c>
      <c r="O315">
        <v>1.6</v>
      </c>
      <c r="P315">
        <v>3</v>
      </c>
      <c r="Q315">
        <v>0.51500000000000001</v>
      </c>
      <c r="R315">
        <v>0.46899999999999997</v>
      </c>
      <c r="S315">
        <v>1</v>
      </c>
      <c r="T315">
        <v>1.3</v>
      </c>
      <c r="U315">
        <v>0.81</v>
      </c>
      <c r="V315">
        <v>0.3</v>
      </c>
      <c r="W315">
        <v>2.2999999999999998</v>
      </c>
      <c r="X315">
        <v>2.6</v>
      </c>
      <c r="Y315">
        <v>1.9</v>
      </c>
      <c r="Z315">
        <v>0.5</v>
      </c>
      <c r="AA315">
        <v>0.1</v>
      </c>
      <c r="AB315">
        <v>0.7</v>
      </c>
      <c r="AC315">
        <v>0.9</v>
      </c>
      <c r="AD315">
        <v>7.6</v>
      </c>
      <c r="AE315" t="str">
        <f>IF(OR(_nba2122[[#This Row],[G]]&gt;=58,nba2122_advanced[[#This Row],[MP]]&gt;=1000),"Y","N")</f>
        <v>Y</v>
      </c>
      <c r="AF31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6.7489681811003077</v>
      </c>
    </row>
    <row r="316" spans="1:32" x14ac:dyDescent="0.35">
      <c r="A316">
        <v>315</v>
      </c>
      <c r="B316" s="1" t="s">
        <v>385</v>
      </c>
      <c r="C316" s="1" t="s">
        <v>31</v>
      </c>
      <c r="D316">
        <v>26</v>
      </c>
      <c r="E316" s="1" t="s">
        <v>42</v>
      </c>
      <c r="F316">
        <v>15</v>
      </c>
      <c r="G316">
        <v>0</v>
      </c>
      <c r="H316">
        <v>6.9</v>
      </c>
      <c r="I316">
        <v>0.9</v>
      </c>
      <c r="J316">
        <v>1.8</v>
      </c>
      <c r="K316">
        <v>0.48099999999999998</v>
      </c>
      <c r="L316">
        <v>0</v>
      </c>
      <c r="M316">
        <v>0.3</v>
      </c>
      <c r="N316">
        <v>0</v>
      </c>
      <c r="O316">
        <v>0.9</v>
      </c>
      <c r="P316">
        <v>1.5</v>
      </c>
      <c r="Q316">
        <v>0.59099999999999997</v>
      </c>
      <c r="R316">
        <v>0.48099999999999998</v>
      </c>
      <c r="S316">
        <v>0.3</v>
      </c>
      <c r="T316">
        <v>0.4</v>
      </c>
      <c r="U316">
        <v>0.66700000000000004</v>
      </c>
      <c r="V316">
        <v>0.9</v>
      </c>
      <c r="W316">
        <v>1.1000000000000001</v>
      </c>
      <c r="X316">
        <v>1.9</v>
      </c>
      <c r="Y316">
        <v>0.6</v>
      </c>
      <c r="Z316">
        <v>0.2</v>
      </c>
      <c r="AA316">
        <v>0.2</v>
      </c>
      <c r="AB316">
        <v>0</v>
      </c>
      <c r="AC316">
        <v>0.6</v>
      </c>
      <c r="AD316">
        <v>2</v>
      </c>
      <c r="AE316" t="str">
        <f>IF(OR(_nba2122[[#This Row],[G]]&gt;=58,nba2122_advanced[[#This Row],[MP]]&gt;=1000),"Y","N")</f>
        <v>N</v>
      </c>
      <c r="AF31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9.9907332392828181</v>
      </c>
    </row>
    <row r="317" spans="1:32" x14ac:dyDescent="0.35">
      <c r="A317">
        <v>316</v>
      </c>
      <c r="B317" s="1" t="s">
        <v>386</v>
      </c>
      <c r="C317" s="1" t="s">
        <v>41</v>
      </c>
      <c r="D317">
        <v>21</v>
      </c>
      <c r="E317" s="1" t="s">
        <v>96</v>
      </c>
      <c r="F317">
        <v>30</v>
      </c>
      <c r="G317">
        <v>8</v>
      </c>
      <c r="H317">
        <v>23</v>
      </c>
      <c r="I317">
        <v>2.2999999999999998</v>
      </c>
      <c r="J317">
        <v>5.6</v>
      </c>
      <c r="K317">
        <v>0.40699999999999997</v>
      </c>
      <c r="L317">
        <v>1.1000000000000001</v>
      </c>
      <c r="M317">
        <v>3.3</v>
      </c>
      <c r="N317">
        <v>0.32700000000000001</v>
      </c>
      <c r="O317">
        <v>1.2</v>
      </c>
      <c r="P317">
        <v>2.2999999999999998</v>
      </c>
      <c r="Q317">
        <v>0.52200000000000002</v>
      </c>
      <c r="R317">
        <v>0.503</v>
      </c>
      <c r="S317">
        <v>0.6</v>
      </c>
      <c r="T317">
        <v>0.7</v>
      </c>
      <c r="U317">
        <v>0.86399999999999999</v>
      </c>
      <c r="V317">
        <v>0.6</v>
      </c>
      <c r="W317">
        <v>2.8</v>
      </c>
      <c r="X317">
        <v>3.4</v>
      </c>
      <c r="Y317">
        <v>1.9</v>
      </c>
      <c r="Z317">
        <v>0.6</v>
      </c>
      <c r="AA317">
        <v>0.3</v>
      </c>
      <c r="AB317">
        <v>1</v>
      </c>
      <c r="AC317">
        <v>2.2000000000000002</v>
      </c>
      <c r="AD317">
        <v>6.2</v>
      </c>
      <c r="AE317" t="str">
        <f>IF(OR(_nba2122[[#This Row],[G]]&gt;=58,nba2122_advanced[[#This Row],[MP]]&gt;=1000),"Y","N")</f>
        <v>N</v>
      </c>
      <c r="AF31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5.5657160134862398</v>
      </c>
    </row>
    <row r="318" spans="1:32" x14ac:dyDescent="0.35">
      <c r="A318">
        <v>317</v>
      </c>
      <c r="B318" s="1" t="s">
        <v>387</v>
      </c>
      <c r="C318" s="1" t="s">
        <v>51</v>
      </c>
      <c r="D318">
        <v>24</v>
      </c>
      <c r="E318" s="1" t="s">
        <v>73</v>
      </c>
      <c r="F318">
        <v>2</v>
      </c>
      <c r="G318">
        <v>0</v>
      </c>
      <c r="H318">
        <v>2.5</v>
      </c>
      <c r="I318">
        <v>0</v>
      </c>
      <c r="J318">
        <v>0.5</v>
      </c>
      <c r="K318">
        <v>0</v>
      </c>
      <c r="L318">
        <v>0</v>
      </c>
      <c r="M318">
        <v>0.5</v>
      </c>
      <c r="N318">
        <v>0</v>
      </c>
      <c r="O318">
        <v>0</v>
      </c>
      <c r="P318">
        <v>0</v>
      </c>
      <c r="R318">
        <v>0</v>
      </c>
      <c r="S318">
        <v>0</v>
      </c>
      <c r="T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0.5</v>
      </c>
      <c r="AD318">
        <v>0</v>
      </c>
      <c r="AE318" t="str">
        <f>IF(OR(_nba2122[[#This Row],[G]]&gt;=58,nba2122_advanced[[#This Row],[MP]]&gt;=1000),"Y","N")</f>
        <v>N</v>
      </c>
      <c r="AF31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20.531408467718251</v>
      </c>
    </row>
    <row r="319" spans="1:32" x14ac:dyDescent="0.35">
      <c r="A319">
        <v>318</v>
      </c>
      <c r="B319" s="1" t="s">
        <v>388</v>
      </c>
      <c r="C319" s="1" t="s">
        <v>51</v>
      </c>
      <c r="D319">
        <v>19</v>
      </c>
      <c r="E319" s="1" t="s">
        <v>111</v>
      </c>
      <c r="F319">
        <v>70</v>
      </c>
      <c r="G319">
        <v>12</v>
      </c>
      <c r="H319">
        <v>16.899999999999999</v>
      </c>
      <c r="I319">
        <v>3.4</v>
      </c>
      <c r="J319">
        <v>6.6</v>
      </c>
      <c r="K319">
        <v>0.51300000000000001</v>
      </c>
      <c r="L319">
        <v>0.7</v>
      </c>
      <c r="M319">
        <v>2.1</v>
      </c>
      <c r="N319">
        <v>0.33600000000000002</v>
      </c>
      <c r="O319">
        <v>2.7</v>
      </c>
      <c r="P319">
        <v>4.4000000000000004</v>
      </c>
      <c r="Q319">
        <v>0.59799999999999998</v>
      </c>
      <c r="R319">
        <v>0.56699999999999995</v>
      </c>
      <c r="S319">
        <v>1.9</v>
      </c>
      <c r="T319">
        <v>2.7</v>
      </c>
      <c r="U319">
        <v>0.68400000000000005</v>
      </c>
      <c r="V319">
        <v>0.8</v>
      </c>
      <c r="W319">
        <v>2.6</v>
      </c>
      <c r="X319">
        <v>3.3</v>
      </c>
      <c r="Y319">
        <v>0.9</v>
      </c>
      <c r="Z319">
        <v>0.4</v>
      </c>
      <c r="AA319">
        <v>0.3</v>
      </c>
      <c r="AB319">
        <v>1.1000000000000001</v>
      </c>
      <c r="AC319">
        <v>2.1</v>
      </c>
      <c r="AD319">
        <v>9.3000000000000007</v>
      </c>
      <c r="AE319" t="str">
        <f>IF(OR(_nba2122[[#This Row],[G]]&gt;=58,nba2122_advanced[[#This Row],[MP]]&gt;=1000),"Y","N")</f>
        <v>Y</v>
      </c>
      <c r="AF31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4.5673045117682776</v>
      </c>
    </row>
    <row r="320" spans="1:32" x14ac:dyDescent="0.35">
      <c r="A320">
        <v>319</v>
      </c>
      <c r="B320" s="1" t="s">
        <v>389</v>
      </c>
      <c r="C320" s="1" t="s">
        <v>28</v>
      </c>
      <c r="D320">
        <v>26</v>
      </c>
      <c r="E320" s="1" t="s">
        <v>65</v>
      </c>
      <c r="F320">
        <v>66</v>
      </c>
      <c r="G320">
        <v>66</v>
      </c>
      <c r="H320">
        <v>33.4</v>
      </c>
      <c r="I320">
        <v>6.4</v>
      </c>
      <c r="J320">
        <v>14.2</v>
      </c>
      <c r="K320">
        <v>0.45200000000000001</v>
      </c>
      <c r="L320">
        <v>1.9</v>
      </c>
      <c r="M320">
        <v>5.7</v>
      </c>
      <c r="N320">
        <v>0.34100000000000003</v>
      </c>
      <c r="O320">
        <v>4.5</v>
      </c>
      <c r="P320">
        <v>8.5</v>
      </c>
      <c r="Q320">
        <v>0.52600000000000002</v>
      </c>
      <c r="R320">
        <v>0.52</v>
      </c>
      <c r="S320">
        <v>2.4</v>
      </c>
      <c r="T320">
        <v>3.3</v>
      </c>
      <c r="U320">
        <v>0.71199999999999997</v>
      </c>
      <c r="V320">
        <v>1.1000000000000001</v>
      </c>
      <c r="W320">
        <v>7.4</v>
      </c>
      <c r="X320">
        <v>8.5</v>
      </c>
      <c r="Y320">
        <v>3.5</v>
      </c>
      <c r="Z320">
        <v>0.6</v>
      </c>
      <c r="AA320">
        <v>0.9</v>
      </c>
      <c r="AB320">
        <v>2.6</v>
      </c>
      <c r="AC320">
        <v>1.9</v>
      </c>
      <c r="AD320">
        <v>17.100000000000001</v>
      </c>
      <c r="AE320" t="str">
        <f>IF(OR(_nba2122[[#This Row],[G]]&gt;=58,nba2122_advanced[[#This Row],[MP]]&gt;=1000),"Y","N")</f>
        <v>Y</v>
      </c>
      <c r="AF32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5.0475750862001263</v>
      </c>
    </row>
    <row r="321" spans="1:32" x14ac:dyDescent="0.35">
      <c r="A321">
        <v>320</v>
      </c>
      <c r="B321" s="1" t="s">
        <v>390</v>
      </c>
      <c r="C321" s="1" t="s">
        <v>51</v>
      </c>
      <c r="D321">
        <v>24</v>
      </c>
      <c r="E321" s="1" t="s">
        <v>91</v>
      </c>
      <c r="F321">
        <v>2</v>
      </c>
      <c r="G321">
        <v>0</v>
      </c>
      <c r="H321">
        <v>4</v>
      </c>
      <c r="I321">
        <v>0</v>
      </c>
      <c r="J321">
        <v>1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0</v>
      </c>
      <c r="R321">
        <v>0</v>
      </c>
      <c r="S321">
        <v>0</v>
      </c>
      <c r="T321">
        <v>0</v>
      </c>
      <c r="V321">
        <v>0</v>
      </c>
      <c r="W321">
        <v>0.5</v>
      </c>
      <c r="X321">
        <v>0.5</v>
      </c>
      <c r="Y321">
        <v>1</v>
      </c>
      <c r="Z321">
        <v>0</v>
      </c>
      <c r="AA321">
        <v>0</v>
      </c>
      <c r="AB321">
        <v>0</v>
      </c>
      <c r="AC321">
        <v>0</v>
      </c>
      <c r="AD321">
        <v>0</v>
      </c>
      <c r="AE321" t="str">
        <f>IF(OR(_nba2122[[#This Row],[G]]&gt;=58,nba2122_advanced[[#This Row],[MP]]&gt;=1000),"Y","N")</f>
        <v>N</v>
      </c>
      <c r="AF32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18.68293549511603</v>
      </c>
    </row>
    <row r="322" spans="1:32" x14ac:dyDescent="0.35">
      <c r="A322">
        <v>321</v>
      </c>
      <c r="B322" s="2" t="s">
        <v>391</v>
      </c>
      <c r="C322" s="1" t="s">
        <v>51</v>
      </c>
      <c r="D322">
        <v>29</v>
      </c>
      <c r="E322" s="1" t="s">
        <v>42</v>
      </c>
      <c r="F322">
        <v>56</v>
      </c>
      <c r="G322">
        <v>0</v>
      </c>
      <c r="H322">
        <v>16.7</v>
      </c>
      <c r="I322">
        <v>2.4</v>
      </c>
      <c r="J322">
        <v>6.2</v>
      </c>
      <c r="K322">
        <v>0.38300000000000001</v>
      </c>
      <c r="L322">
        <v>1</v>
      </c>
      <c r="M322">
        <v>3</v>
      </c>
      <c r="N322">
        <v>0.32400000000000001</v>
      </c>
      <c r="O322">
        <v>1.4</v>
      </c>
      <c r="P322">
        <v>3.2</v>
      </c>
      <c r="Q322">
        <v>0.441</v>
      </c>
      <c r="R322">
        <v>0.46300000000000002</v>
      </c>
      <c r="S322">
        <v>1.6</v>
      </c>
      <c r="T322">
        <v>1.9</v>
      </c>
      <c r="U322">
        <v>0.84</v>
      </c>
      <c r="V322">
        <v>0.5</v>
      </c>
      <c r="W322">
        <v>2.2999999999999998</v>
      </c>
      <c r="X322">
        <v>2.8</v>
      </c>
      <c r="Y322">
        <v>1.4</v>
      </c>
      <c r="Z322">
        <v>0.6</v>
      </c>
      <c r="AA322">
        <v>0.4</v>
      </c>
      <c r="AB322">
        <v>0.7</v>
      </c>
      <c r="AC322">
        <v>1.1000000000000001</v>
      </c>
      <c r="AD322">
        <v>7.3</v>
      </c>
      <c r="AE322" t="str">
        <f>IF(OR(_nba2122[[#This Row],[G]]&gt;=58,nba2122_advanced[[#This Row],[MP]]&gt;=1000),"Y","N")</f>
        <v>N</v>
      </c>
      <c r="AF32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4.558232020431686</v>
      </c>
    </row>
    <row r="323" spans="1:32" x14ac:dyDescent="0.35">
      <c r="A323">
        <v>322</v>
      </c>
      <c r="B323" s="1" t="s">
        <v>392</v>
      </c>
      <c r="C323" s="1" t="s">
        <v>31</v>
      </c>
      <c r="D323">
        <v>26</v>
      </c>
      <c r="E323" s="1" t="s">
        <v>91</v>
      </c>
      <c r="F323">
        <v>54</v>
      </c>
      <c r="G323">
        <v>1</v>
      </c>
      <c r="H323">
        <v>10.9</v>
      </c>
      <c r="I323">
        <v>1.9</v>
      </c>
      <c r="J323">
        <v>3.8</v>
      </c>
      <c r="K323">
        <v>0.495</v>
      </c>
      <c r="L323">
        <v>0.5</v>
      </c>
      <c r="M323">
        <v>1.6</v>
      </c>
      <c r="N323">
        <v>0.32600000000000001</v>
      </c>
      <c r="O323">
        <v>1.3</v>
      </c>
      <c r="P323">
        <v>2.1</v>
      </c>
      <c r="Q323">
        <v>0.626</v>
      </c>
      <c r="R323">
        <v>0.56599999999999995</v>
      </c>
      <c r="S323">
        <v>0.6</v>
      </c>
      <c r="T323">
        <v>0.8</v>
      </c>
      <c r="U323">
        <v>0.82899999999999996</v>
      </c>
      <c r="V323">
        <v>1.2</v>
      </c>
      <c r="W323">
        <v>1.4</v>
      </c>
      <c r="X323">
        <v>2.6</v>
      </c>
      <c r="Y323">
        <v>0.8</v>
      </c>
      <c r="Z323">
        <v>0.2</v>
      </c>
      <c r="AA323">
        <v>0.3</v>
      </c>
      <c r="AB323">
        <v>0.6</v>
      </c>
      <c r="AC323">
        <v>1</v>
      </c>
      <c r="AD323">
        <v>4.9000000000000004</v>
      </c>
      <c r="AE323" t="str">
        <f>IF(OR(_nba2122[[#This Row],[G]]&gt;=58,nba2122_advanced[[#This Row],[MP]]&gt;=1000),"Y","N")</f>
        <v>N</v>
      </c>
      <c r="AF32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5.9508413261805746</v>
      </c>
    </row>
    <row r="324" spans="1:32" x14ac:dyDescent="0.35">
      <c r="A324">
        <v>323</v>
      </c>
      <c r="B324" s="1" t="s">
        <v>393</v>
      </c>
      <c r="C324" s="1" t="s">
        <v>41</v>
      </c>
      <c r="D324">
        <v>22</v>
      </c>
      <c r="E324" s="1" t="s">
        <v>42</v>
      </c>
      <c r="F324">
        <v>48</v>
      </c>
      <c r="G324">
        <v>5</v>
      </c>
      <c r="H324">
        <v>16.100000000000001</v>
      </c>
      <c r="I324">
        <v>1.7</v>
      </c>
      <c r="J324">
        <v>4</v>
      </c>
      <c r="K324">
        <v>0.435</v>
      </c>
      <c r="L324">
        <v>0.6</v>
      </c>
      <c r="M324">
        <v>1.8</v>
      </c>
      <c r="N324">
        <v>0.34100000000000003</v>
      </c>
      <c r="O324">
        <v>1.1000000000000001</v>
      </c>
      <c r="P324">
        <v>2.2000000000000002</v>
      </c>
      <c r="Q324">
        <v>0.50900000000000001</v>
      </c>
      <c r="R324">
        <v>0.51</v>
      </c>
      <c r="S324">
        <v>0.5</v>
      </c>
      <c r="T324">
        <v>0.9</v>
      </c>
      <c r="U324">
        <v>0.54800000000000004</v>
      </c>
      <c r="V324">
        <v>0.6</v>
      </c>
      <c r="W324">
        <v>1.6</v>
      </c>
      <c r="X324">
        <v>2.2999999999999998</v>
      </c>
      <c r="Y324">
        <v>0.4</v>
      </c>
      <c r="Z324">
        <v>0.5</v>
      </c>
      <c r="AA324">
        <v>0.3</v>
      </c>
      <c r="AB324">
        <v>0.3</v>
      </c>
      <c r="AC324">
        <v>1</v>
      </c>
      <c r="AD324">
        <v>4.5</v>
      </c>
      <c r="AE324" t="str">
        <f>IF(OR(_nba2122[[#This Row],[G]]&gt;=58,nba2122_advanced[[#This Row],[MP]]&gt;=1000),"Y","N")</f>
        <v>N</v>
      </c>
      <c r="AF32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7.1738991379931063</v>
      </c>
    </row>
    <row r="325" spans="1:32" x14ac:dyDescent="0.35">
      <c r="A325">
        <v>324</v>
      </c>
      <c r="B325" s="1" t="s">
        <v>394</v>
      </c>
      <c r="C325" s="1" t="s">
        <v>51</v>
      </c>
      <c r="D325">
        <v>26</v>
      </c>
      <c r="E325" s="1" t="s">
        <v>75</v>
      </c>
      <c r="F325">
        <v>67</v>
      </c>
      <c r="G325">
        <v>67</v>
      </c>
      <c r="H325">
        <v>34.700000000000003</v>
      </c>
      <c r="I325">
        <v>8.4</v>
      </c>
      <c r="J325">
        <v>17.7</v>
      </c>
      <c r="K325">
        <v>0.47599999999999998</v>
      </c>
      <c r="L325">
        <v>2.8</v>
      </c>
      <c r="M325">
        <v>7.1</v>
      </c>
      <c r="N325">
        <v>0.38900000000000001</v>
      </c>
      <c r="O325">
        <v>5.7</v>
      </c>
      <c r="P325">
        <v>10.6</v>
      </c>
      <c r="Q325">
        <v>0.53400000000000003</v>
      </c>
      <c r="R325">
        <v>0.55400000000000005</v>
      </c>
      <c r="S325">
        <v>4.8</v>
      </c>
      <c r="T325">
        <v>5.6</v>
      </c>
      <c r="U325">
        <v>0.85299999999999998</v>
      </c>
      <c r="V325">
        <v>0.3</v>
      </c>
      <c r="W325">
        <v>4.3</v>
      </c>
      <c r="X325">
        <v>4.5999999999999996</v>
      </c>
      <c r="Y325">
        <v>4.5</v>
      </c>
      <c r="Z325">
        <v>0.6</v>
      </c>
      <c r="AA325">
        <v>0.3</v>
      </c>
      <c r="AB325">
        <v>2.6</v>
      </c>
      <c r="AC325">
        <v>1.8</v>
      </c>
      <c r="AD325">
        <v>24.4</v>
      </c>
      <c r="AE325" t="str">
        <f>IF(OR(_nba2122[[#This Row],[G]]&gt;=58,nba2122_advanced[[#This Row],[MP]]&gt;=1000),"Y","N")</f>
        <v>Y</v>
      </c>
      <c r="AF32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6.0010915936267581</v>
      </c>
    </row>
    <row r="326" spans="1:32" x14ac:dyDescent="0.35">
      <c r="A326">
        <v>325</v>
      </c>
      <c r="B326" s="1" t="s">
        <v>395</v>
      </c>
      <c r="C326" s="1" t="s">
        <v>51</v>
      </c>
      <c r="D326">
        <v>27</v>
      </c>
      <c r="E326" s="1" t="s">
        <v>99</v>
      </c>
      <c r="F326">
        <v>34</v>
      </c>
      <c r="G326">
        <v>1</v>
      </c>
      <c r="H326">
        <v>6.8</v>
      </c>
      <c r="I326">
        <v>0.9</v>
      </c>
      <c r="J326">
        <v>2.1</v>
      </c>
      <c r="K326">
        <v>0.41099999999999998</v>
      </c>
      <c r="L326">
        <v>0.2</v>
      </c>
      <c r="M326">
        <v>1</v>
      </c>
      <c r="N326">
        <v>0.22900000000000001</v>
      </c>
      <c r="O326">
        <v>0.6</v>
      </c>
      <c r="P326">
        <v>1.1000000000000001</v>
      </c>
      <c r="Q326">
        <v>0.57899999999999996</v>
      </c>
      <c r="R326">
        <v>0.46600000000000003</v>
      </c>
      <c r="S326">
        <v>0.4</v>
      </c>
      <c r="T326">
        <v>0.5</v>
      </c>
      <c r="U326">
        <v>0.72199999999999998</v>
      </c>
      <c r="V326">
        <v>0.2</v>
      </c>
      <c r="W326">
        <v>0.9</v>
      </c>
      <c r="X326">
        <v>1.1000000000000001</v>
      </c>
      <c r="Y326">
        <v>0.3</v>
      </c>
      <c r="Z326">
        <v>0.2</v>
      </c>
      <c r="AA326">
        <v>0.1</v>
      </c>
      <c r="AB326">
        <v>0.3</v>
      </c>
      <c r="AC326">
        <v>0.4</v>
      </c>
      <c r="AD326">
        <v>2.4</v>
      </c>
      <c r="AE326" t="str">
        <f>IF(OR(_nba2122[[#This Row],[G]]&gt;=58,nba2122_advanced[[#This Row],[MP]]&gt;=1000),"Y","N")</f>
        <v>N</v>
      </c>
      <c r="AF32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8.2528089417709776</v>
      </c>
    </row>
    <row r="327" spans="1:32" x14ac:dyDescent="0.35">
      <c r="A327">
        <v>326</v>
      </c>
      <c r="B327" s="1" t="s">
        <v>396</v>
      </c>
      <c r="C327" s="1" t="s">
        <v>41</v>
      </c>
      <c r="D327">
        <v>29</v>
      </c>
      <c r="E327" s="1" t="s">
        <v>111</v>
      </c>
      <c r="F327">
        <v>63</v>
      </c>
      <c r="G327">
        <v>5</v>
      </c>
      <c r="H327">
        <v>19.899999999999999</v>
      </c>
      <c r="I327">
        <v>2.7</v>
      </c>
      <c r="J327">
        <v>6.1</v>
      </c>
      <c r="K327">
        <v>0.441</v>
      </c>
      <c r="L327">
        <v>1</v>
      </c>
      <c r="M327">
        <v>3</v>
      </c>
      <c r="N327">
        <v>0.33700000000000002</v>
      </c>
      <c r="O327">
        <v>1.7</v>
      </c>
      <c r="P327">
        <v>3.1</v>
      </c>
      <c r="Q327">
        <v>0.54100000000000004</v>
      </c>
      <c r="R327">
        <v>0.52300000000000002</v>
      </c>
      <c r="S327">
        <v>1</v>
      </c>
      <c r="T327">
        <v>1.2</v>
      </c>
      <c r="U327">
        <v>0.88</v>
      </c>
      <c r="V327">
        <v>0.4</v>
      </c>
      <c r="W327">
        <v>2.8</v>
      </c>
      <c r="X327">
        <v>3.2</v>
      </c>
      <c r="Y327">
        <v>1</v>
      </c>
      <c r="Z327">
        <v>0.6</v>
      </c>
      <c r="AA327">
        <v>0.1</v>
      </c>
      <c r="AB327">
        <v>0.6</v>
      </c>
      <c r="AC327">
        <v>1.5</v>
      </c>
      <c r="AD327">
        <v>7.4</v>
      </c>
      <c r="AE327" t="str">
        <f>IF(OR(_nba2122[[#This Row],[G]]&gt;=58,nba2122_advanced[[#This Row],[MP]]&gt;=1000),"Y","N")</f>
        <v>Y</v>
      </c>
      <c r="AF32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6.2069745474772908</v>
      </c>
    </row>
    <row r="328" spans="1:32" x14ac:dyDescent="0.35">
      <c r="A328">
        <v>327</v>
      </c>
      <c r="B328" s="1" t="s">
        <v>397</v>
      </c>
      <c r="C328" s="1" t="s">
        <v>48</v>
      </c>
      <c r="D328">
        <v>22</v>
      </c>
      <c r="E328" s="1" t="s">
        <v>105</v>
      </c>
      <c r="F328">
        <v>37</v>
      </c>
      <c r="G328">
        <v>0</v>
      </c>
      <c r="H328">
        <v>16.3</v>
      </c>
      <c r="I328">
        <v>1.9</v>
      </c>
      <c r="J328">
        <v>4.8</v>
      </c>
      <c r="K328">
        <v>0.39</v>
      </c>
      <c r="L328">
        <v>0.4</v>
      </c>
      <c r="M328">
        <v>1.6</v>
      </c>
      <c r="N328">
        <v>0.23300000000000001</v>
      </c>
      <c r="O328">
        <v>1.5</v>
      </c>
      <c r="P328">
        <v>3.2</v>
      </c>
      <c r="Q328">
        <v>0.47</v>
      </c>
      <c r="R328">
        <v>0.42899999999999999</v>
      </c>
      <c r="S328">
        <v>1.5</v>
      </c>
      <c r="T328">
        <v>1.9</v>
      </c>
      <c r="U328">
        <v>0.78900000000000003</v>
      </c>
      <c r="V328">
        <v>0.5</v>
      </c>
      <c r="W328">
        <v>1.9</v>
      </c>
      <c r="X328">
        <v>2.4</v>
      </c>
      <c r="Y328">
        <v>2.9</v>
      </c>
      <c r="Z328">
        <v>1</v>
      </c>
      <c r="AA328">
        <v>0.3</v>
      </c>
      <c r="AB328">
        <v>1</v>
      </c>
      <c r="AC328">
        <v>1.2</v>
      </c>
      <c r="AD328">
        <v>5.6</v>
      </c>
      <c r="AE328" t="str">
        <f>IF(OR(_nba2122[[#This Row],[G]]&gt;=58,nba2122_advanced[[#This Row],[MP]]&gt;=1000),"Y","N")</f>
        <v>N</v>
      </c>
      <c r="AF32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6.0882517529473237</v>
      </c>
    </row>
    <row r="329" spans="1:32" x14ac:dyDescent="0.35">
      <c r="A329">
        <v>328</v>
      </c>
      <c r="B329" s="1" t="s">
        <v>398</v>
      </c>
      <c r="C329" s="1" t="s">
        <v>31</v>
      </c>
      <c r="D329">
        <v>28</v>
      </c>
      <c r="E329" s="1" t="s">
        <v>82</v>
      </c>
      <c r="F329">
        <v>39</v>
      </c>
      <c r="G329">
        <v>10</v>
      </c>
      <c r="H329">
        <v>15.9</v>
      </c>
      <c r="I329">
        <v>2.4</v>
      </c>
      <c r="J329">
        <v>4.5</v>
      </c>
      <c r="K329">
        <v>0.53400000000000003</v>
      </c>
      <c r="L329">
        <v>0.2</v>
      </c>
      <c r="M329">
        <v>0.5</v>
      </c>
      <c r="N329">
        <v>0.28599999999999998</v>
      </c>
      <c r="O329">
        <v>2.2999999999999998</v>
      </c>
      <c r="P329">
        <v>4</v>
      </c>
      <c r="Q329">
        <v>0.56799999999999995</v>
      </c>
      <c r="R329">
        <v>0.55100000000000005</v>
      </c>
      <c r="S329">
        <v>1.1000000000000001</v>
      </c>
      <c r="T329">
        <v>1.6</v>
      </c>
      <c r="U329">
        <v>0.65100000000000002</v>
      </c>
      <c r="V329">
        <v>1.3</v>
      </c>
      <c r="W329">
        <v>2.8</v>
      </c>
      <c r="X329">
        <v>4.0999999999999996</v>
      </c>
      <c r="Y329">
        <v>1.2</v>
      </c>
      <c r="Z329">
        <v>0.3</v>
      </c>
      <c r="AA329">
        <v>0.6</v>
      </c>
      <c r="AB329">
        <v>1.1000000000000001</v>
      </c>
      <c r="AC329">
        <v>2.6</v>
      </c>
      <c r="AD329">
        <v>6</v>
      </c>
      <c r="AE329" t="str">
        <f>IF(OR(_nba2122[[#This Row],[G]]&gt;=58,nba2122_advanced[[#This Row],[MP]]&gt;=1000),"Y","N")</f>
        <v>N</v>
      </c>
      <c r="AF32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7.095433044992455</v>
      </c>
    </row>
    <row r="330" spans="1:32" x14ac:dyDescent="0.35">
      <c r="A330">
        <v>329</v>
      </c>
      <c r="B330" s="1" t="s">
        <v>399</v>
      </c>
      <c r="C330" s="1" t="s">
        <v>41</v>
      </c>
      <c r="D330">
        <v>27</v>
      </c>
      <c r="E330" s="1" t="s">
        <v>42</v>
      </c>
      <c r="F330">
        <v>58</v>
      </c>
      <c r="G330">
        <v>49</v>
      </c>
      <c r="H330">
        <v>30.7</v>
      </c>
      <c r="I330">
        <v>6.5</v>
      </c>
      <c r="J330">
        <v>14.7</v>
      </c>
      <c r="K330">
        <v>0.44400000000000001</v>
      </c>
      <c r="L330">
        <v>1.4</v>
      </c>
      <c r="M330">
        <v>4.4000000000000004</v>
      </c>
      <c r="N330">
        <v>0.32</v>
      </c>
      <c r="O330">
        <v>5.0999999999999996</v>
      </c>
      <c r="P330">
        <v>10.3</v>
      </c>
      <c r="Q330">
        <v>0.497</v>
      </c>
      <c r="R330">
        <v>0.49199999999999999</v>
      </c>
      <c r="S330">
        <v>2.5</v>
      </c>
      <c r="T330">
        <v>3.3</v>
      </c>
      <c r="U330">
        <v>0.75600000000000001</v>
      </c>
      <c r="V330">
        <v>0.7</v>
      </c>
      <c r="W330">
        <v>2.9</v>
      </c>
      <c r="X330">
        <v>3.7</v>
      </c>
      <c r="Y330">
        <v>4.3</v>
      </c>
      <c r="Z330">
        <v>0.9</v>
      </c>
      <c r="AA330">
        <v>0.4</v>
      </c>
      <c r="AB330">
        <v>1.9</v>
      </c>
      <c r="AC330">
        <v>2.2999999999999998</v>
      </c>
      <c r="AD330">
        <v>17</v>
      </c>
      <c r="AE330" t="str">
        <f>IF(OR(_nba2122[[#This Row],[G]]&gt;=58,nba2122_advanced[[#This Row],[MP]]&gt;=1000),"Y","N")</f>
        <v>Y</v>
      </c>
      <c r="AF33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4.0159870623705762</v>
      </c>
    </row>
    <row r="331" spans="1:32" x14ac:dyDescent="0.35">
      <c r="A331">
        <v>330</v>
      </c>
      <c r="B331" s="1" t="s">
        <v>400</v>
      </c>
      <c r="C331" s="1" t="s">
        <v>48</v>
      </c>
      <c r="D331">
        <v>20</v>
      </c>
      <c r="E331" s="1" t="s">
        <v>49</v>
      </c>
      <c r="F331">
        <v>24</v>
      </c>
      <c r="G331">
        <v>0</v>
      </c>
      <c r="H331">
        <v>14.2</v>
      </c>
      <c r="I331">
        <v>2.5</v>
      </c>
      <c r="J331">
        <v>6.1</v>
      </c>
      <c r="K331">
        <v>0.40400000000000003</v>
      </c>
      <c r="L331">
        <v>0.5</v>
      </c>
      <c r="M331">
        <v>2.4</v>
      </c>
      <c r="N331">
        <v>0.224</v>
      </c>
      <c r="O331">
        <v>1.9</v>
      </c>
      <c r="P331">
        <v>3.7</v>
      </c>
      <c r="Q331">
        <v>0.52300000000000002</v>
      </c>
      <c r="R331">
        <v>0.44900000000000001</v>
      </c>
      <c r="S331">
        <v>0.4</v>
      </c>
      <c r="T331">
        <v>0.5</v>
      </c>
      <c r="U331">
        <v>0.83299999999999996</v>
      </c>
      <c r="V331">
        <v>0.4</v>
      </c>
      <c r="W331">
        <v>1.3</v>
      </c>
      <c r="X331">
        <v>1.6</v>
      </c>
      <c r="Y331">
        <v>2</v>
      </c>
      <c r="Z331">
        <v>0.5</v>
      </c>
      <c r="AA331">
        <v>0</v>
      </c>
      <c r="AB331">
        <v>1.1000000000000001</v>
      </c>
      <c r="AC331">
        <v>0.7</v>
      </c>
      <c r="AD331">
        <v>5.9</v>
      </c>
      <c r="AE331" t="str">
        <f>IF(OR(_nba2122[[#This Row],[G]]&gt;=58,nba2122_advanced[[#This Row],[MP]]&gt;=1000),"Y","N")</f>
        <v>N</v>
      </c>
      <c r="AF33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7.6086871554556836</v>
      </c>
    </row>
    <row r="332" spans="1:32" x14ac:dyDescent="0.35">
      <c r="A332">
        <v>331</v>
      </c>
      <c r="B332" s="1" t="s">
        <v>401</v>
      </c>
      <c r="C332" s="1" t="s">
        <v>41</v>
      </c>
      <c r="D332">
        <v>21</v>
      </c>
      <c r="E332" s="1" t="s">
        <v>73</v>
      </c>
      <c r="F332">
        <v>2</v>
      </c>
      <c r="G332">
        <v>0</v>
      </c>
      <c r="H332">
        <v>3.5</v>
      </c>
      <c r="I332">
        <v>0</v>
      </c>
      <c r="J332">
        <v>0</v>
      </c>
      <c r="L332">
        <v>0</v>
      </c>
      <c r="M332">
        <v>0</v>
      </c>
      <c r="O332">
        <v>0</v>
      </c>
      <c r="P332">
        <v>0</v>
      </c>
      <c r="S332">
        <v>0.5</v>
      </c>
      <c r="T332">
        <v>1</v>
      </c>
      <c r="U332">
        <v>0.5</v>
      </c>
      <c r="V332">
        <v>0</v>
      </c>
      <c r="W332">
        <v>0</v>
      </c>
      <c r="X332">
        <v>0</v>
      </c>
      <c r="Y332">
        <v>0.5</v>
      </c>
      <c r="Z332">
        <v>0.5</v>
      </c>
      <c r="AA332">
        <v>0</v>
      </c>
      <c r="AB332">
        <v>0</v>
      </c>
      <c r="AC332">
        <v>0</v>
      </c>
      <c r="AD332">
        <v>0.5</v>
      </c>
      <c r="AE332" t="str">
        <f>IF(OR(_nba2122[[#This Row],[G]]&gt;=58,nba2122_advanced[[#This Row],[MP]]&gt;=1000),"Y","N")</f>
        <v>N</v>
      </c>
      <c r="AF33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17.813095273145898</v>
      </c>
    </row>
    <row r="333" spans="1:32" x14ac:dyDescent="0.35">
      <c r="A333">
        <v>332</v>
      </c>
      <c r="B333" s="1" t="s">
        <v>402</v>
      </c>
      <c r="C333" s="1" t="s">
        <v>48</v>
      </c>
      <c r="D333">
        <v>31</v>
      </c>
      <c r="E333" s="1" t="s">
        <v>114</v>
      </c>
      <c r="F333">
        <v>29</v>
      </c>
      <c r="G333">
        <v>29</v>
      </c>
      <c r="H333">
        <v>36.4</v>
      </c>
      <c r="I333">
        <v>7.7</v>
      </c>
      <c r="J333">
        <v>19</v>
      </c>
      <c r="K333">
        <v>0.40200000000000002</v>
      </c>
      <c r="L333">
        <v>3.2</v>
      </c>
      <c r="M333">
        <v>9.8000000000000007</v>
      </c>
      <c r="N333">
        <v>0.32400000000000001</v>
      </c>
      <c r="O333">
        <v>4.5</v>
      </c>
      <c r="P333">
        <v>9.1999999999999993</v>
      </c>
      <c r="Q333">
        <v>0.48499999999999999</v>
      </c>
      <c r="R333">
        <v>0.48599999999999999</v>
      </c>
      <c r="S333">
        <v>5.5</v>
      </c>
      <c r="T333">
        <v>6.2</v>
      </c>
      <c r="U333">
        <v>0.878</v>
      </c>
      <c r="V333">
        <v>0.4</v>
      </c>
      <c r="W333">
        <v>3.7</v>
      </c>
      <c r="X333">
        <v>4.0999999999999996</v>
      </c>
      <c r="Y333">
        <v>7.3</v>
      </c>
      <c r="Z333">
        <v>0.6</v>
      </c>
      <c r="AA333">
        <v>0.4</v>
      </c>
      <c r="AB333">
        <v>2.9</v>
      </c>
      <c r="AC333">
        <v>1.3</v>
      </c>
      <c r="AD333">
        <v>24</v>
      </c>
      <c r="AE333" t="str">
        <f>IF(OR(_nba2122[[#This Row],[G]]&gt;=58,nba2122_advanced[[#This Row],[MP]]&gt;=1000),"Y","N")</f>
        <v>Y</v>
      </c>
      <c r="AF33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8.6357849377421694</v>
      </c>
    </row>
    <row r="334" spans="1:32" x14ac:dyDescent="0.35">
      <c r="A334">
        <v>333</v>
      </c>
      <c r="B334" s="1" t="s">
        <v>403</v>
      </c>
      <c r="C334" s="1" t="s">
        <v>51</v>
      </c>
      <c r="D334">
        <v>21</v>
      </c>
      <c r="E334" s="1" t="s">
        <v>114</v>
      </c>
      <c r="F334">
        <v>42</v>
      </c>
      <c r="G334">
        <v>23</v>
      </c>
      <c r="H334">
        <v>25.9</v>
      </c>
      <c r="I334">
        <v>3.5</v>
      </c>
      <c r="J334">
        <v>7.5</v>
      </c>
      <c r="K334">
        <v>0.46</v>
      </c>
      <c r="L334">
        <v>1.2</v>
      </c>
      <c r="M334">
        <v>3.7</v>
      </c>
      <c r="N334">
        <v>0.33100000000000002</v>
      </c>
      <c r="O334">
        <v>2.2000000000000002</v>
      </c>
      <c r="P334">
        <v>3.8</v>
      </c>
      <c r="Q334">
        <v>0.58399999999999996</v>
      </c>
      <c r="R334">
        <v>0.54100000000000004</v>
      </c>
      <c r="S334">
        <v>1.6</v>
      </c>
      <c r="T334">
        <v>2.2000000000000002</v>
      </c>
      <c r="U334">
        <v>0.73399999999999999</v>
      </c>
      <c r="V334">
        <v>1.4</v>
      </c>
      <c r="W334">
        <v>4.2</v>
      </c>
      <c r="X334">
        <v>5.6</v>
      </c>
      <c r="Y334">
        <v>1.3</v>
      </c>
      <c r="Z334">
        <v>0.6</v>
      </c>
      <c r="AA334">
        <v>0.9</v>
      </c>
      <c r="AB334">
        <v>1</v>
      </c>
      <c r="AC334">
        <v>2</v>
      </c>
      <c r="AD334">
        <v>9.8000000000000007</v>
      </c>
      <c r="AE334" t="str">
        <f>IF(OR(_nba2122[[#This Row],[G]]&gt;=58,nba2122_advanced[[#This Row],[MP]]&gt;=1000),"Y","N")</f>
        <v>Y</v>
      </c>
      <c r="AF33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5.2290846920595619</v>
      </c>
    </row>
    <row r="335" spans="1:32" x14ac:dyDescent="0.35">
      <c r="A335">
        <v>334</v>
      </c>
      <c r="B335" s="1" t="s">
        <v>404</v>
      </c>
      <c r="C335" s="1" t="s">
        <v>51</v>
      </c>
      <c r="D335">
        <v>23</v>
      </c>
      <c r="E335" s="1" t="s">
        <v>105</v>
      </c>
      <c r="F335">
        <v>19</v>
      </c>
      <c r="G335">
        <v>5</v>
      </c>
      <c r="H335">
        <v>20.2</v>
      </c>
      <c r="I335">
        <v>2.2000000000000002</v>
      </c>
      <c r="J335">
        <v>4.7</v>
      </c>
      <c r="K335">
        <v>0.45600000000000002</v>
      </c>
      <c r="L335">
        <v>1.4</v>
      </c>
      <c r="M335">
        <v>3.4</v>
      </c>
      <c r="N335">
        <v>0.42199999999999999</v>
      </c>
      <c r="O335">
        <v>0.7</v>
      </c>
      <c r="P335">
        <v>1.4</v>
      </c>
      <c r="Q335">
        <v>0.53800000000000003</v>
      </c>
      <c r="R335">
        <v>0.60599999999999998</v>
      </c>
      <c r="S335">
        <v>0.6</v>
      </c>
      <c r="T335">
        <v>0.7</v>
      </c>
      <c r="U335">
        <v>0.85699999999999998</v>
      </c>
      <c r="V335">
        <v>0.8</v>
      </c>
      <c r="W335">
        <v>2.2000000000000002</v>
      </c>
      <c r="X335">
        <v>3</v>
      </c>
      <c r="Y335">
        <v>1.1000000000000001</v>
      </c>
      <c r="Z335">
        <v>0.7</v>
      </c>
      <c r="AA335">
        <v>0.4</v>
      </c>
      <c r="AB335">
        <v>0.8</v>
      </c>
      <c r="AC335">
        <v>1.9</v>
      </c>
      <c r="AD335">
        <v>6.4</v>
      </c>
      <c r="AE335" t="str">
        <f>IF(OR(_nba2122[[#This Row],[G]]&gt;=58,nba2122_advanced[[#This Row],[MP]]&gt;=1000),"Y","N")</f>
        <v>N</v>
      </c>
      <c r="AF33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5.6101000388651903</v>
      </c>
    </row>
    <row r="336" spans="1:32" x14ac:dyDescent="0.35">
      <c r="A336">
        <v>335</v>
      </c>
      <c r="B336" s="1" t="s">
        <v>405</v>
      </c>
      <c r="C336" s="1" t="s">
        <v>31</v>
      </c>
      <c r="D336">
        <v>25</v>
      </c>
      <c r="E336" s="1" t="s">
        <v>111</v>
      </c>
      <c r="F336">
        <v>82</v>
      </c>
      <c r="G336">
        <v>80</v>
      </c>
      <c r="H336">
        <v>21.1</v>
      </c>
      <c r="I336">
        <v>2.5</v>
      </c>
      <c r="J336">
        <v>4.4000000000000004</v>
      </c>
      <c r="K336">
        <v>0.57099999999999995</v>
      </c>
      <c r="L336">
        <v>0</v>
      </c>
      <c r="M336">
        <v>0</v>
      </c>
      <c r="N336">
        <v>0</v>
      </c>
      <c r="O336">
        <v>2.5</v>
      </c>
      <c r="P336">
        <v>4.4000000000000004</v>
      </c>
      <c r="Q336">
        <v>0.57299999999999995</v>
      </c>
      <c r="R336">
        <v>0.57099999999999995</v>
      </c>
      <c r="S336">
        <v>0.9</v>
      </c>
      <c r="T336">
        <v>1.5</v>
      </c>
      <c r="U336">
        <v>0.6</v>
      </c>
      <c r="V336">
        <v>2.5</v>
      </c>
      <c r="W336">
        <v>4.7</v>
      </c>
      <c r="X336">
        <v>7.3</v>
      </c>
      <c r="Y336">
        <v>2</v>
      </c>
      <c r="Z336">
        <v>0.6</v>
      </c>
      <c r="AA336">
        <v>0.6</v>
      </c>
      <c r="AB336">
        <v>0.8</v>
      </c>
      <c r="AC336">
        <v>2.6</v>
      </c>
      <c r="AD336">
        <v>6</v>
      </c>
      <c r="AE336" t="str">
        <f>IF(OR(_nba2122[[#This Row],[G]]&gt;=58,nba2122_advanced[[#This Row],[MP]]&gt;=1000),"Y","N")</f>
        <v>Y</v>
      </c>
      <c r="AF33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7.7612088927033955</v>
      </c>
    </row>
    <row r="337" spans="1:32" x14ac:dyDescent="0.35">
      <c r="A337">
        <v>336</v>
      </c>
      <c r="B337" s="1" t="s">
        <v>406</v>
      </c>
      <c r="C337" s="1" t="s">
        <v>31</v>
      </c>
      <c r="D337">
        <v>33</v>
      </c>
      <c r="E337" s="1" t="s">
        <v>44</v>
      </c>
      <c r="F337">
        <v>13</v>
      </c>
      <c r="G337">
        <v>11</v>
      </c>
      <c r="H337">
        <v>22.9</v>
      </c>
      <c r="I337">
        <v>4.7</v>
      </c>
      <c r="J337">
        <v>10.1</v>
      </c>
      <c r="K337">
        <v>0.46600000000000003</v>
      </c>
      <c r="L337">
        <v>1.5</v>
      </c>
      <c r="M337">
        <v>4.0999999999999996</v>
      </c>
      <c r="N337">
        <v>0.35799999999999998</v>
      </c>
      <c r="O337">
        <v>3.2</v>
      </c>
      <c r="P337">
        <v>6</v>
      </c>
      <c r="Q337">
        <v>0.53800000000000003</v>
      </c>
      <c r="R337">
        <v>0.53800000000000003</v>
      </c>
      <c r="S337">
        <v>1.5</v>
      </c>
      <c r="T337">
        <v>1.8</v>
      </c>
      <c r="U337">
        <v>0.87</v>
      </c>
      <c r="V337">
        <v>1.5</v>
      </c>
      <c r="W337">
        <v>2.6</v>
      </c>
      <c r="X337">
        <v>4.0999999999999996</v>
      </c>
      <c r="Y337">
        <v>0.5</v>
      </c>
      <c r="Z337">
        <v>0.6</v>
      </c>
      <c r="AA337">
        <v>1.2</v>
      </c>
      <c r="AB337">
        <v>0.9</v>
      </c>
      <c r="AC337">
        <v>2.6</v>
      </c>
      <c r="AD337">
        <v>12.4</v>
      </c>
      <c r="AE337" t="str">
        <f>IF(OR(_nba2122[[#This Row],[G]]&gt;=58,nba2122_advanced[[#This Row],[MP]]&gt;=1000),"Y","N")</f>
        <v>N</v>
      </c>
      <c r="AF33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6.9282135093689909</v>
      </c>
    </row>
    <row r="338" spans="1:32" x14ac:dyDescent="0.35">
      <c r="A338">
        <v>337</v>
      </c>
      <c r="B338" s="1" t="s">
        <v>407</v>
      </c>
      <c r="C338" s="1" t="s">
        <v>31</v>
      </c>
      <c r="D338">
        <v>33</v>
      </c>
      <c r="E338" s="1" t="s">
        <v>58</v>
      </c>
      <c r="F338">
        <v>36</v>
      </c>
      <c r="G338">
        <v>9</v>
      </c>
      <c r="H338">
        <v>17</v>
      </c>
      <c r="I338">
        <v>3.1</v>
      </c>
      <c r="J338">
        <v>5.5</v>
      </c>
      <c r="K338">
        <v>0.55300000000000005</v>
      </c>
      <c r="L338">
        <v>0.1</v>
      </c>
      <c r="M338">
        <v>0.2</v>
      </c>
      <c r="N338">
        <v>0.33300000000000002</v>
      </c>
      <c r="O338">
        <v>3</v>
      </c>
      <c r="P338">
        <v>5.4</v>
      </c>
      <c r="Q338">
        <v>0.56000000000000005</v>
      </c>
      <c r="R338">
        <v>0.55800000000000005</v>
      </c>
      <c r="S338">
        <v>0.9</v>
      </c>
      <c r="T338">
        <v>1.5</v>
      </c>
      <c r="U338">
        <v>0.59299999999999997</v>
      </c>
      <c r="V338">
        <v>1.9</v>
      </c>
      <c r="W338">
        <v>1.6</v>
      </c>
      <c r="X338">
        <v>3.5</v>
      </c>
      <c r="Y338">
        <v>1.5</v>
      </c>
      <c r="Z338">
        <v>0.1</v>
      </c>
      <c r="AA338">
        <v>0.5</v>
      </c>
      <c r="AB338">
        <v>1.2</v>
      </c>
      <c r="AC338">
        <v>1.9</v>
      </c>
      <c r="AD338">
        <v>7.1</v>
      </c>
      <c r="AE338" t="str">
        <f>IF(OR(_nba2122[[#This Row],[G]]&gt;=58,nba2122_advanced[[#This Row],[MP]]&gt;=1000),"Y","N")</f>
        <v>N</v>
      </c>
      <c r="AF33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5.9762193459214785</v>
      </c>
    </row>
    <row r="339" spans="1:32" x14ac:dyDescent="0.35">
      <c r="A339">
        <v>338</v>
      </c>
      <c r="B339" s="2" t="s">
        <v>408</v>
      </c>
      <c r="C339" s="1" t="s">
        <v>41</v>
      </c>
      <c r="D339">
        <v>22</v>
      </c>
      <c r="E339" s="1" t="s">
        <v>42</v>
      </c>
      <c r="F339">
        <v>9</v>
      </c>
      <c r="G339">
        <v>1</v>
      </c>
      <c r="H339">
        <v>14.3</v>
      </c>
      <c r="I339">
        <v>1.3</v>
      </c>
      <c r="J339">
        <v>3.7</v>
      </c>
      <c r="K339">
        <v>0.36399999999999999</v>
      </c>
      <c r="L339">
        <v>1</v>
      </c>
      <c r="M339">
        <v>2.6</v>
      </c>
      <c r="N339">
        <v>0.39100000000000001</v>
      </c>
      <c r="O339">
        <v>0.3</v>
      </c>
      <c r="P339">
        <v>1.1000000000000001</v>
      </c>
      <c r="Q339">
        <v>0.3</v>
      </c>
      <c r="R339">
        <v>0.5</v>
      </c>
      <c r="S339">
        <v>0.2</v>
      </c>
      <c r="T339">
        <v>0.2</v>
      </c>
      <c r="U339">
        <v>1</v>
      </c>
      <c r="V339">
        <v>0.6</v>
      </c>
      <c r="W339">
        <v>1.3</v>
      </c>
      <c r="X339">
        <v>1.9</v>
      </c>
      <c r="Y339">
        <v>0.6</v>
      </c>
      <c r="Z339">
        <v>0.2</v>
      </c>
      <c r="AA339">
        <v>0.2</v>
      </c>
      <c r="AB339">
        <v>0.6</v>
      </c>
      <c r="AC339">
        <v>1.4</v>
      </c>
      <c r="AD339">
        <v>3.9</v>
      </c>
      <c r="AE339" t="str">
        <f>IF(OR(_nba2122[[#This Row],[G]]&gt;=58,nba2122_advanced[[#This Row],[MP]]&gt;=1000),"Y","N")</f>
        <v>N</v>
      </c>
      <c r="AF33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9.148513737795998</v>
      </c>
    </row>
    <row r="340" spans="1:32" x14ac:dyDescent="0.35">
      <c r="A340">
        <v>339</v>
      </c>
      <c r="B340" s="1" t="s">
        <v>409</v>
      </c>
      <c r="C340" s="1" t="s">
        <v>28</v>
      </c>
      <c r="D340">
        <v>33</v>
      </c>
      <c r="E340" s="1" t="s">
        <v>46</v>
      </c>
      <c r="F340">
        <v>74</v>
      </c>
      <c r="G340">
        <v>4</v>
      </c>
      <c r="H340">
        <v>22.5</v>
      </c>
      <c r="I340">
        <v>4.4000000000000004</v>
      </c>
      <c r="J340">
        <v>10.3</v>
      </c>
      <c r="K340">
        <v>0.43</v>
      </c>
      <c r="L340">
        <v>2.5</v>
      </c>
      <c r="M340">
        <v>6.4</v>
      </c>
      <c r="N340">
        <v>0.39200000000000002</v>
      </c>
      <c r="O340">
        <v>1.9</v>
      </c>
      <c r="P340">
        <v>3.8</v>
      </c>
      <c r="Q340">
        <v>0.49299999999999999</v>
      </c>
      <c r="R340">
        <v>0.55300000000000005</v>
      </c>
      <c r="S340">
        <v>2.2000000000000002</v>
      </c>
      <c r="T340">
        <v>2.7</v>
      </c>
      <c r="U340">
        <v>0.83799999999999997</v>
      </c>
      <c r="V340">
        <v>1.2</v>
      </c>
      <c r="W340">
        <v>6.1</v>
      </c>
      <c r="X340">
        <v>7.2</v>
      </c>
      <c r="Y340">
        <v>2.2000000000000002</v>
      </c>
      <c r="Z340">
        <v>0.4</v>
      </c>
      <c r="AA340">
        <v>0.2</v>
      </c>
      <c r="AB340">
        <v>1.3</v>
      </c>
      <c r="AC340">
        <v>1.4</v>
      </c>
      <c r="AD340">
        <v>13.6</v>
      </c>
      <c r="AE340" t="str">
        <f>IF(OR(_nba2122[[#This Row],[G]]&gt;=58,nba2122_advanced[[#This Row],[MP]]&gt;=1000),"Y","N")</f>
        <v>Y</v>
      </c>
      <c r="AF34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5.6487935458054963</v>
      </c>
    </row>
    <row r="341" spans="1:32" x14ac:dyDescent="0.35">
      <c r="A341">
        <v>340</v>
      </c>
      <c r="B341" s="1" t="s">
        <v>410</v>
      </c>
      <c r="C341" s="1" t="s">
        <v>48</v>
      </c>
      <c r="D341">
        <v>35</v>
      </c>
      <c r="E341" s="1" t="s">
        <v>36</v>
      </c>
      <c r="F341">
        <v>63</v>
      </c>
      <c r="G341">
        <v>63</v>
      </c>
      <c r="H341">
        <v>33.9</v>
      </c>
      <c r="I341">
        <v>4.4000000000000004</v>
      </c>
      <c r="J341">
        <v>10</v>
      </c>
      <c r="K341">
        <v>0.44</v>
      </c>
      <c r="L341">
        <v>2.2999999999999998</v>
      </c>
      <c r="M341">
        <v>6.1</v>
      </c>
      <c r="N341">
        <v>0.377</v>
      </c>
      <c r="O341">
        <v>2.1</v>
      </c>
      <c r="P341">
        <v>3.9</v>
      </c>
      <c r="Q341">
        <v>0.53900000000000003</v>
      </c>
      <c r="R341">
        <v>0.55500000000000005</v>
      </c>
      <c r="S341">
        <v>2.2999999999999998</v>
      </c>
      <c r="T341">
        <v>2.8</v>
      </c>
      <c r="U341">
        <v>0.85099999999999998</v>
      </c>
      <c r="V341">
        <v>0.5</v>
      </c>
      <c r="W341">
        <v>4</v>
      </c>
      <c r="X341">
        <v>4.5</v>
      </c>
      <c r="Y341">
        <v>7.5</v>
      </c>
      <c r="Z341">
        <v>1.1000000000000001</v>
      </c>
      <c r="AA341">
        <v>0.3</v>
      </c>
      <c r="AB341">
        <v>2.7</v>
      </c>
      <c r="AC341">
        <v>2.8</v>
      </c>
      <c r="AD341">
        <v>13.4</v>
      </c>
      <c r="AE341" t="str">
        <f>IF(OR(_nba2122[[#This Row],[G]]&gt;=58,nba2122_advanced[[#This Row],[MP]]&gt;=1000),"Y","N")</f>
        <v>Y</v>
      </c>
      <c r="AF34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7.2166589766047418</v>
      </c>
    </row>
    <row r="342" spans="1:32" x14ac:dyDescent="0.35">
      <c r="A342">
        <v>341</v>
      </c>
      <c r="B342" s="1" t="s">
        <v>411</v>
      </c>
      <c r="C342" s="1" t="s">
        <v>41</v>
      </c>
      <c r="D342">
        <v>27</v>
      </c>
      <c r="E342" s="1" t="s">
        <v>68</v>
      </c>
      <c r="F342">
        <v>4</v>
      </c>
      <c r="G342">
        <v>0</v>
      </c>
      <c r="H342">
        <v>11</v>
      </c>
      <c r="I342">
        <v>1.3</v>
      </c>
      <c r="J342">
        <v>4.8</v>
      </c>
      <c r="K342">
        <v>0.26300000000000001</v>
      </c>
      <c r="L342">
        <v>0.8</v>
      </c>
      <c r="M342">
        <v>2</v>
      </c>
      <c r="N342">
        <v>0.375</v>
      </c>
      <c r="O342">
        <v>0.5</v>
      </c>
      <c r="P342">
        <v>2.8</v>
      </c>
      <c r="Q342">
        <v>0.182</v>
      </c>
      <c r="R342">
        <v>0.34200000000000003</v>
      </c>
      <c r="S342">
        <v>0</v>
      </c>
      <c r="T342">
        <v>0</v>
      </c>
      <c r="V342">
        <v>0.5</v>
      </c>
      <c r="W342">
        <v>1.3</v>
      </c>
      <c r="X342">
        <v>1.8</v>
      </c>
      <c r="Y342">
        <v>2.8</v>
      </c>
      <c r="Z342">
        <v>0.8</v>
      </c>
      <c r="AA342">
        <v>0</v>
      </c>
      <c r="AB342">
        <v>0.8</v>
      </c>
      <c r="AC342">
        <v>1.8</v>
      </c>
      <c r="AD342">
        <v>3.3</v>
      </c>
      <c r="AE342" t="str">
        <f>IF(OR(_nba2122[[#This Row],[G]]&gt;=58,nba2122_advanced[[#This Row],[MP]]&gt;=1000),"Y","N")</f>
        <v>N</v>
      </c>
      <c r="AF34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9.9917763172319969</v>
      </c>
    </row>
    <row r="343" spans="1:32" x14ac:dyDescent="0.35">
      <c r="A343">
        <v>342</v>
      </c>
      <c r="B343" s="1" t="s">
        <v>412</v>
      </c>
      <c r="C343" s="1" t="s">
        <v>51</v>
      </c>
      <c r="D343">
        <v>26</v>
      </c>
      <c r="E343" s="1" t="s">
        <v>80</v>
      </c>
      <c r="F343">
        <v>52</v>
      </c>
      <c r="G343">
        <v>18</v>
      </c>
      <c r="H343">
        <v>13.2</v>
      </c>
      <c r="I343">
        <v>1.4</v>
      </c>
      <c r="J343">
        <v>3.6</v>
      </c>
      <c r="K343">
        <v>0.39800000000000002</v>
      </c>
      <c r="L343">
        <v>0.8</v>
      </c>
      <c r="M343">
        <v>2.2999999999999998</v>
      </c>
      <c r="N343">
        <v>0.36099999999999999</v>
      </c>
      <c r="O343">
        <v>0.6</v>
      </c>
      <c r="P343">
        <v>1.2</v>
      </c>
      <c r="Q343">
        <v>0.46899999999999997</v>
      </c>
      <c r="R343">
        <v>0.51600000000000001</v>
      </c>
      <c r="S343">
        <v>0.7</v>
      </c>
      <c r="T343">
        <v>0.8</v>
      </c>
      <c r="U343">
        <v>0.85399999999999998</v>
      </c>
      <c r="V343">
        <v>0.3</v>
      </c>
      <c r="W343">
        <v>1.3</v>
      </c>
      <c r="X343">
        <v>1.6</v>
      </c>
      <c r="Y343">
        <v>0.8</v>
      </c>
      <c r="Z343">
        <v>0.3</v>
      </c>
      <c r="AA343">
        <v>0.1</v>
      </c>
      <c r="AB343">
        <v>0.4</v>
      </c>
      <c r="AC343">
        <v>1.5</v>
      </c>
      <c r="AD343">
        <v>4.4000000000000004</v>
      </c>
      <c r="AE343" t="str">
        <f>IF(OR(_nba2122[[#This Row],[G]]&gt;=58,nba2122_advanced[[#This Row],[MP]]&gt;=1000),"Y","N")</f>
        <v>N</v>
      </c>
      <c r="AF34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7.9649581856083422</v>
      </c>
    </row>
    <row r="344" spans="1:32" x14ac:dyDescent="0.35">
      <c r="A344">
        <v>343</v>
      </c>
      <c r="B344" s="1" t="s">
        <v>413</v>
      </c>
      <c r="C344" s="1" t="s">
        <v>28</v>
      </c>
      <c r="D344">
        <v>26</v>
      </c>
      <c r="E344" s="1" t="s">
        <v>42</v>
      </c>
      <c r="F344">
        <v>75</v>
      </c>
      <c r="G344">
        <v>23</v>
      </c>
      <c r="H344">
        <v>20.5</v>
      </c>
      <c r="I344">
        <v>3.5</v>
      </c>
      <c r="J344">
        <v>7.5</v>
      </c>
      <c r="K344">
        <v>0.46600000000000003</v>
      </c>
      <c r="L344">
        <v>0.9</v>
      </c>
      <c r="M344">
        <v>2.8</v>
      </c>
      <c r="N344">
        <v>0.32100000000000001</v>
      </c>
      <c r="O344">
        <v>2.6</v>
      </c>
      <c r="P344">
        <v>4.7</v>
      </c>
      <c r="Q344">
        <v>0.55200000000000005</v>
      </c>
      <c r="R344">
        <v>0.52600000000000002</v>
      </c>
      <c r="S344">
        <v>2.6</v>
      </c>
      <c r="T344">
        <v>3.2</v>
      </c>
      <c r="U344">
        <v>0.80200000000000005</v>
      </c>
      <c r="V344">
        <v>1.2</v>
      </c>
      <c r="W344">
        <v>3.9</v>
      </c>
      <c r="X344">
        <v>5.0999999999999996</v>
      </c>
      <c r="Y344">
        <v>1.2</v>
      </c>
      <c r="Z344">
        <v>0.4</v>
      </c>
      <c r="AA344">
        <v>0.4</v>
      </c>
      <c r="AB344">
        <v>1</v>
      </c>
      <c r="AC344">
        <v>1.6</v>
      </c>
      <c r="AD344">
        <v>10.5</v>
      </c>
      <c r="AE344" t="str">
        <f>IF(OR(_nba2122[[#This Row],[G]]&gt;=58,nba2122_advanced[[#This Row],[MP]]&gt;=1000),"Y","N")</f>
        <v>Y</v>
      </c>
      <c r="AF34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4.5945321960479388</v>
      </c>
    </row>
    <row r="345" spans="1:32" x14ac:dyDescent="0.35">
      <c r="A345">
        <v>344</v>
      </c>
      <c r="B345" s="1" t="s">
        <v>414</v>
      </c>
      <c r="C345" s="1" t="s">
        <v>48</v>
      </c>
      <c r="D345">
        <v>20</v>
      </c>
      <c r="E345" s="1" t="s">
        <v>96</v>
      </c>
      <c r="F345">
        <v>51</v>
      </c>
      <c r="G345">
        <v>7</v>
      </c>
      <c r="H345">
        <v>17.8</v>
      </c>
      <c r="I345">
        <v>2.2999999999999998</v>
      </c>
      <c r="J345">
        <v>6.2</v>
      </c>
      <c r="K345">
        <v>0.375</v>
      </c>
      <c r="L345">
        <v>0.9</v>
      </c>
      <c r="M345">
        <v>2.9</v>
      </c>
      <c r="N345">
        <v>0.29299999999999998</v>
      </c>
      <c r="O345">
        <v>1.5</v>
      </c>
      <c r="P345">
        <v>3.3</v>
      </c>
      <c r="Q345">
        <v>0.44900000000000001</v>
      </c>
      <c r="R345">
        <v>0.44500000000000001</v>
      </c>
      <c r="S345">
        <v>1.5</v>
      </c>
      <c r="T345">
        <v>2</v>
      </c>
      <c r="U345">
        <v>0.79</v>
      </c>
      <c r="V345">
        <v>0.4</v>
      </c>
      <c r="W345">
        <v>2.2000000000000002</v>
      </c>
      <c r="X345">
        <v>2.6</v>
      </c>
      <c r="Y345">
        <v>2.2000000000000002</v>
      </c>
      <c r="Z345">
        <v>0.6</v>
      </c>
      <c r="AA345">
        <v>0.2</v>
      </c>
      <c r="AB345">
        <v>1.3</v>
      </c>
      <c r="AC345">
        <v>1.3</v>
      </c>
      <c r="AD345">
        <v>7.1</v>
      </c>
      <c r="AE345" t="str">
        <f>IF(OR(_nba2122[[#This Row],[G]]&gt;=58,nba2122_advanced[[#This Row],[MP]]&gt;=1000),"Y","N")</f>
        <v>N</v>
      </c>
      <c r="AF34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5.0263539224002596</v>
      </c>
    </row>
    <row r="346" spans="1:32" x14ac:dyDescent="0.35">
      <c r="A346">
        <v>345</v>
      </c>
      <c r="B346" s="1" t="s">
        <v>415</v>
      </c>
      <c r="C346" s="1" t="s">
        <v>28</v>
      </c>
      <c r="D346">
        <v>22</v>
      </c>
      <c r="E346" s="1" t="s">
        <v>44</v>
      </c>
      <c r="F346">
        <v>41</v>
      </c>
      <c r="G346">
        <v>3</v>
      </c>
      <c r="H346">
        <v>9.9</v>
      </c>
      <c r="I346">
        <v>1.4</v>
      </c>
      <c r="J346">
        <v>2.8</v>
      </c>
      <c r="K346">
        <v>0.496</v>
      </c>
      <c r="L346">
        <v>0.5</v>
      </c>
      <c r="M346">
        <v>1.3</v>
      </c>
      <c r="N346">
        <v>0.42299999999999999</v>
      </c>
      <c r="O346">
        <v>0.9</v>
      </c>
      <c r="P346">
        <v>1.5</v>
      </c>
      <c r="Q346">
        <v>0.55600000000000005</v>
      </c>
      <c r="R346">
        <v>0.59099999999999997</v>
      </c>
      <c r="S346">
        <v>0.4</v>
      </c>
      <c r="T346">
        <v>0.5</v>
      </c>
      <c r="U346">
        <v>0.81799999999999995</v>
      </c>
      <c r="V346">
        <v>0.9</v>
      </c>
      <c r="W346">
        <v>1.1000000000000001</v>
      </c>
      <c r="X346">
        <v>2</v>
      </c>
      <c r="Y346">
        <v>0.5</v>
      </c>
      <c r="Z346">
        <v>0.2</v>
      </c>
      <c r="AA346">
        <v>0.2</v>
      </c>
      <c r="AB346">
        <v>0.4</v>
      </c>
      <c r="AC346">
        <v>0.7</v>
      </c>
      <c r="AD346">
        <v>3.8</v>
      </c>
      <c r="AE346" t="str">
        <f>IF(OR(_nba2122[[#This Row],[G]]&gt;=58,nba2122_advanced[[#This Row],[MP]]&gt;=1000),"Y","N")</f>
        <v>N</v>
      </c>
      <c r="AF34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7.0482545852320273</v>
      </c>
    </row>
    <row r="347" spans="1:32" x14ac:dyDescent="0.35">
      <c r="A347">
        <v>346</v>
      </c>
      <c r="B347" s="1" t="s">
        <v>416</v>
      </c>
      <c r="C347" s="1" t="s">
        <v>51</v>
      </c>
      <c r="D347">
        <v>25</v>
      </c>
      <c r="E347" s="1" t="s">
        <v>93</v>
      </c>
      <c r="F347">
        <v>81</v>
      </c>
      <c r="G347">
        <v>33</v>
      </c>
      <c r="H347">
        <v>28.6</v>
      </c>
      <c r="I347">
        <v>4.0999999999999996</v>
      </c>
      <c r="J347">
        <v>8.5</v>
      </c>
      <c r="K347">
        <v>0.48399999999999999</v>
      </c>
      <c r="L347">
        <v>0.9</v>
      </c>
      <c r="M347">
        <v>2.6</v>
      </c>
      <c r="N347">
        <v>0.36499999999999999</v>
      </c>
      <c r="O347">
        <v>3.2</v>
      </c>
      <c r="P347">
        <v>6</v>
      </c>
      <c r="Q347">
        <v>0.53500000000000003</v>
      </c>
      <c r="R347">
        <v>0.53900000000000003</v>
      </c>
      <c r="S347">
        <v>1.6</v>
      </c>
      <c r="T347">
        <v>2</v>
      </c>
      <c r="U347">
        <v>0.78</v>
      </c>
      <c r="V347">
        <v>1.3</v>
      </c>
      <c r="W347">
        <v>4</v>
      </c>
      <c r="X347">
        <v>5.2</v>
      </c>
      <c r="Y347">
        <v>2.6</v>
      </c>
      <c r="Z347">
        <v>0.7</v>
      </c>
      <c r="AA347">
        <v>0.3</v>
      </c>
      <c r="AB347">
        <v>1</v>
      </c>
      <c r="AC347">
        <v>2.2000000000000002</v>
      </c>
      <c r="AD347">
        <v>10.8</v>
      </c>
      <c r="AE347" t="str">
        <f>IF(OR(_nba2122[[#This Row],[G]]&gt;=58,nba2122_advanced[[#This Row],[MP]]&gt;=1000),"Y","N")</f>
        <v>Y</v>
      </c>
      <c r="AF34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3.0683077550600228</v>
      </c>
    </row>
    <row r="348" spans="1:32" x14ac:dyDescent="0.35">
      <c r="A348">
        <v>347</v>
      </c>
      <c r="B348" s="1" t="s">
        <v>417</v>
      </c>
      <c r="C348" s="1" t="s">
        <v>48</v>
      </c>
      <c r="D348">
        <v>20</v>
      </c>
      <c r="E348" s="1" t="s">
        <v>96</v>
      </c>
      <c r="F348">
        <v>60</v>
      </c>
      <c r="G348">
        <v>26</v>
      </c>
      <c r="H348">
        <v>22.8</v>
      </c>
      <c r="I348">
        <v>3.9</v>
      </c>
      <c r="J348">
        <v>9.8000000000000007</v>
      </c>
      <c r="K348">
        <v>0.39300000000000002</v>
      </c>
      <c r="L348">
        <v>1.6</v>
      </c>
      <c r="M348">
        <v>4.5</v>
      </c>
      <c r="N348">
        <v>0.36</v>
      </c>
      <c r="O348">
        <v>2.2000000000000002</v>
      </c>
      <c r="P348">
        <v>5.3</v>
      </c>
      <c r="Q348">
        <v>0.42099999999999999</v>
      </c>
      <c r="R348">
        <v>0.47599999999999998</v>
      </c>
      <c r="S348">
        <v>1.1000000000000001</v>
      </c>
      <c r="T348">
        <v>1.4</v>
      </c>
      <c r="U348">
        <v>0.79300000000000004</v>
      </c>
      <c r="V348">
        <v>0.4</v>
      </c>
      <c r="W348">
        <v>2.4</v>
      </c>
      <c r="X348">
        <v>2.9</v>
      </c>
      <c r="Y348">
        <v>1.5</v>
      </c>
      <c r="Z348">
        <v>0.8</v>
      </c>
      <c r="AA348">
        <v>0.2</v>
      </c>
      <c r="AB348">
        <v>1.2</v>
      </c>
      <c r="AC348">
        <v>1.7</v>
      </c>
      <c r="AD348">
        <v>10.4</v>
      </c>
      <c r="AE348" t="str">
        <f>IF(OR(_nba2122[[#This Row],[G]]&gt;=58,nba2122_advanced[[#This Row],[MP]]&gt;=1000),"Y","N")</f>
        <v>Y</v>
      </c>
      <c r="AF34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4.8305140096894084</v>
      </c>
    </row>
    <row r="349" spans="1:32" x14ac:dyDescent="0.35">
      <c r="A349">
        <v>348</v>
      </c>
      <c r="B349" s="1" t="s">
        <v>418</v>
      </c>
      <c r="C349" s="1" t="s">
        <v>31</v>
      </c>
      <c r="D349">
        <v>33</v>
      </c>
      <c r="E349" s="1" t="s">
        <v>143</v>
      </c>
      <c r="F349">
        <v>23</v>
      </c>
      <c r="G349">
        <v>0</v>
      </c>
      <c r="H349">
        <v>5.6</v>
      </c>
      <c r="I349">
        <v>1.8</v>
      </c>
      <c r="J349">
        <v>3</v>
      </c>
      <c r="K349">
        <v>0.6</v>
      </c>
      <c r="L349">
        <v>0</v>
      </c>
      <c r="M349">
        <v>0.2</v>
      </c>
      <c r="N349">
        <v>0.25</v>
      </c>
      <c r="O349">
        <v>1.8</v>
      </c>
      <c r="P349">
        <v>2.9</v>
      </c>
      <c r="Q349">
        <v>0.621</v>
      </c>
      <c r="R349">
        <v>0.60699999999999998</v>
      </c>
      <c r="S349">
        <v>0.6</v>
      </c>
      <c r="T349">
        <v>1</v>
      </c>
      <c r="U349">
        <v>0.59099999999999997</v>
      </c>
      <c r="V349">
        <v>0.3</v>
      </c>
      <c r="W349">
        <v>1.3</v>
      </c>
      <c r="X349">
        <v>1.7</v>
      </c>
      <c r="Y349">
        <v>0.1</v>
      </c>
      <c r="Z349">
        <v>0</v>
      </c>
      <c r="AA349">
        <v>0.1</v>
      </c>
      <c r="AB349">
        <v>0.7</v>
      </c>
      <c r="AC349">
        <v>1</v>
      </c>
      <c r="AD349">
        <v>4.3</v>
      </c>
      <c r="AE349" t="str">
        <f>IF(OR(_nba2122[[#This Row],[G]]&gt;=58,nba2122_advanced[[#This Row],[MP]]&gt;=1000),"Y","N")</f>
        <v>N</v>
      </c>
      <c r="AF34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10.968618981765081</v>
      </c>
    </row>
    <row r="350" spans="1:32" x14ac:dyDescent="0.35">
      <c r="A350">
        <v>349</v>
      </c>
      <c r="B350" s="1" t="s">
        <v>419</v>
      </c>
      <c r="C350" s="1" t="s">
        <v>28</v>
      </c>
      <c r="D350">
        <v>24</v>
      </c>
      <c r="E350" s="1" t="s">
        <v>46</v>
      </c>
      <c r="F350">
        <v>61</v>
      </c>
      <c r="G350">
        <v>61</v>
      </c>
      <c r="H350">
        <v>30.8</v>
      </c>
      <c r="I350">
        <v>5.0999999999999996</v>
      </c>
      <c r="J350">
        <v>11.5</v>
      </c>
      <c r="K350">
        <v>0.44500000000000001</v>
      </c>
      <c r="L350">
        <v>2.2000000000000002</v>
      </c>
      <c r="M350">
        <v>6.2</v>
      </c>
      <c r="N350">
        <v>0.35799999999999998</v>
      </c>
      <c r="O350">
        <v>2.9</v>
      </c>
      <c r="P350">
        <v>5.3</v>
      </c>
      <c r="Q350">
        <v>0.54800000000000004</v>
      </c>
      <c r="R350">
        <v>0.54200000000000004</v>
      </c>
      <c r="S350">
        <v>2.2999999999999998</v>
      </c>
      <c r="T350">
        <v>2.6</v>
      </c>
      <c r="U350">
        <v>0.86799999999999999</v>
      </c>
      <c r="V350">
        <v>1</v>
      </c>
      <c r="W350">
        <v>4.7</v>
      </c>
      <c r="X350">
        <v>5.7</v>
      </c>
      <c r="Y350">
        <v>1.3</v>
      </c>
      <c r="Z350">
        <v>0.7</v>
      </c>
      <c r="AA350">
        <v>0.5</v>
      </c>
      <c r="AB350">
        <v>0.9</v>
      </c>
      <c r="AC350">
        <v>2.1</v>
      </c>
      <c r="AD350">
        <v>14.8</v>
      </c>
      <c r="AE350" t="str">
        <f>IF(OR(_nba2122[[#This Row],[G]]&gt;=58,nba2122_advanced[[#This Row],[MP]]&gt;=1000),"Y","N")</f>
        <v>Y</v>
      </c>
      <c r="AF35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3.6343292315921567</v>
      </c>
    </row>
    <row r="351" spans="1:32" x14ac:dyDescent="0.35">
      <c r="A351">
        <v>350</v>
      </c>
      <c r="B351" s="1" t="s">
        <v>420</v>
      </c>
      <c r="C351" s="1" t="s">
        <v>51</v>
      </c>
      <c r="D351">
        <v>24</v>
      </c>
      <c r="E351" s="1" t="s">
        <v>49</v>
      </c>
      <c r="F351">
        <v>55</v>
      </c>
      <c r="G351">
        <v>4</v>
      </c>
      <c r="H351">
        <v>13.4</v>
      </c>
      <c r="I351">
        <v>2</v>
      </c>
      <c r="J351">
        <v>4.9000000000000004</v>
      </c>
      <c r="K351">
        <v>0.40500000000000003</v>
      </c>
      <c r="L351">
        <v>0.4</v>
      </c>
      <c r="M351">
        <v>1.9</v>
      </c>
      <c r="N351">
        <v>0.2</v>
      </c>
      <c r="O351">
        <v>1.6</v>
      </c>
      <c r="P351">
        <v>3</v>
      </c>
      <c r="Q351">
        <v>0.53700000000000003</v>
      </c>
      <c r="R351">
        <v>0.44400000000000001</v>
      </c>
      <c r="S351">
        <v>1.3</v>
      </c>
      <c r="T351">
        <v>1.7</v>
      </c>
      <c r="U351">
        <v>0.79600000000000004</v>
      </c>
      <c r="V351">
        <v>0.7</v>
      </c>
      <c r="W351">
        <v>1.9</v>
      </c>
      <c r="X351">
        <v>2.6</v>
      </c>
      <c r="Y351">
        <v>1.1000000000000001</v>
      </c>
      <c r="Z351">
        <v>0.6</v>
      </c>
      <c r="AA351">
        <v>0.1</v>
      </c>
      <c r="AB351">
        <v>0.8</v>
      </c>
      <c r="AC351">
        <v>1.3</v>
      </c>
      <c r="AD351">
        <v>5.7</v>
      </c>
      <c r="AE351" t="str">
        <f>IF(OR(_nba2122[[#This Row],[G]]&gt;=58,nba2122_advanced[[#This Row],[MP]]&gt;=1000),"Y","N")</f>
        <v>N</v>
      </c>
      <c r="AF35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6.1349648529215433</v>
      </c>
    </row>
    <row r="352" spans="1:32" x14ac:dyDescent="0.35">
      <c r="A352">
        <v>351</v>
      </c>
      <c r="B352" s="1" t="s">
        <v>421</v>
      </c>
      <c r="C352" s="1" t="s">
        <v>51</v>
      </c>
      <c r="D352">
        <v>26</v>
      </c>
      <c r="E352" s="1" t="s">
        <v>36</v>
      </c>
      <c r="F352">
        <v>60</v>
      </c>
      <c r="G352">
        <v>12</v>
      </c>
      <c r="H352">
        <v>22.9</v>
      </c>
      <c r="I352">
        <v>3.5</v>
      </c>
      <c r="J352">
        <v>6.8</v>
      </c>
      <c r="K352">
        <v>0.50700000000000001</v>
      </c>
      <c r="L352">
        <v>1.1000000000000001</v>
      </c>
      <c r="M352">
        <v>2.6</v>
      </c>
      <c r="N352">
        <v>0.41299999999999998</v>
      </c>
      <c r="O352">
        <v>2.4</v>
      </c>
      <c r="P352">
        <v>4.3</v>
      </c>
      <c r="Q352">
        <v>0.56499999999999995</v>
      </c>
      <c r="R352">
        <v>0.58499999999999996</v>
      </c>
      <c r="S352">
        <v>1.2</v>
      </c>
      <c r="T352">
        <v>1.6</v>
      </c>
      <c r="U352">
        <v>0.76300000000000001</v>
      </c>
      <c r="V352">
        <v>1.2</v>
      </c>
      <c r="W352">
        <v>2.7</v>
      </c>
      <c r="X352">
        <v>3.8</v>
      </c>
      <c r="Y352">
        <v>1.1000000000000001</v>
      </c>
      <c r="Z352">
        <v>1</v>
      </c>
      <c r="AA352">
        <v>0.5</v>
      </c>
      <c r="AB352">
        <v>0.9</v>
      </c>
      <c r="AC352">
        <v>1.7</v>
      </c>
      <c r="AD352">
        <v>9.1999999999999993</v>
      </c>
      <c r="AE352" t="str">
        <f>IF(OR(_nba2122[[#This Row],[G]]&gt;=58,nba2122_advanced[[#This Row],[MP]]&gt;=1000),"Y","N")</f>
        <v>Y</v>
      </c>
      <c r="AF35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3.9040768600748921</v>
      </c>
    </row>
    <row r="353" spans="1:32" x14ac:dyDescent="0.35">
      <c r="A353">
        <v>352</v>
      </c>
      <c r="B353" s="1" t="s">
        <v>422</v>
      </c>
      <c r="C353" s="1" t="s">
        <v>51</v>
      </c>
      <c r="D353">
        <v>26</v>
      </c>
      <c r="E353" s="1" t="s">
        <v>73</v>
      </c>
      <c r="F353">
        <v>71</v>
      </c>
      <c r="G353">
        <v>11</v>
      </c>
      <c r="H353">
        <v>26.3</v>
      </c>
      <c r="I353">
        <v>2.9</v>
      </c>
      <c r="J353">
        <v>6</v>
      </c>
      <c r="K353">
        <v>0.48199999999999998</v>
      </c>
      <c r="L353">
        <v>0.9</v>
      </c>
      <c r="M353">
        <v>2.2000000000000002</v>
      </c>
      <c r="N353">
        <v>0.38400000000000001</v>
      </c>
      <c r="O353">
        <v>2</v>
      </c>
      <c r="P353">
        <v>3.7</v>
      </c>
      <c r="Q353">
        <v>0.54200000000000004</v>
      </c>
      <c r="R353">
        <v>0.55400000000000005</v>
      </c>
      <c r="S353">
        <v>1.1000000000000001</v>
      </c>
      <c r="T353">
        <v>1.5</v>
      </c>
      <c r="U353">
        <v>0.70099999999999996</v>
      </c>
      <c r="V353">
        <v>1.2</v>
      </c>
      <c r="W353">
        <v>2.9</v>
      </c>
      <c r="X353">
        <v>4</v>
      </c>
      <c r="Y353">
        <v>2.5</v>
      </c>
      <c r="Z353">
        <v>1.2</v>
      </c>
      <c r="AA353">
        <v>0.5</v>
      </c>
      <c r="AB353">
        <v>0.9</v>
      </c>
      <c r="AC353">
        <v>1.6</v>
      </c>
      <c r="AD353">
        <v>7.7</v>
      </c>
      <c r="AE353" t="str">
        <f>IF(OR(_nba2122[[#This Row],[G]]&gt;=58,nba2122_advanced[[#This Row],[MP]]&gt;=1000),"Y","N")</f>
        <v>Y</v>
      </c>
      <c r="AF35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3.5907095659814576</v>
      </c>
    </row>
    <row r="354" spans="1:32" x14ac:dyDescent="0.35">
      <c r="A354">
        <v>353</v>
      </c>
      <c r="B354" s="1" t="s">
        <v>423</v>
      </c>
      <c r="C354" s="1" t="s">
        <v>51</v>
      </c>
      <c r="D354">
        <v>26</v>
      </c>
      <c r="E354" s="1" t="s">
        <v>42</v>
      </c>
      <c r="F354">
        <v>30</v>
      </c>
      <c r="G354">
        <v>1</v>
      </c>
      <c r="H354">
        <v>15</v>
      </c>
      <c r="I354">
        <v>2.2999999999999998</v>
      </c>
      <c r="J354">
        <v>5.7</v>
      </c>
      <c r="K354">
        <v>0.40899999999999997</v>
      </c>
      <c r="L354">
        <v>0.7</v>
      </c>
      <c r="M354">
        <v>2.5</v>
      </c>
      <c r="N354">
        <v>0.29299999999999998</v>
      </c>
      <c r="O354">
        <v>1.6</v>
      </c>
      <c r="P354">
        <v>3.2</v>
      </c>
      <c r="Q354">
        <v>0.5</v>
      </c>
      <c r="R354">
        <v>0.47399999999999998</v>
      </c>
      <c r="S354">
        <v>0.3</v>
      </c>
      <c r="T354">
        <v>0.4</v>
      </c>
      <c r="U354">
        <v>0.69199999999999995</v>
      </c>
      <c r="V354">
        <v>0.6</v>
      </c>
      <c r="W354">
        <v>1.3</v>
      </c>
      <c r="X354">
        <v>1.8</v>
      </c>
      <c r="Y354">
        <v>0.7</v>
      </c>
      <c r="Z354">
        <v>0.4</v>
      </c>
      <c r="AA354">
        <v>0.3</v>
      </c>
      <c r="AB354">
        <v>0.5</v>
      </c>
      <c r="AC354">
        <v>1.2</v>
      </c>
      <c r="AD354">
        <v>5.7</v>
      </c>
      <c r="AE354" t="str">
        <f>IF(OR(_nba2122[[#This Row],[G]]&gt;=58,nba2122_advanced[[#This Row],[MP]]&gt;=1000),"Y","N")</f>
        <v>N</v>
      </c>
      <c r="AF35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7.1786522686089267</v>
      </c>
    </row>
    <row r="355" spans="1:32" x14ac:dyDescent="0.35">
      <c r="A355">
        <v>354</v>
      </c>
      <c r="B355" s="1" t="s">
        <v>424</v>
      </c>
      <c r="C355" s="1" t="s">
        <v>51</v>
      </c>
      <c r="D355">
        <v>21</v>
      </c>
      <c r="E355" s="1" t="s">
        <v>170</v>
      </c>
      <c r="F355">
        <v>79</v>
      </c>
      <c r="G355">
        <v>2</v>
      </c>
      <c r="H355">
        <v>21</v>
      </c>
      <c r="I355">
        <v>3.5</v>
      </c>
      <c r="J355">
        <v>6.6</v>
      </c>
      <c r="K355">
        <v>0.53300000000000003</v>
      </c>
      <c r="L355">
        <v>0.8</v>
      </c>
      <c r="M355">
        <v>2.1</v>
      </c>
      <c r="N355">
        <v>0.35699999999999998</v>
      </c>
      <c r="O355">
        <v>2.8</v>
      </c>
      <c r="P355">
        <v>4.5</v>
      </c>
      <c r="Q355">
        <v>0.61699999999999999</v>
      </c>
      <c r="R355">
        <v>0.59099999999999997</v>
      </c>
      <c r="S355">
        <v>1</v>
      </c>
      <c r="T355">
        <v>1.6</v>
      </c>
      <c r="U355">
        <v>0.63400000000000001</v>
      </c>
      <c r="V355">
        <v>1</v>
      </c>
      <c r="W355">
        <v>2.7</v>
      </c>
      <c r="X355">
        <v>3.8</v>
      </c>
      <c r="Y355">
        <v>1.3</v>
      </c>
      <c r="Z355">
        <v>0.4</v>
      </c>
      <c r="AA355">
        <v>0.5</v>
      </c>
      <c r="AB355">
        <v>0.8</v>
      </c>
      <c r="AC355">
        <v>1.4</v>
      </c>
      <c r="AD355">
        <v>8.8000000000000007</v>
      </c>
      <c r="AE355" t="str">
        <f>IF(OR(_nba2122[[#This Row],[G]]&gt;=58,nba2122_advanced[[#This Row],[MP]]&gt;=1000),"Y","N")</f>
        <v>Y</v>
      </c>
      <c r="AF35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4.4421765090566723</v>
      </c>
    </row>
    <row r="356" spans="1:32" x14ac:dyDescent="0.35">
      <c r="A356">
        <v>355</v>
      </c>
      <c r="B356" s="1" t="s">
        <v>425</v>
      </c>
      <c r="C356" s="1" t="s">
        <v>41</v>
      </c>
      <c r="D356">
        <v>25</v>
      </c>
      <c r="E356" s="1" t="s">
        <v>170</v>
      </c>
      <c r="F356">
        <v>65</v>
      </c>
      <c r="G356">
        <v>33</v>
      </c>
      <c r="H356">
        <v>26.3</v>
      </c>
      <c r="I356">
        <v>2.8</v>
      </c>
      <c r="J356">
        <v>7.1</v>
      </c>
      <c r="K356">
        <v>0.39900000000000002</v>
      </c>
      <c r="L356">
        <v>2.1</v>
      </c>
      <c r="M356">
        <v>5.9</v>
      </c>
      <c r="N356">
        <v>0.36</v>
      </c>
      <c r="O356">
        <v>0.7</v>
      </c>
      <c r="P356">
        <v>1.2</v>
      </c>
      <c r="Q356">
        <v>0.6</v>
      </c>
      <c r="R356">
        <v>0.55000000000000004</v>
      </c>
      <c r="S356">
        <v>2.2000000000000002</v>
      </c>
      <c r="T356">
        <v>2.8</v>
      </c>
      <c r="U356">
        <v>0.79400000000000004</v>
      </c>
      <c r="V356">
        <v>0.5</v>
      </c>
      <c r="W356">
        <v>2.4</v>
      </c>
      <c r="X356">
        <v>2.9</v>
      </c>
      <c r="Y356">
        <v>1</v>
      </c>
      <c r="Z356">
        <v>0.9</v>
      </c>
      <c r="AA356">
        <v>0.4</v>
      </c>
      <c r="AB356">
        <v>0.6</v>
      </c>
      <c r="AC356">
        <v>2.6</v>
      </c>
      <c r="AD356">
        <v>10</v>
      </c>
      <c r="AE356" t="str">
        <f>IF(OR(_nba2122[[#This Row],[G]]&gt;=58,nba2122_advanced[[#This Row],[MP]]&gt;=1000),"Y","N")</f>
        <v>Y</v>
      </c>
      <c r="AF35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6.5692976880046192</v>
      </c>
    </row>
    <row r="357" spans="1:32" x14ac:dyDescent="0.35">
      <c r="A357">
        <v>356</v>
      </c>
      <c r="B357" s="1" t="s">
        <v>426</v>
      </c>
      <c r="C357" s="1" t="s">
        <v>41</v>
      </c>
      <c r="D357">
        <v>26</v>
      </c>
      <c r="E357" s="1" t="s">
        <v>34</v>
      </c>
      <c r="F357">
        <v>6</v>
      </c>
      <c r="G357">
        <v>0</v>
      </c>
      <c r="H357">
        <v>2.7</v>
      </c>
      <c r="I357">
        <v>0.3</v>
      </c>
      <c r="J357">
        <v>1</v>
      </c>
      <c r="K357">
        <v>0.33300000000000002</v>
      </c>
      <c r="L357">
        <v>0.3</v>
      </c>
      <c r="M357">
        <v>1</v>
      </c>
      <c r="N357">
        <v>0.33300000000000002</v>
      </c>
      <c r="O357">
        <v>0</v>
      </c>
      <c r="P357">
        <v>0</v>
      </c>
      <c r="R357">
        <v>0.5</v>
      </c>
      <c r="S357">
        <v>0</v>
      </c>
      <c r="T357">
        <v>0</v>
      </c>
      <c r="V357">
        <v>0</v>
      </c>
      <c r="W357">
        <v>0.3</v>
      </c>
      <c r="X357">
        <v>0.3</v>
      </c>
      <c r="Y357">
        <v>0.2</v>
      </c>
      <c r="Z357">
        <v>0.2</v>
      </c>
      <c r="AA357">
        <v>0</v>
      </c>
      <c r="AB357">
        <v>0</v>
      </c>
      <c r="AC357">
        <v>0.2</v>
      </c>
      <c r="AD357">
        <v>1</v>
      </c>
      <c r="AE357" t="str">
        <f>IF(OR(_nba2122[[#This Row],[G]]&gt;=58,nba2122_advanced[[#This Row],[MP]]&gt;=1000),"Y","N")</f>
        <v>N</v>
      </c>
      <c r="AF35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14.683974869549351</v>
      </c>
    </row>
    <row r="358" spans="1:32" x14ac:dyDescent="0.35">
      <c r="A358">
        <v>357</v>
      </c>
      <c r="B358" s="1" t="s">
        <v>427</v>
      </c>
      <c r="C358" s="1" t="s">
        <v>41</v>
      </c>
      <c r="D358">
        <v>35</v>
      </c>
      <c r="E358" s="1" t="s">
        <v>44</v>
      </c>
      <c r="F358">
        <v>49</v>
      </c>
      <c r="G358">
        <v>14</v>
      </c>
      <c r="H358">
        <v>20.399999999999999</v>
      </c>
      <c r="I358">
        <v>1.8</v>
      </c>
      <c r="J358">
        <v>4.5</v>
      </c>
      <c r="K358">
        <v>0.39500000000000002</v>
      </c>
      <c r="L358">
        <v>1.1000000000000001</v>
      </c>
      <c r="M358">
        <v>3.2</v>
      </c>
      <c r="N358">
        <v>0.33800000000000002</v>
      </c>
      <c r="O358">
        <v>0.7</v>
      </c>
      <c r="P358">
        <v>1.3</v>
      </c>
      <c r="Q358">
        <v>0.54</v>
      </c>
      <c r="R358">
        <v>0.51600000000000001</v>
      </c>
      <c r="S358">
        <v>0.4</v>
      </c>
      <c r="T358">
        <v>0.6</v>
      </c>
      <c r="U358">
        <v>0.78600000000000003</v>
      </c>
      <c r="V358">
        <v>0.6</v>
      </c>
      <c r="W358">
        <v>1.3</v>
      </c>
      <c r="X358">
        <v>1.9</v>
      </c>
      <c r="Y358">
        <v>0.7</v>
      </c>
      <c r="Z358">
        <v>0.5</v>
      </c>
      <c r="AA358">
        <v>0.2</v>
      </c>
      <c r="AB358">
        <v>0.4</v>
      </c>
      <c r="AC358">
        <v>1.8</v>
      </c>
      <c r="AD358">
        <v>5.0999999999999996</v>
      </c>
      <c r="AE358" t="str">
        <f>IF(OR(_nba2122[[#This Row],[G]]&gt;=58,nba2122_advanced[[#This Row],[MP]]&gt;=1000),"Y","N")</f>
        <v>Y</v>
      </c>
      <c r="AF35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8.8038484387305989</v>
      </c>
    </row>
    <row r="359" spans="1:32" x14ac:dyDescent="0.35">
      <c r="A359">
        <v>358</v>
      </c>
      <c r="B359" s="1" t="s">
        <v>428</v>
      </c>
      <c r="C359" s="1" t="s">
        <v>48</v>
      </c>
      <c r="D359">
        <v>21</v>
      </c>
      <c r="E359" s="1" t="s">
        <v>89</v>
      </c>
      <c r="F359">
        <v>75</v>
      </c>
      <c r="G359">
        <v>74</v>
      </c>
      <c r="H359">
        <v>35.299999999999997</v>
      </c>
      <c r="I359">
        <v>6.4</v>
      </c>
      <c r="J359">
        <v>13.3</v>
      </c>
      <c r="K359">
        <v>0.48499999999999999</v>
      </c>
      <c r="L359">
        <v>1.8</v>
      </c>
      <c r="M359">
        <v>4.0999999999999996</v>
      </c>
      <c r="N359">
        <v>0.42699999999999999</v>
      </c>
      <c r="O359">
        <v>4.7</v>
      </c>
      <c r="P359">
        <v>9.1</v>
      </c>
      <c r="Q359">
        <v>0.51200000000000001</v>
      </c>
      <c r="R359">
        <v>0.55200000000000005</v>
      </c>
      <c r="S359">
        <v>2.8</v>
      </c>
      <c r="T359">
        <v>3.3</v>
      </c>
      <c r="U359">
        <v>0.86599999999999999</v>
      </c>
      <c r="V359">
        <v>0.3</v>
      </c>
      <c r="W359">
        <v>2.9</v>
      </c>
      <c r="X359">
        <v>3.2</v>
      </c>
      <c r="Y359">
        <v>4.3</v>
      </c>
      <c r="Z359">
        <v>0.7</v>
      </c>
      <c r="AA359">
        <v>0.4</v>
      </c>
      <c r="AB359">
        <v>1.2</v>
      </c>
      <c r="AC359">
        <v>2.1</v>
      </c>
      <c r="AD359">
        <v>17.5</v>
      </c>
      <c r="AE359" t="str">
        <f>IF(OR(_nba2122[[#This Row],[G]]&gt;=58,nba2122_advanced[[#This Row],[MP]]&gt;=1000),"Y","N")</f>
        <v>Y</v>
      </c>
      <c r="AF35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4.3489694467414175</v>
      </c>
    </row>
    <row r="360" spans="1:32" x14ac:dyDescent="0.35">
      <c r="A360">
        <v>359</v>
      </c>
      <c r="B360" s="1" t="s">
        <v>429</v>
      </c>
      <c r="C360" s="1" t="s">
        <v>41</v>
      </c>
      <c r="D360">
        <v>24</v>
      </c>
      <c r="E360" s="1" t="s">
        <v>80</v>
      </c>
      <c r="F360">
        <v>28</v>
      </c>
      <c r="G360">
        <v>5</v>
      </c>
      <c r="H360">
        <v>7.9</v>
      </c>
      <c r="I360">
        <v>1.1000000000000001</v>
      </c>
      <c r="J360">
        <v>2.2999999999999998</v>
      </c>
      <c r="K360">
        <v>0.5</v>
      </c>
      <c r="L360">
        <v>0.3</v>
      </c>
      <c r="M360">
        <v>0.9</v>
      </c>
      <c r="N360">
        <v>0.32</v>
      </c>
      <c r="O360">
        <v>0.9</v>
      </c>
      <c r="P360">
        <v>1.4</v>
      </c>
      <c r="Q360">
        <v>0.61499999999999999</v>
      </c>
      <c r="R360">
        <v>0.56299999999999994</v>
      </c>
      <c r="S360">
        <v>0.3</v>
      </c>
      <c r="T360">
        <v>0.3</v>
      </c>
      <c r="U360">
        <v>0.88900000000000001</v>
      </c>
      <c r="V360">
        <v>0.2</v>
      </c>
      <c r="W360">
        <v>0.7</v>
      </c>
      <c r="X360">
        <v>0.9</v>
      </c>
      <c r="Y360">
        <v>0.6</v>
      </c>
      <c r="Z360">
        <v>0.3</v>
      </c>
      <c r="AA360">
        <v>0</v>
      </c>
      <c r="AB360">
        <v>0.4</v>
      </c>
      <c r="AC360">
        <v>0.3</v>
      </c>
      <c r="AD360">
        <v>2.9</v>
      </c>
      <c r="AE360" t="str">
        <f>IF(OR(_nba2122[[#This Row],[G]]&gt;=58,nba2122_advanced[[#This Row],[MP]]&gt;=1000),"Y","N")</f>
        <v>N</v>
      </c>
      <c r="AF36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8.6458439177570394</v>
      </c>
    </row>
    <row r="361" spans="1:32" x14ac:dyDescent="0.35">
      <c r="A361">
        <v>360</v>
      </c>
      <c r="B361" s="1" t="s">
        <v>430</v>
      </c>
      <c r="C361" s="1" t="s">
        <v>48</v>
      </c>
      <c r="D361">
        <v>21</v>
      </c>
      <c r="E361" s="1" t="s">
        <v>61</v>
      </c>
      <c r="F361">
        <v>40</v>
      </c>
      <c r="G361">
        <v>2</v>
      </c>
      <c r="H361">
        <v>9.3000000000000007</v>
      </c>
      <c r="I361">
        <v>0.8</v>
      </c>
      <c r="J361">
        <v>2.7</v>
      </c>
      <c r="K361">
        <v>0.29599999999999999</v>
      </c>
      <c r="L361">
        <v>0.4</v>
      </c>
      <c r="M361">
        <v>1.7</v>
      </c>
      <c r="N361">
        <v>0.25</v>
      </c>
      <c r="O361">
        <v>0.4</v>
      </c>
      <c r="P361">
        <v>1</v>
      </c>
      <c r="Q361">
        <v>0.375</v>
      </c>
      <c r="R361">
        <v>0.375</v>
      </c>
      <c r="S361">
        <v>0.2</v>
      </c>
      <c r="T361">
        <v>0.3</v>
      </c>
      <c r="U361">
        <v>0.66700000000000004</v>
      </c>
      <c r="V361">
        <v>0.1</v>
      </c>
      <c r="W361">
        <v>1</v>
      </c>
      <c r="X361">
        <v>1.1000000000000001</v>
      </c>
      <c r="Y361">
        <v>1</v>
      </c>
      <c r="Z361">
        <v>0.4</v>
      </c>
      <c r="AA361">
        <v>0</v>
      </c>
      <c r="AB361">
        <v>0.1</v>
      </c>
      <c r="AC361">
        <v>1.1000000000000001</v>
      </c>
      <c r="AD361">
        <v>2.2000000000000002</v>
      </c>
      <c r="AE361" t="str">
        <f>IF(OR(_nba2122[[#This Row],[G]]&gt;=58,nba2122_advanced[[#This Row],[MP]]&gt;=1000),"Y","N")</f>
        <v>N</v>
      </c>
      <c r="AF36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10.425043632019284</v>
      </c>
    </row>
    <row r="362" spans="1:32" x14ac:dyDescent="0.35">
      <c r="A362">
        <v>361</v>
      </c>
      <c r="B362" s="2" t="s">
        <v>431</v>
      </c>
      <c r="C362" s="1" t="s">
        <v>41</v>
      </c>
      <c r="D362">
        <v>23</v>
      </c>
      <c r="E362" s="1" t="s">
        <v>42</v>
      </c>
      <c r="F362">
        <v>2</v>
      </c>
      <c r="G362">
        <v>0</v>
      </c>
      <c r="H362">
        <v>12.5</v>
      </c>
      <c r="I362">
        <v>1.5</v>
      </c>
      <c r="J362">
        <v>3</v>
      </c>
      <c r="K362">
        <v>0.5</v>
      </c>
      <c r="L362">
        <v>0.5</v>
      </c>
      <c r="M362">
        <v>1.5</v>
      </c>
      <c r="N362">
        <v>0.33300000000000002</v>
      </c>
      <c r="O362">
        <v>1</v>
      </c>
      <c r="P362">
        <v>1.5</v>
      </c>
      <c r="Q362">
        <v>0.66700000000000004</v>
      </c>
      <c r="R362">
        <v>0.58299999999999996</v>
      </c>
      <c r="S362">
        <v>0.5</v>
      </c>
      <c r="T362">
        <v>0.5</v>
      </c>
      <c r="U362">
        <v>1</v>
      </c>
      <c r="V362">
        <v>0</v>
      </c>
      <c r="W362">
        <v>1.5</v>
      </c>
      <c r="X362">
        <v>1.5</v>
      </c>
      <c r="Y362">
        <v>0.5</v>
      </c>
      <c r="Z362">
        <v>0.5</v>
      </c>
      <c r="AA362">
        <v>0.5</v>
      </c>
      <c r="AB362">
        <v>1.5</v>
      </c>
      <c r="AC362">
        <v>2.5</v>
      </c>
      <c r="AD362">
        <v>4</v>
      </c>
      <c r="AE362" t="str">
        <f>IF(OR(_nba2122[[#This Row],[G]]&gt;=58,nba2122_advanced[[#This Row],[MP]]&gt;=1000),"Y","N")</f>
        <v>N</v>
      </c>
      <c r="AF36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8.7307164495707035</v>
      </c>
    </row>
    <row r="363" spans="1:32" x14ac:dyDescent="0.35">
      <c r="A363">
        <v>362</v>
      </c>
      <c r="B363" s="1" t="s">
        <v>432</v>
      </c>
      <c r="C363" s="1" t="s">
        <v>41</v>
      </c>
      <c r="D363">
        <v>30</v>
      </c>
      <c r="E363" s="1" t="s">
        <v>42</v>
      </c>
      <c r="F363">
        <v>62</v>
      </c>
      <c r="G363">
        <v>62</v>
      </c>
      <c r="H363">
        <v>34.6</v>
      </c>
      <c r="I363">
        <v>8.6</v>
      </c>
      <c r="J363">
        <v>18.8</v>
      </c>
      <c r="K363">
        <v>0.46</v>
      </c>
      <c r="L363">
        <v>2.9</v>
      </c>
      <c r="M363">
        <v>7.6</v>
      </c>
      <c r="N363">
        <v>0.38800000000000001</v>
      </c>
      <c r="O363">
        <v>5.7</v>
      </c>
      <c r="P363">
        <v>11.2</v>
      </c>
      <c r="Q363">
        <v>0.50900000000000001</v>
      </c>
      <c r="R363">
        <v>0.53900000000000003</v>
      </c>
      <c r="S363">
        <v>1.9</v>
      </c>
      <c r="T363">
        <v>2.7</v>
      </c>
      <c r="U363">
        <v>0.68200000000000005</v>
      </c>
      <c r="V363">
        <v>0.9</v>
      </c>
      <c r="W363">
        <v>3.5</v>
      </c>
      <c r="X363">
        <v>4.3</v>
      </c>
      <c r="Y363">
        <v>5.0999999999999996</v>
      </c>
      <c r="Z363">
        <v>1.1000000000000001</v>
      </c>
      <c r="AA363">
        <v>0.4</v>
      </c>
      <c r="AB363">
        <v>2</v>
      </c>
      <c r="AC363">
        <v>2</v>
      </c>
      <c r="AD363">
        <v>22.1</v>
      </c>
      <c r="AE363" t="str">
        <f>IF(OR(_nba2122[[#This Row],[G]]&gt;=58,nba2122_advanced[[#This Row],[MP]]&gt;=1000),"Y","N")</f>
        <v>Y</v>
      </c>
      <c r="AF36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5.4783577632459313</v>
      </c>
    </row>
    <row r="364" spans="1:32" x14ac:dyDescent="0.35">
      <c r="A364">
        <v>363</v>
      </c>
      <c r="B364" s="1" t="s">
        <v>433</v>
      </c>
      <c r="C364" s="1" t="s">
        <v>48</v>
      </c>
      <c r="D364">
        <v>29</v>
      </c>
      <c r="E364" s="1" t="s">
        <v>108</v>
      </c>
      <c r="F364">
        <v>27</v>
      </c>
      <c r="G364">
        <v>8</v>
      </c>
      <c r="H364">
        <v>24.1</v>
      </c>
      <c r="I364">
        <v>3.7</v>
      </c>
      <c r="J364">
        <v>7.7</v>
      </c>
      <c r="K364">
        <v>0.48099999999999998</v>
      </c>
      <c r="L364">
        <v>0.4</v>
      </c>
      <c r="M364">
        <v>1.2</v>
      </c>
      <c r="N364">
        <v>0.30299999999999999</v>
      </c>
      <c r="O364">
        <v>3.3</v>
      </c>
      <c r="P364">
        <v>6.5</v>
      </c>
      <c r="Q364">
        <v>0.51400000000000001</v>
      </c>
      <c r="R364">
        <v>0.505</v>
      </c>
      <c r="S364">
        <v>0.7</v>
      </c>
      <c r="T364">
        <v>0.9</v>
      </c>
      <c r="U364">
        <v>0.82599999999999996</v>
      </c>
      <c r="V364">
        <v>0.7</v>
      </c>
      <c r="W364">
        <v>2.6</v>
      </c>
      <c r="X364">
        <v>3.3</v>
      </c>
      <c r="Y364">
        <v>4.9000000000000004</v>
      </c>
      <c r="Z364">
        <v>1.1000000000000001</v>
      </c>
      <c r="AA364">
        <v>0.4</v>
      </c>
      <c r="AB364">
        <v>1.1000000000000001</v>
      </c>
      <c r="AC364">
        <v>2</v>
      </c>
      <c r="AD364">
        <v>8.5</v>
      </c>
      <c r="AE364" t="str">
        <f>IF(OR(_nba2122[[#This Row],[G]]&gt;=58,nba2122_advanced[[#This Row],[MP]]&gt;=1000),"Y","N")</f>
        <v>N</v>
      </c>
      <c r="AF36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5.6029636307615593</v>
      </c>
    </row>
    <row r="365" spans="1:32" x14ac:dyDescent="0.35">
      <c r="A365">
        <v>364</v>
      </c>
      <c r="B365" s="1" t="s">
        <v>434</v>
      </c>
      <c r="C365" s="1" t="s">
        <v>28</v>
      </c>
      <c r="D365">
        <v>21</v>
      </c>
      <c r="E365" s="1" t="s">
        <v>99</v>
      </c>
      <c r="F365">
        <v>70</v>
      </c>
      <c r="G365">
        <v>31</v>
      </c>
      <c r="H365">
        <v>25.8</v>
      </c>
      <c r="I365">
        <v>3.6</v>
      </c>
      <c r="J365">
        <v>7.9</v>
      </c>
      <c r="K365">
        <v>0.46</v>
      </c>
      <c r="L365">
        <v>1.1000000000000001</v>
      </c>
      <c r="M365">
        <v>3.6</v>
      </c>
      <c r="N365">
        <v>0.317</v>
      </c>
      <c r="O365">
        <v>2.5</v>
      </c>
      <c r="P365">
        <v>4.3</v>
      </c>
      <c r="Q365">
        <v>0.57899999999999996</v>
      </c>
      <c r="R365">
        <v>0.53200000000000003</v>
      </c>
      <c r="S365">
        <v>0.8</v>
      </c>
      <c r="T365">
        <v>1</v>
      </c>
      <c r="U365">
        <v>0.80300000000000005</v>
      </c>
      <c r="V365">
        <v>1.1000000000000001</v>
      </c>
      <c r="W365">
        <v>3.1</v>
      </c>
      <c r="X365">
        <v>4.2</v>
      </c>
      <c r="Y365">
        <v>1.1000000000000001</v>
      </c>
      <c r="Z365">
        <v>0.7</v>
      </c>
      <c r="AA365">
        <v>0.8</v>
      </c>
      <c r="AB365">
        <v>1.1000000000000001</v>
      </c>
      <c r="AC365">
        <v>3.2</v>
      </c>
      <c r="AD365">
        <v>9.1999999999999993</v>
      </c>
      <c r="AE365" t="str">
        <f>IF(OR(_nba2122[[#This Row],[G]]&gt;=58,nba2122_advanced[[#This Row],[MP]]&gt;=1000),"Y","N")</f>
        <v>Y</v>
      </c>
      <c r="AF36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5.4043735341668979</v>
      </c>
    </row>
    <row r="366" spans="1:32" x14ac:dyDescent="0.35">
      <c r="A366">
        <v>365</v>
      </c>
      <c r="B366" s="1" t="s">
        <v>435</v>
      </c>
      <c r="C366" s="1" t="s">
        <v>51</v>
      </c>
      <c r="D366">
        <v>24</v>
      </c>
      <c r="E366" s="1" t="s">
        <v>73</v>
      </c>
      <c r="F366">
        <v>55</v>
      </c>
      <c r="G366">
        <v>2</v>
      </c>
      <c r="H366">
        <v>16.3</v>
      </c>
      <c r="I366">
        <v>2.2000000000000002</v>
      </c>
      <c r="J366">
        <v>4.5999999999999996</v>
      </c>
      <c r="K366">
        <v>0.48399999999999999</v>
      </c>
      <c r="L366">
        <v>0.7</v>
      </c>
      <c r="M366">
        <v>2</v>
      </c>
      <c r="N366">
        <v>0.38</v>
      </c>
      <c r="O366">
        <v>1.5</v>
      </c>
      <c r="P366">
        <v>2.7</v>
      </c>
      <c r="Q366">
        <v>0.56200000000000006</v>
      </c>
      <c r="R366">
        <v>0.56499999999999995</v>
      </c>
      <c r="S366">
        <v>1</v>
      </c>
      <c r="T366">
        <v>1.3</v>
      </c>
      <c r="U366">
        <v>0.73599999999999999</v>
      </c>
      <c r="V366">
        <v>0.7</v>
      </c>
      <c r="W366">
        <v>2.4</v>
      </c>
      <c r="X366">
        <v>3.1</v>
      </c>
      <c r="Y366">
        <v>1.1000000000000001</v>
      </c>
      <c r="Z366">
        <v>0.5</v>
      </c>
      <c r="AA366">
        <v>0.4</v>
      </c>
      <c r="AB366">
        <v>0.7</v>
      </c>
      <c r="AC366">
        <v>1.7</v>
      </c>
      <c r="AD366">
        <v>6.2</v>
      </c>
      <c r="AE366" t="str">
        <f>IF(OR(_nba2122[[#This Row],[G]]&gt;=58,nba2122_advanced[[#This Row],[MP]]&gt;=1000),"Y","N")</f>
        <v>N</v>
      </c>
      <c r="AF36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4.4913862229824222</v>
      </c>
    </row>
    <row r="367" spans="1:32" x14ac:dyDescent="0.35">
      <c r="A367">
        <v>366</v>
      </c>
      <c r="B367" s="1" t="s">
        <v>436</v>
      </c>
      <c r="C367" s="1" t="s">
        <v>28</v>
      </c>
      <c r="D367">
        <v>30</v>
      </c>
      <c r="E367" s="1" t="s">
        <v>91</v>
      </c>
      <c r="F367">
        <v>51</v>
      </c>
      <c r="G367">
        <v>51</v>
      </c>
      <c r="H367">
        <v>24</v>
      </c>
      <c r="I367">
        <v>4.2</v>
      </c>
      <c r="J367">
        <v>9.1</v>
      </c>
      <c r="K367">
        <v>0.46200000000000002</v>
      </c>
      <c r="L367">
        <v>2.1</v>
      </c>
      <c r="M367">
        <v>5</v>
      </c>
      <c r="N367">
        <v>0.42199999999999999</v>
      </c>
      <c r="O367">
        <v>2.1</v>
      </c>
      <c r="P367">
        <v>4.0999999999999996</v>
      </c>
      <c r="Q367">
        <v>0.51200000000000001</v>
      </c>
      <c r="R367">
        <v>0.57799999999999996</v>
      </c>
      <c r="S367">
        <v>0.8</v>
      </c>
      <c r="T367">
        <v>1</v>
      </c>
      <c r="U367">
        <v>0.78400000000000003</v>
      </c>
      <c r="V367">
        <v>0.4</v>
      </c>
      <c r="W367">
        <v>1.9</v>
      </c>
      <c r="X367">
        <v>2.2999999999999998</v>
      </c>
      <c r="Y367">
        <v>1.3</v>
      </c>
      <c r="Z367">
        <v>0.3</v>
      </c>
      <c r="AA367">
        <v>0.1</v>
      </c>
      <c r="AB367">
        <v>0.8</v>
      </c>
      <c r="AC367">
        <v>1.5</v>
      </c>
      <c r="AD367">
        <v>11.3</v>
      </c>
      <c r="AE367" t="str">
        <f>IF(OR(_nba2122[[#This Row],[G]]&gt;=58,nba2122_advanced[[#This Row],[MP]]&gt;=1000),"Y","N")</f>
        <v>Y</v>
      </c>
      <c r="AF36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7.6322083394311777</v>
      </c>
    </row>
    <row r="368" spans="1:32" x14ac:dyDescent="0.35">
      <c r="A368">
        <v>367</v>
      </c>
      <c r="B368" s="1" t="s">
        <v>437</v>
      </c>
      <c r="C368" s="1" t="s">
        <v>31</v>
      </c>
      <c r="D368">
        <v>34</v>
      </c>
      <c r="E368" s="1" t="s">
        <v>68</v>
      </c>
      <c r="F368">
        <v>74</v>
      </c>
      <c r="G368">
        <v>17</v>
      </c>
      <c r="H368">
        <v>15.8</v>
      </c>
      <c r="I368">
        <v>3.9</v>
      </c>
      <c r="J368">
        <v>6.2</v>
      </c>
      <c r="K368">
        <v>0.629</v>
      </c>
      <c r="L368">
        <v>0</v>
      </c>
      <c r="M368">
        <v>0.1</v>
      </c>
      <c r="N368">
        <v>0.222</v>
      </c>
      <c r="O368">
        <v>3.9</v>
      </c>
      <c r="P368">
        <v>6.1</v>
      </c>
      <c r="Q368">
        <v>0.63700000000000001</v>
      </c>
      <c r="R368">
        <v>0.63100000000000001</v>
      </c>
      <c r="S368">
        <v>1.4</v>
      </c>
      <c r="T368">
        <v>2</v>
      </c>
      <c r="U368">
        <v>0.69899999999999995</v>
      </c>
      <c r="V368">
        <v>2.2000000000000002</v>
      </c>
      <c r="W368">
        <v>4.5</v>
      </c>
      <c r="X368">
        <v>6.7</v>
      </c>
      <c r="Y368">
        <v>0.6</v>
      </c>
      <c r="Z368">
        <v>0.3</v>
      </c>
      <c r="AA368">
        <v>1.1000000000000001</v>
      </c>
      <c r="AB368">
        <v>1.3</v>
      </c>
      <c r="AC368">
        <v>2.4</v>
      </c>
      <c r="AD368">
        <v>9.1999999999999993</v>
      </c>
      <c r="AE368" t="str">
        <f>IF(OR(_nba2122[[#This Row],[G]]&gt;=58,nba2122_advanced[[#This Row],[MP]]&gt;=1000),"Y","N")</f>
        <v>Y</v>
      </c>
      <c r="AF36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11.532499935687021</v>
      </c>
    </row>
    <row r="369" spans="1:32" x14ac:dyDescent="0.35">
      <c r="A369">
        <v>368</v>
      </c>
      <c r="B369" s="1" t="s">
        <v>438</v>
      </c>
      <c r="C369" s="1" t="s">
        <v>51</v>
      </c>
      <c r="D369">
        <v>24</v>
      </c>
      <c r="E369" s="1" t="s">
        <v>114</v>
      </c>
      <c r="F369">
        <v>3</v>
      </c>
      <c r="G369">
        <v>0</v>
      </c>
      <c r="H369">
        <v>15.3</v>
      </c>
      <c r="I369">
        <v>1.7</v>
      </c>
      <c r="J369">
        <v>4.7</v>
      </c>
      <c r="K369">
        <v>0.35699999999999998</v>
      </c>
      <c r="L369">
        <v>0.7</v>
      </c>
      <c r="M369">
        <v>2</v>
      </c>
      <c r="N369">
        <v>0.33300000000000002</v>
      </c>
      <c r="O369">
        <v>1</v>
      </c>
      <c r="P369">
        <v>2.7</v>
      </c>
      <c r="Q369">
        <v>0.375</v>
      </c>
      <c r="R369">
        <v>0.42899999999999999</v>
      </c>
      <c r="S369">
        <v>0.7</v>
      </c>
      <c r="T369">
        <v>0.7</v>
      </c>
      <c r="U369">
        <v>1</v>
      </c>
      <c r="V369">
        <v>2</v>
      </c>
      <c r="W369">
        <v>3</v>
      </c>
      <c r="X369">
        <v>5</v>
      </c>
      <c r="Y369">
        <v>1</v>
      </c>
      <c r="Z369">
        <v>0</v>
      </c>
      <c r="AA369">
        <v>0.3</v>
      </c>
      <c r="AB369">
        <v>0</v>
      </c>
      <c r="AC369">
        <v>2.2999999999999998</v>
      </c>
      <c r="AD369">
        <v>4.7</v>
      </c>
      <c r="AE369" t="str">
        <f>IF(OR(_nba2122[[#This Row],[G]]&gt;=58,nba2122_advanced[[#This Row],[MP]]&gt;=1000),"Y","N")</f>
        <v>N</v>
      </c>
      <c r="AF36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8.9250577298782954</v>
      </c>
    </row>
    <row r="370" spans="1:32" x14ac:dyDescent="0.35">
      <c r="A370">
        <v>369</v>
      </c>
      <c r="B370" s="1" t="s">
        <v>439</v>
      </c>
      <c r="C370" s="1" t="s">
        <v>41</v>
      </c>
      <c r="D370">
        <v>30</v>
      </c>
      <c r="E370" s="1" t="s">
        <v>105</v>
      </c>
      <c r="F370">
        <v>51</v>
      </c>
      <c r="G370">
        <v>2</v>
      </c>
      <c r="H370">
        <v>14.8</v>
      </c>
      <c r="I370">
        <v>1.9</v>
      </c>
      <c r="J370">
        <v>4.4000000000000004</v>
      </c>
      <c r="K370">
        <v>0.436</v>
      </c>
      <c r="L370">
        <v>1.1000000000000001</v>
      </c>
      <c r="M370">
        <v>2.9</v>
      </c>
      <c r="N370">
        <v>0.39700000000000002</v>
      </c>
      <c r="O370">
        <v>0.8</v>
      </c>
      <c r="P370">
        <v>1.5</v>
      </c>
      <c r="Q370">
        <v>0.50600000000000001</v>
      </c>
      <c r="R370">
        <v>0.56399999999999995</v>
      </c>
      <c r="S370">
        <v>0.4</v>
      </c>
      <c r="T370">
        <v>0.5</v>
      </c>
      <c r="U370">
        <v>0.73099999999999998</v>
      </c>
      <c r="V370">
        <v>0.6</v>
      </c>
      <c r="W370">
        <v>1.6</v>
      </c>
      <c r="X370">
        <v>2.2000000000000002</v>
      </c>
      <c r="Y370">
        <v>0.9</v>
      </c>
      <c r="Z370">
        <v>0.4</v>
      </c>
      <c r="AA370">
        <v>0.1</v>
      </c>
      <c r="AB370">
        <v>0.5</v>
      </c>
      <c r="AC370">
        <v>1.1000000000000001</v>
      </c>
      <c r="AD370">
        <v>5.4</v>
      </c>
      <c r="AE370" t="str">
        <f>IF(OR(_nba2122[[#This Row],[G]]&gt;=58,nba2122_advanced[[#This Row],[MP]]&gt;=1000),"Y","N")</f>
        <v>N</v>
      </c>
      <c r="AF37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7.591022845646024</v>
      </c>
    </row>
    <row r="371" spans="1:32" x14ac:dyDescent="0.35">
      <c r="A371">
        <v>370</v>
      </c>
      <c r="B371" s="1" t="s">
        <v>440</v>
      </c>
      <c r="C371" s="1" t="s">
        <v>51</v>
      </c>
      <c r="D371">
        <v>29</v>
      </c>
      <c r="E371" s="1" t="s">
        <v>75</v>
      </c>
      <c r="F371">
        <v>17</v>
      </c>
      <c r="G371">
        <v>3</v>
      </c>
      <c r="H371">
        <v>12.1</v>
      </c>
      <c r="I371">
        <v>1.4</v>
      </c>
      <c r="J371">
        <v>3.6</v>
      </c>
      <c r="K371">
        <v>0.39300000000000002</v>
      </c>
      <c r="L371">
        <v>0.5</v>
      </c>
      <c r="M371">
        <v>1.6</v>
      </c>
      <c r="N371">
        <v>0.33300000000000002</v>
      </c>
      <c r="O371">
        <v>0.9</v>
      </c>
      <c r="P371">
        <v>2</v>
      </c>
      <c r="Q371">
        <v>0.441</v>
      </c>
      <c r="R371">
        <v>0.46700000000000003</v>
      </c>
      <c r="S371">
        <v>0.1</v>
      </c>
      <c r="T371">
        <v>0.5</v>
      </c>
      <c r="U371">
        <v>0.25</v>
      </c>
      <c r="V371">
        <v>0.8</v>
      </c>
      <c r="W371">
        <v>1.2</v>
      </c>
      <c r="X371">
        <v>1.9</v>
      </c>
      <c r="Y371">
        <v>0.3</v>
      </c>
      <c r="Z371">
        <v>0.1</v>
      </c>
      <c r="AA371">
        <v>0.2</v>
      </c>
      <c r="AB371">
        <v>0.4</v>
      </c>
      <c r="AC371">
        <v>1.5</v>
      </c>
      <c r="AD371">
        <v>3.5</v>
      </c>
      <c r="AE371" t="str">
        <f>IF(OR(_nba2122[[#This Row],[G]]&gt;=58,nba2122_advanced[[#This Row],[MP]]&gt;=1000),"Y","N")</f>
        <v>N</v>
      </c>
      <c r="AF37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9.2521923181591301</v>
      </c>
    </row>
    <row r="372" spans="1:32" x14ac:dyDescent="0.35">
      <c r="A372">
        <v>371</v>
      </c>
      <c r="B372" s="1" t="s">
        <v>441</v>
      </c>
      <c r="C372" s="1" t="s">
        <v>48</v>
      </c>
      <c r="D372">
        <v>24</v>
      </c>
      <c r="E372" s="1" t="s">
        <v>143</v>
      </c>
      <c r="F372">
        <v>4</v>
      </c>
      <c r="G372">
        <v>0</v>
      </c>
      <c r="H372">
        <v>2.8</v>
      </c>
      <c r="I372">
        <v>0</v>
      </c>
      <c r="J372">
        <v>0.5</v>
      </c>
      <c r="K372">
        <v>0</v>
      </c>
      <c r="L372">
        <v>0</v>
      </c>
      <c r="M372">
        <v>0.3</v>
      </c>
      <c r="N372">
        <v>0</v>
      </c>
      <c r="O372">
        <v>0</v>
      </c>
      <c r="P372">
        <v>0.3</v>
      </c>
      <c r="Q372">
        <v>0</v>
      </c>
      <c r="R372">
        <v>0</v>
      </c>
      <c r="S372">
        <v>0</v>
      </c>
      <c r="T372">
        <v>0</v>
      </c>
      <c r="V372">
        <v>0</v>
      </c>
      <c r="W372">
        <v>0</v>
      </c>
      <c r="X372">
        <v>0</v>
      </c>
      <c r="Y372">
        <v>0.5</v>
      </c>
      <c r="Z372">
        <v>0</v>
      </c>
      <c r="AA372">
        <v>0</v>
      </c>
      <c r="AB372">
        <v>0</v>
      </c>
      <c r="AC372">
        <v>0.3</v>
      </c>
      <c r="AD372">
        <v>0</v>
      </c>
      <c r="AE372" t="str">
        <f>IF(OR(_nba2122[[#This Row],[G]]&gt;=58,nba2122_advanced[[#This Row],[MP]]&gt;=1000),"Y","N")</f>
        <v>N</v>
      </c>
      <c r="AF37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18.147005177285731</v>
      </c>
    </row>
    <row r="373" spans="1:32" x14ac:dyDescent="0.35">
      <c r="A373">
        <v>372</v>
      </c>
      <c r="B373" s="1" t="s">
        <v>442</v>
      </c>
      <c r="C373" s="1" t="s">
        <v>48</v>
      </c>
      <c r="D373">
        <v>25</v>
      </c>
      <c r="E373" s="1" t="s">
        <v>99</v>
      </c>
      <c r="F373">
        <v>62</v>
      </c>
      <c r="G373">
        <v>3</v>
      </c>
      <c r="H373">
        <v>14.5</v>
      </c>
      <c r="I373">
        <v>1.4</v>
      </c>
      <c r="J373">
        <v>3.2</v>
      </c>
      <c r="K373">
        <v>0.44</v>
      </c>
      <c r="L373">
        <v>0.4</v>
      </c>
      <c r="M373">
        <v>1.4</v>
      </c>
      <c r="N373">
        <v>0.318</v>
      </c>
      <c r="O373">
        <v>1</v>
      </c>
      <c r="P373">
        <v>1.9</v>
      </c>
      <c r="Q373">
        <v>0.53</v>
      </c>
      <c r="R373">
        <v>0.50800000000000001</v>
      </c>
      <c r="S373">
        <v>0.5</v>
      </c>
      <c r="T373">
        <v>0.6</v>
      </c>
      <c r="U373">
        <v>0.75</v>
      </c>
      <c r="V373">
        <v>0.4</v>
      </c>
      <c r="W373">
        <v>1.2</v>
      </c>
      <c r="X373">
        <v>1.5</v>
      </c>
      <c r="Y373">
        <v>2.9</v>
      </c>
      <c r="Z373">
        <v>0.9</v>
      </c>
      <c r="AA373">
        <v>0.2</v>
      </c>
      <c r="AB373">
        <v>0.6</v>
      </c>
      <c r="AC373">
        <v>0.9</v>
      </c>
      <c r="AD373">
        <v>3.8</v>
      </c>
      <c r="AE373" t="str">
        <f>IF(OR(_nba2122[[#This Row],[G]]&gt;=58,nba2122_advanced[[#This Row],[MP]]&gt;=1000),"Y","N")</f>
        <v>Y</v>
      </c>
      <c r="AF37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6.998157064205933</v>
      </c>
    </row>
    <row r="374" spans="1:32" x14ac:dyDescent="0.35">
      <c r="A374">
        <v>373</v>
      </c>
      <c r="B374" s="1" t="s">
        <v>443</v>
      </c>
      <c r="C374" s="1" t="s">
        <v>41</v>
      </c>
      <c r="D374">
        <v>28</v>
      </c>
      <c r="E374" s="1" t="s">
        <v>114</v>
      </c>
      <c r="F374">
        <v>64</v>
      </c>
      <c r="G374">
        <v>6</v>
      </c>
      <c r="H374">
        <v>20.100000000000001</v>
      </c>
      <c r="I374">
        <v>3.4</v>
      </c>
      <c r="J374">
        <v>8.4</v>
      </c>
      <c r="K374">
        <v>0.40100000000000002</v>
      </c>
      <c r="L374">
        <v>2.4</v>
      </c>
      <c r="M374">
        <v>6.5</v>
      </c>
      <c r="N374">
        <v>0.36199999999999999</v>
      </c>
      <c r="O374">
        <v>1</v>
      </c>
      <c r="P374">
        <v>1.9</v>
      </c>
      <c r="Q374">
        <v>0.53300000000000003</v>
      </c>
      <c r="R374">
        <v>0.54100000000000004</v>
      </c>
      <c r="S374">
        <v>1.1000000000000001</v>
      </c>
      <c r="T374">
        <v>1.4</v>
      </c>
      <c r="U374">
        <v>0.81799999999999995</v>
      </c>
      <c r="V374">
        <v>0.2</v>
      </c>
      <c r="W374">
        <v>1.4</v>
      </c>
      <c r="X374">
        <v>1.6</v>
      </c>
      <c r="Y374">
        <v>0.9</v>
      </c>
      <c r="Z374">
        <v>0.6</v>
      </c>
      <c r="AA374">
        <v>0.2</v>
      </c>
      <c r="AB374">
        <v>0.9</v>
      </c>
      <c r="AC374">
        <v>1.6</v>
      </c>
      <c r="AD374">
        <v>10.199999999999999</v>
      </c>
      <c r="AE374" t="str">
        <f>IF(OR(_nba2122[[#This Row],[G]]&gt;=58,nba2122_advanced[[#This Row],[MP]]&gt;=1000),"Y","N")</f>
        <v>Y</v>
      </c>
      <c r="AF37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6.8240499502745697</v>
      </c>
    </row>
    <row r="375" spans="1:32" x14ac:dyDescent="0.35">
      <c r="A375">
        <v>374</v>
      </c>
      <c r="B375" s="1" t="s">
        <v>444</v>
      </c>
      <c r="C375" s="1" t="s">
        <v>41</v>
      </c>
      <c r="D375">
        <v>23</v>
      </c>
      <c r="E375" s="1" t="s">
        <v>34</v>
      </c>
      <c r="F375">
        <v>73</v>
      </c>
      <c r="G375">
        <v>15</v>
      </c>
      <c r="H375">
        <v>22.7</v>
      </c>
      <c r="I375">
        <v>3.8</v>
      </c>
      <c r="J375">
        <v>9.5</v>
      </c>
      <c r="K375">
        <v>0.40400000000000003</v>
      </c>
      <c r="L375">
        <v>1.9</v>
      </c>
      <c r="M375">
        <v>5.0999999999999996</v>
      </c>
      <c r="N375">
        <v>0.374</v>
      </c>
      <c r="O375">
        <v>1.9</v>
      </c>
      <c r="P375">
        <v>4.4000000000000004</v>
      </c>
      <c r="Q375">
        <v>0.44</v>
      </c>
      <c r="R375">
        <v>0.504</v>
      </c>
      <c r="S375">
        <v>1.2</v>
      </c>
      <c r="T375">
        <v>1.6</v>
      </c>
      <c r="U375">
        <v>0.75</v>
      </c>
      <c r="V375">
        <v>0.9</v>
      </c>
      <c r="W375">
        <v>3.6</v>
      </c>
      <c r="X375">
        <v>4.5</v>
      </c>
      <c r="Y375">
        <v>2.7</v>
      </c>
      <c r="Z375">
        <v>1.4</v>
      </c>
      <c r="AA375">
        <v>0.5</v>
      </c>
      <c r="AB375">
        <v>1.5</v>
      </c>
      <c r="AC375">
        <v>1.8</v>
      </c>
      <c r="AD375">
        <v>10.8</v>
      </c>
      <c r="AE375" t="str">
        <f>IF(OR(_nba2122[[#This Row],[G]]&gt;=58,nba2122_advanced[[#This Row],[MP]]&gt;=1000),"Y","N")</f>
        <v>Y</v>
      </c>
      <c r="AF37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3.3810104158883401</v>
      </c>
    </row>
    <row r="376" spans="1:32" x14ac:dyDescent="0.35">
      <c r="A376">
        <v>375</v>
      </c>
      <c r="B376" s="1" t="s">
        <v>445</v>
      </c>
      <c r="C376" s="1" t="s">
        <v>41</v>
      </c>
      <c r="D376">
        <v>25</v>
      </c>
      <c r="E376" s="1" t="s">
        <v>34</v>
      </c>
      <c r="F376">
        <v>6</v>
      </c>
      <c r="G376">
        <v>0</v>
      </c>
      <c r="H376">
        <v>9.6999999999999993</v>
      </c>
      <c r="I376">
        <v>1.3</v>
      </c>
      <c r="J376">
        <v>4</v>
      </c>
      <c r="K376">
        <v>0.33300000000000002</v>
      </c>
      <c r="L376">
        <v>1.2</v>
      </c>
      <c r="M376">
        <v>3.8</v>
      </c>
      <c r="N376">
        <v>0.30399999999999999</v>
      </c>
      <c r="O376">
        <v>0.2</v>
      </c>
      <c r="P376">
        <v>0.2</v>
      </c>
      <c r="Q376">
        <v>1</v>
      </c>
      <c r="R376">
        <v>0.47899999999999998</v>
      </c>
      <c r="S376">
        <v>0.3</v>
      </c>
      <c r="T376">
        <v>0.7</v>
      </c>
      <c r="U376">
        <v>0.5</v>
      </c>
      <c r="V376">
        <v>0.2</v>
      </c>
      <c r="W376">
        <v>1</v>
      </c>
      <c r="X376">
        <v>1.2</v>
      </c>
      <c r="Y376">
        <v>0.7</v>
      </c>
      <c r="Z376">
        <v>0</v>
      </c>
      <c r="AA376">
        <v>0</v>
      </c>
      <c r="AB376">
        <v>0.3</v>
      </c>
      <c r="AC376">
        <v>0.5</v>
      </c>
      <c r="AD376">
        <v>4.2</v>
      </c>
      <c r="AE376" t="str">
        <f>IF(OR(_nba2122[[#This Row],[G]]&gt;=58,nba2122_advanced[[#This Row],[MP]]&gt;=1000),"Y","N")</f>
        <v>N</v>
      </c>
      <c r="AF37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12.079627932468659</v>
      </c>
    </row>
    <row r="377" spans="1:32" x14ac:dyDescent="0.35">
      <c r="A377">
        <v>376</v>
      </c>
      <c r="B377" s="1" t="s">
        <v>446</v>
      </c>
      <c r="C377" s="1" t="s">
        <v>31</v>
      </c>
      <c r="D377">
        <v>24</v>
      </c>
      <c r="E377" s="1" t="s">
        <v>82</v>
      </c>
      <c r="F377">
        <v>60</v>
      </c>
      <c r="G377">
        <v>20</v>
      </c>
      <c r="H377">
        <v>21.3</v>
      </c>
      <c r="I377">
        <v>3.4</v>
      </c>
      <c r="J377">
        <v>7.5</v>
      </c>
      <c r="K377">
        <v>0.45200000000000001</v>
      </c>
      <c r="L377">
        <v>1</v>
      </c>
      <c r="M377">
        <v>3.1</v>
      </c>
      <c r="N377">
        <v>0.30599999999999999</v>
      </c>
      <c r="O377">
        <v>2.4</v>
      </c>
      <c r="P377">
        <v>4.4000000000000004</v>
      </c>
      <c r="Q377">
        <v>0.55500000000000005</v>
      </c>
      <c r="R377">
        <v>0.51600000000000001</v>
      </c>
      <c r="S377">
        <v>1.2</v>
      </c>
      <c r="T377">
        <v>1.5</v>
      </c>
      <c r="U377">
        <v>0.78</v>
      </c>
      <c r="V377">
        <v>0.6</v>
      </c>
      <c r="W377">
        <v>5</v>
      </c>
      <c r="X377">
        <v>5.6</v>
      </c>
      <c r="Y377">
        <v>1</v>
      </c>
      <c r="Z377">
        <v>0.9</v>
      </c>
      <c r="AA377">
        <v>0.5</v>
      </c>
      <c r="AB377">
        <v>1</v>
      </c>
      <c r="AC377">
        <v>1.6</v>
      </c>
      <c r="AD377">
        <v>8.9</v>
      </c>
      <c r="AE377" t="str">
        <f>IF(OR(_nba2122[[#This Row],[G]]&gt;=58,nba2122_advanced[[#This Row],[MP]]&gt;=1000),"Y","N")</f>
        <v>Y</v>
      </c>
      <c r="AF37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3.8502571461508674</v>
      </c>
    </row>
    <row r="378" spans="1:32" x14ac:dyDescent="0.35">
      <c r="A378">
        <v>377</v>
      </c>
      <c r="B378" s="1" t="s">
        <v>447</v>
      </c>
      <c r="C378" s="1" t="s">
        <v>51</v>
      </c>
      <c r="D378">
        <v>30</v>
      </c>
      <c r="E378" s="1" t="s">
        <v>44</v>
      </c>
      <c r="F378">
        <v>66</v>
      </c>
      <c r="G378">
        <v>66</v>
      </c>
      <c r="H378">
        <v>32.4</v>
      </c>
      <c r="I378">
        <v>6.8</v>
      </c>
      <c r="J378">
        <v>15.5</v>
      </c>
      <c r="K378">
        <v>0.443</v>
      </c>
      <c r="L378">
        <v>2.5</v>
      </c>
      <c r="M378">
        <v>6.6</v>
      </c>
      <c r="N378">
        <v>0.373</v>
      </c>
      <c r="O378">
        <v>4.4000000000000004</v>
      </c>
      <c r="P378">
        <v>8.9</v>
      </c>
      <c r="Q378">
        <v>0.49399999999999999</v>
      </c>
      <c r="R378">
        <v>0.52200000000000002</v>
      </c>
      <c r="S378">
        <v>3.9</v>
      </c>
      <c r="T378">
        <v>4.4000000000000004</v>
      </c>
      <c r="U378">
        <v>0.89</v>
      </c>
      <c r="V378">
        <v>0.6</v>
      </c>
      <c r="W378">
        <v>4.8</v>
      </c>
      <c r="X378">
        <v>5.4</v>
      </c>
      <c r="Y378">
        <v>5.4</v>
      </c>
      <c r="Z378">
        <v>1.2</v>
      </c>
      <c r="AA378">
        <v>0.3</v>
      </c>
      <c r="AB378">
        <v>2.9</v>
      </c>
      <c r="AC378">
        <v>2.4</v>
      </c>
      <c r="AD378">
        <v>20.100000000000001</v>
      </c>
      <c r="AE378" t="str">
        <f>IF(OR(_nba2122[[#This Row],[G]]&gt;=58,nba2122_advanced[[#This Row],[MP]]&gt;=1000),"Y","N")</f>
        <v>Y</v>
      </c>
      <c r="AF37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6.1774047587635508</v>
      </c>
    </row>
    <row r="379" spans="1:32" x14ac:dyDescent="0.35">
      <c r="A379">
        <v>378</v>
      </c>
      <c r="B379" s="1" t="s">
        <v>448</v>
      </c>
      <c r="C379" s="1" t="s">
        <v>41</v>
      </c>
      <c r="D379">
        <v>34</v>
      </c>
      <c r="E379" s="1" t="s">
        <v>140</v>
      </c>
      <c r="F379">
        <v>1</v>
      </c>
      <c r="G379">
        <v>0</v>
      </c>
      <c r="H379">
        <v>2</v>
      </c>
      <c r="I379">
        <v>0</v>
      </c>
      <c r="J379">
        <v>0</v>
      </c>
      <c r="L379">
        <v>0</v>
      </c>
      <c r="M379">
        <v>0</v>
      </c>
      <c r="O379">
        <v>0</v>
      </c>
      <c r="P379">
        <v>0</v>
      </c>
      <c r="S379">
        <v>0</v>
      </c>
      <c r="T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1</v>
      </c>
      <c r="AD379">
        <v>0</v>
      </c>
      <c r="AE379" t="str">
        <f>IF(OR(_nba2122[[#This Row],[G]]&gt;=58,nba2122_advanced[[#This Row],[MP]]&gt;=1000),"Y","N")</f>
        <v>N</v>
      </c>
      <c r="AF37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20.026128145851064</v>
      </c>
    </row>
    <row r="380" spans="1:32" x14ac:dyDescent="0.35">
      <c r="A380">
        <v>379</v>
      </c>
      <c r="B380" s="1" t="s">
        <v>449</v>
      </c>
      <c r="C380" s="1" t="s">
        <v>48</v>
      </c>
      <c r="D380">
        <v>33</v>
      </c>
      <c r="E380" s="1" t="s">
        <v>39</v>
      </c>
      <c r="F380">
        <v>81</v>
      </c>
      <c r="G380">
        <v>48</v>
      </c>
      <c r="H380">
        <v>29</v>
      </c>
      <c r="I380">
        <v>4</v>
      </c>
      <c r="J380">
        <v>9.8000000000000007</v>
      </c>
      <c r="K380">
        <v>0.40799999999999997</v>
      </c>
      <c r="L380">
        <v>2.8</v>
      </c>
      <c r="M380">
        <v>7</v>
      </c>
      <c r="N380">
        <v>0.4</v>
      </c>
      <c r="O380">
        <v>1.2</v>
      </c>
      <c r="P380">
        <v>2.8</v>
      </c>
      <c r="Q380">
        <v>0.42899999999999999</v>
      </c>
      <c r="R380">
        <v>0.55100000000000005</v>
      </c>
      <c r="S380">
        <v>0.6</v>
      </c>
      <c r="T380">
        <v>0.7</v>
      </c>
      <c r="U380">
        <v>0.81399999999999995</v>
      </c>
      <c r="V380">
        <v>0.2</v>
      </c>
      <c r="W380">
        <v>1.7</v>
      </c>
      <c r="X380">
        <v>1.9</v>
      </c>
      <c r="Y380">
        <v>2.2999999999999998</v>
      </c>
      <c r="Z380">
        <v>0.6</v>
      </c>
      <c r="AA380">
        <v>0.2</v>
      </c>
      <c r="AB380">
        <v>0.9</v>
      </c>
      <c r="AC380">
        <v>1.4</v>
      </c>
      <c r="AD380">
        <v>11.4</v>
      </c>
      <c r="AE380" t="str">
        <f>IF(OR(_nba2122[[#This Row],[G]]&gt;=58,nba2122_advanced[[#This Row],[MP]]&gt;=1000),"Y","N")</f>
        <v>Y</v>
      </c>
      <c r="AF38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6.9780512448540115</v>
      </c>
    </row>
    <row r="381" spans="1:32" x14ac:dyDescent="0.35">
      <c r="A381">
        <v>380</v>
      </c>
      <c r="B381" s="1" t="s">
        <v>450</v>
      </c>
      <c r="C381" s="1" t="s">
        <v>28</v>
      </c>
      <c r="D381">
        <v>36</v>
      </c>
      <c r="E381" s="1" t="s">
        <v>42</v>
      </c>
      <c r="F381">
        <v>33</v>
      </c>
      <c r="G381">
        <v>1</v>
      </c>
      <c r="H381">
        <v>11.4</v>
      </c>
      <c r="I381">
        <v>1.4</v>
      </c>
      <c r="J381">
        <v>3.5</v>
      </c>
      <c r="K381">
        <v>0.39100000000000001</v>
      </c>
      <c r="L381">
        <v>0.2</v>
      </c>
      <c r="M381">
        <v>1.1000000000000001</v>
      </c>
      <c r="N381">
        <v>0.22900000000000001</v>
      </c>
      <c r="O381">
        <v>1.1000000000000001</v>
      </c>
      <c r="P381">
        <v>2.4</v>
      </c>
      <c r="Q381">
        <v>0.46300000000000002</v>
      </c>
      <c r="R381">
        <v>0.42599999999999999</v>
      </c>
      <c r="S381">
        <v>0.5</v>
      </c>
      <c r="T381">
        <v>0.7</v>
      </c>
      <c r="U381">
        <v>0.70799999999999996</v>
      </c>
      <c r="V381">
        <v>1.2</v>
      </c>
      <c r="W381">
        <v>2.2000000000000002</v>
      </c>
      <c r="X381">
        <v>3.5</v>
      </c>
      <c r="Y381">
        <v>0.9</v>
      </c>
      <c r="Z381">
        <v>0.3</v>
      </c>
      <c r="AA381">
        <v>0.4</v>
      </c>
      <c r="AB381">
        <v>0.6</v>
      </c>
      <c r="AC381">
        <v>2</v>
      </c>
      <c r="AD381">
        <v>3.5</v>
      </c>
      <c r="AE381" t="str">
        <f>IF(OR(_nba2122[[#This Row],[G]]&gt;=58,nba2122_advanced[[#This Row],[MP]]&gt;=1000),"Y","N")</f>
        <v>N</v>
      </c>
      <c r="AF38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6.8290773009445944</v>
      </c>
    </row>
    <row r="382" spans="1:32" x14ac:dyDescent="0.35">
      <c r="A382">
        <v>381</v>
      </c>
      <c r="B382" s="1" t="s">
        <v>451</v>
      </c>
      <c r="C382" s="1" t="s">
        <v>48</v>
      </c>
      <c r="D382">
        <v>25</v>
      </c>
      <c r="E382" s="1" t="s">
        <v>89</v>
      </c>
      <c r="F382">
        <v>55</v>
      </c>
      <c r="G382">
        <v>6</v>
      </c>
      <c r="H382">
        <v>21.4</v>
      </c>
      <c r="I382">
        <v>3.1</v>
      </c>
      <c r="J382">
        <v>7.3</v>
      </c>
      <c r="K382">
        <v>0.42899999999999999</v>
      </c>
      <c r="L382">
        <v>0.8</v>
      </c>
      <c r="M382">
        <v>2.4</v>
      </c>
      <c r="N382">
        <v>0.32300000000000001</v>
      </c>
      <c r="O382">
        <v>2.4</v>
      </c>
      <c r="P382">
        <v>4.9000000000000004</v>
      </c>
      <c r="Q382">
        <v>0.48099999999999998</v>
      </c>
      <c r="R382">
        <v>0.48299999999999998</v>
      </c>
      <c r="S382">
        <v>1.1000000000000001</v>
      </c>
      <c r="T382">
        <v>1.3</v>
      </c>
      <c r="U382">
        <v>0.83599999999999997</v>
      </c>
      <c r="V382">
        <v>0.5</v>
      </c>
      <c r="W382">
        <v>2</v>
      </c>
      <c r="X382">
        <v>2.6</v>
      </c>
      <c r="Y382">
        <v>2.5</v>
      </c>
      <c r="Z382">
        <v>0.5</v>
      </c>
      <c r="AA382">
        <v>0.3</v>
      </c>
      <c r="AB382">
        <v>0.8</v>
      </c>
      <c r="AC382">
        <v>1.8</v>
      </c>
      <c r="AD382">
        <v>8.1999999999999993</v>
      </c>
      <c r="AE382" t="str">
        <f>IF(OR(_nba2122[[#This Row],[G]]&gt;=58,nba2122_advanced[[#This Row],[MP]]&gt;=1000),"Y","N")</f>
        <v>Y</v>
      </c>
      <c r="AF38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4.5790643163302587</v>
      </c>
    </row>
    <row r="383" spans="1:32" x14ac:dyDescent="0.35">
      <c r="A383">
        <v>382</v>
      </c>
      <c r="B383" s="1" t="s">
        <v>452</v>
      </c>
      <c r="C383" s="1" t="s">
        <v>48</v>
      </c>
      <c r="D383">
        <v>23</v>
      </c>
      <c r="E383" s="1" t="s">
        <v>82</v>
      </c>
      <c r="F383">
        <v>75</v>
      </c>
      <c r="G383">
        <v>19</v>
      </c>
      <c r="H383">
        <v>27.7</v>
      </c>
      <c r="I383">
        <v>4.7</v>
      </c>
      <c r="J383">
        <v>11.2</v>
      </c>
      <c r="K383">
        <v>0.41799999999999998</v>
      </c>
      <c r="L383">
        <v>1.3</v>
      </c>
      <c r="M383">
        <v>4.3</v>
      </c>
      <c r="N383">
        <v>0.316</v>
      </c>
      <c r="O383">
        <v>3.3</v>
      </c>
      <c r="P383">
        <v>7</v>
      </c>
      <c r="Q383">
        <v>0.48</v>
      </c>
      <c r="R383">
        <v>0.47699999999999998</v>
      </c>
      <c r="S383">
        <v>0.7</v>
      </c>
      <c r="T383">
        <v>1.1000000000000001</v>
      </c>
      <c r="U383">
        <v>0.65900000000000003</v>
      </c>
      <c r="V383">
        <v>0.4</v>
      </c>
      <c r="W383">
        <v>1.8</v>
      </c>
      <c r="X383">
        <v>2.2000000000000002</v>
      </c>
      <c r="Y383">
        <v>4.2</v>
      </c>
      <c r="Z383">
        <v>0.7</v>
      </c>
      <c r="AA383">
        <v>0.3</v>
      </c>
      <c r="AB383">
        <v>1.5</v>
      </c>
      <c r="AC383">
        <v>1.9</v>
      </c>
      <c r="AD383">
        <v>11.5</v>
      </c>
      <c r="AE383" t="str">
        <f>IF(OR(_nba2122[[#This Row],[G]]&gt;=58,nba2122_advanced[[#This Row],[MP]]&gt;=1000),"Y","N")</f>
        <v>Y</v>
      </c>
      <c r="AF38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4.9028926892584339</v>
      </c>
    </row>
    <row r="384" spans="1:32" x14ac:dyDescent="0.35">
      <c r="A384">
        <v>383</v>
      </c>
      <c r="B384" s="1" t="s">
        <v>453</v>
      </c>
      <c r="C384" s="1" t="s">
        <v>41</v>
      </c>
      <c r="D384">
        <v>25</v>
      </c>
      <c r="E384" s="1" t="s">
        <v>70</v>
      </c>
      <c r="F384">
        <v>67</v>
      </c>
      <c r="G384">
        <v>67</v>
      </c>
      <c r="H384">
        <v>33.799999999999997</v>
      </c>
      <c r="I384">
        <v>9.1999999999999993</v>
      </c>
      <c r="J384">
        <v>20.5</v>
      </c>
      <c r="K384">
        <v>0.44800000000000001</v>
      </c>
      <c r="L384">
        <v>3.5</v>
      </c>
      <c r="M384">
        <v>9.8000000000000007</v>
      </c>
      <c r="N384">
        <v>0.35499999999999998</v>
      </c>
      <c r="O384">
        <v>5.7</v>
      </c>
      <c r="P384">
        <v>10.8</v>
      </c>
      <c r="Q384">
        <v>0.53300000000000003</v>
      </c>
      <c r="R384">
        <v>0.53300000000000003</v>
      </c>
      <c r="S384">
        <v>4</v>
      </c>
      <c r="T384">
        <v>4.7</v>
      </c>
      <c r="U384">
        <v>0.85299999999999998</v>
      </c>
      <c r="V384">
        <v>0.8</v>
      </c>
      <c r="W384">
        <v>3.4</v>
      </c>
      <c r="X384">
        <v>4.2</v>
      </c>
      <c r="Y384">
        <v>5.3</v>
      </c>
      <c r="Z384">
        <v>1.5</v>
      </c>
      <c r="AA384">
        <v>0.2</v>
      </c>
      <c r="AB384">
        <v>3</v>
      </c>
      <c r="AC384">
        <v>2.4</v>
      </c>
      <c r="AD384">
        <v>25.9</v>
      </c>
      <c r="AE384" t="str">
        <f>IF(OR(_nba2122[[#This Row],[G]]&gt;=58,nba2122_advanced[[#This Row],[MP]]&gt;=1000),"Y","N")</f>
        <v>Y</v>
      </c>
      <c r="AF38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8.3411005679798365</v>
      </c>
    </row>
    <row r="385" spans="1:32" x14ac:dyDescent="0.35">
      <c r="A385">
        <v>384</v>
      </c>
      <c r="B385" s="1" t="s">
        <v>454</v>
      </c>
      <c r="C385" s="1" t="s">
        <v>28</v>
      </c>
      <c r="D385">
        <v>20</v>
      </c>
      <c r="E385" s="1" t="s">
        <v>46</v>
      </c>
      <c r="F385">
        <v>69</v>
      </c>
      <c r="G385">
        <v>69</v>
      </c>
      <c r="H385">
        <v>33.799999999999997</v>
      </c>
      <c r="I385">
        <v>6.1</v>
      </c>
      <c r="J385">
        <v>12</v>
      </c>
      <c r="K385">
        <v>0.50800000000000001</v>
      </c>
      <c r="L385">
        <v>0.3</v>
      </c>
      <c r="M385">
        <v>1.3</v>
      </c>
      <c r="N385">
        <v>0.25</v>
      </c>
      <c r="O385">
        <v>5.8</v>
      </c>
      <c r="P385">
        <v>10.7</v>
      </c>
      <c r="Q385">
        <v>0.54100000000000004</v>
      </c>
      <c r="R385">
        <v>0.52200000000000002</v>
      </c>
      <c r="S385">
        <v>2.4</v>
      </c>
      <c r="T385">
        <v>3.7</v>
      </c>
      <c r="U385">
        <v>0.66300000000000003</v>
      </c>
      <c r="V385">
        <v>2.1</v>
      </c>
      <c r="W385">
        <v>6.2</v>
      </c>
      <c r="X385">
        <v>8.3000000000000007</v>
      </c>
      <c r="Y385">
        <v>2.5</v>
      </c>
      <c r="Z385">
        <v>0.8</v>
      </c>
      <c r="AA385">
        <v>1.7</v>
      </c>
      <c r="AB385">
        <v>1.9</v>
      </c>
      <c r="AC385">
        <v>2.1</v>
      </c>
      <c r="AD385">
        <v>15</v>
      </c>
      <c r="AE385" t="str">
        <f>IF(OR(_nba2122[[#This Row],[G]]&gt;=58,nba2122_advanced[[#This Row],[MP]]&gt;=1000),"Y","N")</f>
        <v>Y</v>
      </c>
      <c r="AF38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7.7181653654931806</v>
      </c>
    </row>
    <row r="386" spans="1:32" x14ac:dyDescent="0.35">
      <c r="A386">
        <v>385</v>
      </c>
      <c r="B386" s="1" t="s">
        <v>455</v>
      </c>
      <c r="C386" s="1" t="s">
        <v>41</v>
      </c>
      <c r="D386">
        <v>23</v>
      </c>
      <c r="E386" s="1" t="s">
        <v>56</v>
      </c>
      <c r="F386">
        <v>76</v>
      </c>
      <c r="G386">
        <v>37</v>
      </c>
      <c r="H386">
        <v>28.1</v>
      </c>
      <c r="I386">
        <v>5.0999999999999996</v>
      </c>
      <c r="J386">
        <v>10.9</v>
      </c>
      <c r="K386">
        <v>0.47299999999999998</v>
      </c>
      <c r="L386">
        <v>2.2999999999999998</v>
      </c>
      <c r="M386">
        <v>5.8</v>
      </c>
      <c r="N386">
        <v>0.39100000000000001</v>
      </c>
      <c r="O386">
        <v>2.9</v>
      </c>
      <c r="P386">
        <v>5.0999999999999996</v>
      </c>
      <c r="Q386">
        <v>0.56799999999999995</v>
      </c>
      <c r="R386">
        <v>0.57799999999999996</v>
      </c>
      <c r="S386">
        <v>1.2</v>
      </c>
      <c r="T386">
        <v>1.5</v>
      </c>
      <c r="U386">
        <v>0.79500000000000004</v>
      </c>
      <c r="V386">
        <v>0.5</v>
      </c>
      <c r="W386">
        <v>2.9</v>
      </c>
      <c r="X386">
        <v>3.4</v>
      </c>
      <c r="Y386">
        <v>2.9</v>
      </c>
      <c r="Z386">
        <v>0.8</v>
      </c>
      <c r="AA386">
        <v>0.4</v>
      </c>
      <c r="AB386">
        <v>1.6</v>
      </c>
      <c r="AC386">
        <v>1.8</v>
      </c>
      <c r="AD386">
        <v>13.8</v>
      </c>
      <c r="AE386" t="str">
        <f>IF(OR(_nba2122[[#This Row],[G]]&gt;=58,nba2122_advanced[[#This Row],[MP]]&gt;=1000),"Y","N")</f>
        <v>Y</v>
      </c>
      <c r="AF38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2.7143310894257113</v>
      </c>
    </row>
    <row r="387" spans="1:32" x14ac:dyDescent="0.35">
      <c r="A387">
        <v>386</v>
      </c>
      <c r="B387" s="1" t="s">
        <v>456</v>
      </c>
      <c r="C387" s="1" t="s">
        <v>31</v>
      </c>
      <c r="D387">
        <v>31</v>
      </c>
      <c r="E387" s="1" t="s">
        <v>42</v>
      </c>
      <c r="F387">
        <v>14</v>
      </c>
      <c r="G387">
        <v>0</v>
      </c>
      <c r="H387">
        <v>13.9</v>
      </c>
      <c r="I387">
        <v>2.2999999999999998</v>
      </c>
      <c r="J387">
        <v>4.0999999999999996</v>
      </c>
      <c r="K387">
        <v>0.56100000000000005</v>
      </c>
      <c r="L387">
        <v>0</v>
      </c>
      <c r="M387">
        <v>0</v>
      </c>
      <c r="O387">
        <v>2.2999999999999998</v>
      </c>
      <c r="P387">
        <v>4.0999999999999996</v>
      </c>
      <c r="Q387">
        <v>0.56100000000000005</v>
      </c>
      <c r="R387">
        <v>0.56100000000000005</v>
      </c>
      <c r="S387">
        <v>0.9</v>
      </c>
      <c r="T387">
        <v>1.6</v>
      </c>
      <c r="U387">
        <v>0.52200000000000002</v>
      </c>
      <c r="V387">
        <v>2.1</v>
      </c>
      <c r="W387">
        <v>2.4</v>
      </c>
      <c r="X387">
        <v>4.5999999999999996</v>
      </c>
      <c r="Y387">
        <v>1.6</v>
      </c>
      <c r="Z387">
        <v>0.6</v>
      </c>
      <c r="AA387">
        <v>0.7</v>
      </c>
      <c r="AB387">
        <v>0.9</v>
      </c>
      <c r="AC387">
        <v>1.7</v>
      </c>
      <c r="AD387">
        <v>5.4</v>
      </c>
      <c r="AE387" t="str">
        <f>IF(OR(_nba2122[[#This Row],[G]]&gt;=58,nba2122_advanced[[#This Row],[MP]]&gt;=1000),"Y","N")</f>
        <v>N</v>
      </c>
      <c r="AF38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8.9843076658533807</v>
      </c>
    </row>
    <row r="388" spans="1:32" x14ac:dyDescent="0.35">
      <c r="A388">
        <v>387</v>
      </c>
      <c r="B388" s="1" t="s">
        <v>457</v>
      </c>
      <c r="C388" s="1" t="s">
        <v>41</v>
      </c>
      <c r="D388">
        <v>19</v>
      </c>
      <c r="E388" s="1" t="s">
        <v>111</v>
      </c>
      <c r="F388">
        <v>52</v>
      </c>
      <c r="G388">
        <v>11</v>
      </c>
      <c r="H388">
        <v>11.7</v>
      </c>
      <c r="I388">
        <v>1.5</v>
      </c>
      <c r="J388">
        <v>3.5</v>
      </c>
      <c r="K388">
        <v>0.437</v>
      </c>
      <c r="L388">
        <v>0.8</v>
      </c>
      <c r="M388">
        <v>2.1</v>
      </c>
      <c r="N388">
        <v>0.36399999999999999</v>
      </c>
      <c r="O388">
        <v>0.8</v>
      </c>
      <c r="P388">
        <v>1.4</v>
      </c>
      <c r="Q388">
        <v>0.54800000000000004</v>
      </c>
      <c r="R388">
        <v>0.54600000000000004</v>
      </c>
      <c r="S388">
        <v>0.5</v>
      </c>
      <c r="T388">
        <v>0.7</v>
      </c>
      <c r="U388">
        <v>0.77800000000000002</v>
      </c>
      <c r="V388">
        <v>0.3</v>
      </c>
      <c r="W388">
        <v>1.2</v>
      </c>
      <c r="X388">
        <v>1.5</v>
      </c>
      <c r="Y388">
        <v>0.4</v>
      </c>
      <c r="Z388">
        <v>0.1</v>
      </c>
      <c r="AA388">
        <v>0.2</v>
      </c>
      <c r="AB388">
        <v>0.3</v>
      </c>
      <c r="AC388">
        <v>0.8</v>
      </c>
      <c r="AD388">
        <v>4.4000000000000004</v>
      </c>
      <c r="AE388" t="str">
        <f>IF(OR(_nba2122[[#This Row],[G]]&gt;=58,nba2122_advanced[[#This Row],[MP]]&gt;=1000),"Y","N")</f>
        <v>N</v>
      </c>
      <c r="AF38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8.5647013613976632</v>
      </c>
    </row>
    <row r="389" spans="1:32" x14ac:dyDescent="0.35">
      <c r="A389">
        <v>388</v>
      </c>
      <c r="B389" s="1" t="s">
        <v>458</v>
      </c>
      <c r="C389" s="1" t="s">
        <v>41</v>
      </c>
      <c r="D389">
        <v>27</v>
      </c>
      <c r="E389" s="1" t="s">
        <v>93</v>
      </c>
      <c r="F389">
        <v>10</v>
      </c>
      <c r="G389">
        <v>0</v>
      </c>
      <c r="H389">
        <v>13.7</v>
      </c>
      <c r="I389">
        <v>2.5</v>
      </c>
      <c r="J389">
        <v>5.0999999999999996</v>
      </c>
      <c r="K389">
        <v>0.49</v>
      </c>
      <c r="L389">
        <v>0.5</v>
      </c>
      <c r="M389">
        <v>1.4</v>
      </c>
      <c r="N389">
        <v>0.35699999999999998</v>
      </c>
      <c r="O389">
        <v>2</v>
      </c>
      <c r="P389">
        <v>3.7</v>
      </c>
      <c r="Q389">
        <v>0.54100000000000004</v>
      </c>
      <c r="R389">
        <v>0.53900000000000003</v>
      </c>
      <c r="S389">
        <v>0.3</v>
      </c>
      <c r="T389">
        <v>0.5</v>
      </c>
      <c r="U389">
        <v>0.6</v>
      </c>
      <c r="V389">
        <v>0.2</v>
      </c>
      <c r="W389">
        <v>1.2</v>
      </c>
      <c r="X389">
        <v>1.4</v>
      </c>
      <c r="Y389">
        <v>2.4</v>
      </c>
      <c r="Z389">
        <v>0.7</v>
      </c>
      <c r="AA389">
        <v>0.3</v>
      </c>
      <c r="AB389">
        <v>0.6</v>
      </c>
      <c r="AC389">
        <v>0.9</v>
      </c>
      <c r="AD389">
        <v>5.8</v>
      </c>
      <c r="AE389" t="str">
        <f>IF(OR(_nba2122[[#This Row],[G]]&gt;=58,nba2122_advanced[[#This Row],[MP]]&gt;=1000),"Y","N")</f>
        <v>N</v>
      </c>
      <c r="AF38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6.5160870551361869</v>
      </c>
    </row>
    <row r="390" spans="1:32" x14ac:dyDescent="0.35">
      <c r="A390">
        <v>389</v>
      </c>
      <c r="B390" s="1" t="s">
        <v>459</v>
      </c>
      <c r="C390" s="1" t="s">
        <v>41</v>
      </c>
      <c r="D390">
        <v>24</v>
      </c>
      <c r="E390" s="1" t="s">
        <v>61</v>
      </c>
      <c r="F390">
        <v>1</v>
      </c>
      <c r="G390">
        <v>0</v>
      </c>
      <c r="H390">
        <v>2</v>
      </c>
      <c r="I390">
        <v>0</v>
      </c>
      <c r="J390">
        <v>1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R390">
        <v>0</v>
      </c>
      <c r="S390">
        <v>0</v>
      </c>
      <c r="T390">
        <v>0</v>
      </c>
      <c r="V390">
        <v>0</v>
      </c>
      <c r="W390">
        <v>0</v>
      </c>
      <c r="X390">
        <v>0</v>
      </c>
      <c r="Y390">
        <v>0</v>
      </c>
      <c r="Z390">
        <v>1</v>
      </c>
      <c r="AA390">
        <v>0</v>
      </c>
      <c r="AB390">
        <v>1</v>
      </c>
      <c r="AC390">
        <v>0</v>
      </c>
      <c r="AD390">
        <v>0</v>
      </c>
      <c r="AE390" t="str">
        <f>IF(OR(_nba2122[[#This Row],[G]]&gt;=58,nba2122_advanced[[#This Row],[MP]]&gt;=1000),"Y","N")</f>
        <v>N</v>
      </c>
      <c r="AF39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36.871422611783139</v>
      </c>
    </row>
    <row r="391" spans="1:32" x14ac:dyDescent="0.35">
      <c r="A391">
        <v>390</v>
      </c>
      <c r="B391" s="1" t="s">
        <v>460</v>
      </c>
      <c r="C391" s="1" t="s">
        <v>48</v>
      </c>
      <c r="D391">
        <v>22</v>
      </c>
      <c r="E391" s="1" t="s">
        <v>34</v>
      </c>
      <c r="F391">
        <v>57</v>
      </c>
      <c r="G391">
        <v>57</v>
      </c>
      <c r="H391">
        <v>33.1</v>
      </c>
      <c r="I391">
        <v>10.199999999999999</v>
      </c>
      <c r="J391">
        <v>20.6</v>
      </c>
      <c r="K391">
        <v>0.49299999999999999</v>
      </c>
      <c r="L391">
        <v>1.5</v>
      </c>
      <c r="M391">
        <v>4.5</v>
      </c>
      <c r="N391">
        <v>0.34399999999999997</v>
      </c>
      <c r="O391">
        <v>8.6</v>
      </c>
      <c r="P391">
        <v>16.2</v>
      </c>
      <c r="Q391">
        <v>0.53400000000000003</v>
      </c>
      <c r="R391">
        <v>0.53</v>
      </c>
      <c r="S391">
        <v>5.5</v>
      </c>
      <c r="T391">
        <v>7.3</v>
      </c>
      <c r="U391">
        <v>0.76100000000000001</v>
      </c>
      <c r="V391">
        <v>1.4</v>
      </c>
      <c r="W391">
        <v>4.4000000000000004</v>
      </c>
      <c r="X391">
        <v>5.7</v>
      </c>
      <c r="Y391">
        <v>6.7</v>
      </c>
      <c r="Z391">
        <v>1.2</v>
      </c>
      <c r="AA391">
        <v>0.4</v>
      </c>
      <c r="AB391">
        <v>3.4</v>
      </c>
      <c r="AC391">
        <v>1.5</v>
      </c>
      <c r="AD391">
        <v>27.4</v>
      </c>
      <c r="AE391" t="str">
        <f>IF(OR(_nba2122[[#This Row],[G]]&gt;=58,nba2122_advanced[[#This Row],[MP]]&gt;=1000),"Y","N")</f>
        <v>Y</v>
      </c>
      <c r="AF39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9.1387708146467812</v>
      </c>
    </row>
    <row r="392" spans="1:32" x14ac:dyDescent="0.35">
      <c r="A392">
        <v>391</v>
      </c>
      <c r="B392" s="1" t="s">
        <v>461</v>
      </c>
      <c r="C392" s="1" t="s">
        <v>28</v>
      </c>
      <c r="D392">
        <v>24</v>
      </c>
      <c r="E392" s="1" t="s">
        <v>42</v>
      </c>
      <c r="F392">
        <v>2</v>
      </c>
      <c r="G392">
        <v>0</v>
      </c>
      <c r="H392">
        <v>15.5</v>
      </c>
      <c r="I392">
        <v>1</v>
      </c>
      <c r="J392">
        <v>1.5</v>
      </c>
      <c r="K392">
        <v>0.66700000000000004</v>
      </c>
      <c r="L392">
        <v>0.5</v>
      </c>
      <c r="M392">
        <v>1</v>
      </c>
      <c r="N392">
        <v>0.5</v>
      </c>
      <c r="O392">
        <v>0.5</v>
      </c>
      <c r="P392">
        <v>0.5</v>
      </c>
      <c r="Q392">
        <v>1</v>
      </c>
      <c r="R392">
        <v>0.83299999999999996</v>
      </c>
      <c r="S392">
        <v>0</v>
      </c>
      <c r="T392">
        <v>0</v>
      </c>
      <c r="V392">
        <v>1</v>
      </c>
      <c r="W392">
        <v>1</v>
      </c>
      <c r="X392">
        <v>2</v>
      </c>
      <c r="Y392">
        <v>0.5</v>
      </c>
      <c r="Z392">
        <v>0</v>
      </c>
      <c r="AA392">
        <v>0</v>
      </c>
      <c r="AB392">
        <v>0</v>
      </c>
      <c r="AC392">
        <v>1.5</v>
      </c>
      <c r="AD392">
        <v>2.5</v>
      </c>
      <c r="AE392" t="str">
        <f>IF(OR(_nba2122[[#This Row],[G]]&gt;=58,nba2122_advanced[[#This Row],[MP]]&gt;=1000),"Y","N")</f>
        <v>N</v>
      </c>
      <c r="AF39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14.714777912365156</v>
      </c>
    </row>
    <row r="393" spans="1:32" x14ac:dyDescent="0.35">
      <c r="A393">
        <v>392</v>
      </c>
      <c r="B393" s="1" t="s">
        <v>462</v>
      </c>
      <c r="C393" s="1" t="s">
        <v>41</v>
      </c>
      <c r="D393">
        <v>26</v>
      </c>
      <c r="E393" s="1" t="s">
        <v>91</v>
      </c>
      <c r="F393">
        <v>3</v>
      </c>
      <c r="G393">
        <v>0</v>
      </c>
      <c r="H393">
        <v>5.3</v>
      </c>
      <c r="I393">
        <v>0</v>
      </c>
      <c r="J393">
        <v>2</v>
      </c>
      <c r="K393">
        <v>0</v>
      </c>
      <c r="L393">
        <v>0</v>
      </c>
      <c r="M393">
        <v>0.7</v>
      </c>
      <c r="N393">
        <v>0</v>
      </c>
      <c r="O393">
        <v>0</v>
      </c>
      <c r="P393">
        <v>1.3</v>
      </c>
      <c r="Q393">
        <v>0</v>
      </c>
      <c r="R393">
        <v>0</v>
      </c>
      <c r="S393">
        <v>0.7</v>
      </c>
      <c r="T393">
        <v>1.3</v>
      </c>
      <c r="U393">
        <v>0.5</v>
      </c>
      <c r="V393">
        <v>0</v>
      </c>
      <c r="W393">
        <v>0.7</v>
      </c>
      <c r="X393">
        <v>0.7</v>
      </c>
      <c r="Y393">
        <v>0.7</v>
      </c>
      <c r="Z393">
        <v>0</v>
      </c>
      <c r="AA393">
        <v>0</v>
      </c>
      <c r="AB393">
        <v>0.3</v>
      </c>
      <c r="AC393">
        <v>0.7</v>
      </c>
      <c r="AD393">
        <v>0.7</v>
      </c>
      <c r="AE393" t="str">
        <f>IF(OR(_nba2122[[#This Row],[G]]&gt;=58,nba2122_advanced[[#This Row],[MP]]&gt;=1000),"Y","N")</f>
        <v>N</v>
      </c>
      <c r="AF39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15.382849953790162</v>
      </c>
    </row>
    <row r="394" spans="1:32" x14ac:dyDescent="0.35">
      <c r="A394">
        <v>393</v>
      </c>
      <c r="B394" s="1" t="s">
        <v>463</v>
      </c>
      <c r="C394" s="1" t="s">
        <v>28</v>
      </c>
      <c r="D394">
        <v>32</v>
      </c>
      <c r="E394" s="1" t="s">
        <v>93</v>
      </c>
      <c r="F394">
        <v>54</v>
      </c>
      <c r="G394">
        <v>54</v>
      </c>
      <c r="H394">
        <v>29</v>
      </c>
      <c r="I394">
        <v>5.6</v>
      </c>
      <c r="J394">
        <v>12.8</v>
      </c>
      <c r="K394">
        <v>0.434</v>
      </c>
      <c r="L394">
        <v>1.9</v>
      </c>
      <c r="M394">
        <v>5.0999999999999996</v>
      </c>
      <c r="N394">
        <v>0.36699999999999999</v>
      </c>
      <c r="O394">
        <v>3.7</v>
      </c>
      <c r="P394">
        <v>7.7</v>
      </c>
      <c r="Q394">
        <v>0.47799999999999998</v>
      </c>
      <c r="R394">
        <v>0.50700000000000001</v>
      </c>
      <c r="S394">
        <v>2.4</v>
      </c>
      <c r="T394">
        <v>2.7</v>
      </c>
      <c r="U394">
        <v>0.872</v>
      </c>
      <c r="V394">
        <v>0.5</v>
      </c>
      <c r="W394">
        <v>3.9</v>
      </c>
      <c r="X394">
        <v>4.4000000000000004</v>
      </c>
      <c r="Y394">
        <v>2.1</v>
      </c>
      <c r="Z394">
        <v>0.5</v>
      </c>
      <c r="AA394">
        <v>0.3</v>
      </c>
      <c r="AB394">
        <v>1.3</v>
      </c>
      <c r="AC394">
        <v>2.1</v>
      </c>
      <c r="AD394">
        <v>15.4</v>
      </c>
      <c r="AE394" t="str">
        <f>IF(OR(_nba2122[[#This Row],[G]]&gt;=58,nba2122_advanced[[#This Row],[MP]]&gt;=1000),"Y","N")</f>
        <v>Y</v>
      </c>
      <c r="AF39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3.7735257349903524</v>
      </c>
    </row>
    <row r="395" spans="1:32" x14ac:dyDescent="0.35">
      <c r="A395">
        <v>394</v>
      </c>
      <c r="B395" s="1" t="s">
        <v>464</v>
      </c>
      <c r="C395" s="1" t="s">
        <v>28</v>
      </c>
      <c r="D395">
        <v>32</v>
      </c>
      <c r="E395" s="1" t="s">
        <v>36</v>
      </c>
      <c r="F395">
        <v>17</v>
      </c>
      <c r="G395">
        <v>1</v>
      </c>
      <c r="H395">
        <v>17.5</v>
      </c>
      <c r="I395">
        <v>3.2</v>
      </c>
      <c r="J395">
        <v>6.7</v>
      </c>
      <c r="K395">
        <v>0.47399999999999998</v>
      </c>
      <c r="L395">
        <v>0.8</v>
      </c>
      <c r="M395">
        <v>2.2999999999999998</v>
      </c>
      <c r="N395">
        <v>0.33300000000000002</v>
      </c>
      <c r="O395">
        <v>2.4</v>
      </c>
      <c r="P395">
        <v>4.4000000000000004</v>
      </c>
      <c r="Q395">
        <v>0.54700000000000004</v>
      </c>
      <c r="R395">
        <v>0.53100000000000003</v>
      </c>
      <c r="S395">
        <v>0.5</v>
      </c>
      <c r="T395">
        <v>0.5</v>
      </c>
      <c r="U395">
        <v>0.88900000000000001</v>
      </c>
      <c r="V395">
        <v>1</v>
      </c>
      <c r="W395">
        <v>1.6</v>
      </c>
      <c r="X395">
        <v>2.6</v>
      </c>
      <c r="Y395">
        <v>1.4</v>
      </c>
      <c r="Z395">
        <v>0.4</v>
      </c>
      <c r="AA395">
        <v>0.1</v>
      </c>
      <c r="AB395">
        <v>1.2</v>
      </c>
      <c r="AC395">
        <v>1.9</v>
      </c>
      <c r="AD395">
        <v>7.6</v>
      </c>
      <c r="AE395" t="str">
        <f>IF(OR(_nba2122[[#This Row],[G]]&gt;=58,nba2122_advanced[[#This Row],[MP]]&gt;=1000),"Y","N")</f>
        <v>N</v>
      </c>
      <c r="AF39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6.0949059333453643</v>
      </c>
    </row>
    <row r="396" spans="1:32" x14ac:dyDescent="0.35">
      <c r="A396">
        <v>395</v>
      </c>
      <c r="B396" s="1" t="s">
        <v>465</v>
      </c>
      <c r="C396" s="1" t="s">
        <v>48</v>
      </c>
      <c r="D396">
        <v>26</v>
      </c>
      <c r="E396" s="1" t="s">
        <v>86</v>
      </c>
      <c r="F396">
        <v>75</v>
      </c>
      <c r="G396">
        <v>74</v>
      </c>
      <c r="H396">
        <v>29.9</v>
      </c>
      <c r="I396">
        <v>5</v>
      </c>
      <c r="J396">
        <v>10.3</v>
      </c>
      <c r="K396">
        <v>0.48399999999999999</v>
      </c>
      <c r="L396">
        <v>1.7</v>
      </c>
      <c r="M396">
        <v>4.2</v>
      </c>
      <c r="N396">
        <v>0.39500000000000002</v>
      </c>
      <c r="O396">
        <v>3.3</v>
      </c>
      <c r="P396">
        <v>6.1</v>
      </c>
      <c r="Q396">
        <v>0.54500000000000004</v>
      </c>
      <c r="R396">
        <v>0.56399999999999995</v>
      </c>
      <c r="S396">
        <v>1</v>
      </c>
      <c r="T396">
        <v>1.1000000000000001</v>
      </c>
      <c r="U396">
        <v>0.86899999999999999</v>
      </c>
      <c r="V396">
        <v>0.4</v>
      </c>
      <c r="W396">
        <v>2.7</v>
      </c>
      <c r="X396">
        <v>3</v>
      </c>
      <c r="Y396">
        <v>4.4000000000000004</v>
      </c>
      <c r="Z396">
        <v>0.7</v>
      </c>
      <c r="AA396">
        <v>0.2</v>
      </c>
      <c r="AB396">
        <v>1</v>
      </c>
      <c r="AC396">
        <v>1.2</v>
      </c>
      <c r="AD396">
        <v>12.6</v>
      </c>
      <c r="AE396" t="str">
        <f>IF(OR(_nba2122[[#This Row],[G]]&gt;=58,nba2122_advanced[[#This Row],[MP]]&gt;=1000),"Y","N")</f>
        <v>Y</v>
      </c>
      <c r="AF39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5.4140545647592111</v>
      </c>
    </row>
    <row r="397" spans="1:32" x14ac:dyDescent="0.35">
      <c r="A397">
        <v>396</v>
      </c>
      <c r="B397" s="1" t="s">
        <v>466</v>
      </c>
      <c r="C397" s="1" t="s">
        <v>48</v>
      </c>
      <c r="D397">
        <v>25</v>
      </c>
      <c r="E397" s="1" t="s">
        <v>82</v>
      </c>
      <c r="F397">
        <v>2</v>
      </c>
      <c r="G397">
        <v>0</v>
      </c>
      <c r="H397">
        <v>5.5</v>
      </c>
      <c r="I397">
        <v>0</v>
      </c>
      <c r="J397">
        <v>1</v>
      </c>
      <c r="K397">
        <v>0</v>
      </c>
      <c r="L397">
        <v>0</v>
      </c>
      <c r="M397">
        <v>0</v>
      </c>
      <c r="O397">
        <v>0</v>
      </c>
      <c r="P397">
        <v>1</v>
      </c>
      <c r="Q397">
        <v>0</v>
      </c>
      <c r="R397">
        <v>0</v>
      </c>
      <c r="S397">
        <v>1.5</v>
      </c>
      <c r="T397">
        <v>2</v>
      </c>
      <c r="U397">
        <v>0.75</v>
      </c>
      <c r="V397">
        <v>0</v>
      </c>
      <c r="W397">
        <v>0</v>
      </c>
      <c r="X397">
        <v>0</v>
      </c>
      <c r="Y397">
        <v>2</v>
      </c>
      <c r="Z397">
        <v>0.5</v>
      </c>
      <c r="AA397">
        <v>0</v>
      </c>
      <c r="AB397">
        <v>0.5</v>
      </c>
      <c r="AC397">
        <v>0.5</v>
      </c>
      <c r="AD397">
        <v>1.5</v>
      </c>
      <c r="AE397" t="str">
        <f>IF(OR(_nba2122[[#This Row],[G]]&gt;=58,nba2122_advanced[[#This Row],[MP]]&gt;=1000),"Y","N")</f>
        <v>N</v>
      </c>
      <c r="AF39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22.11559827176718</v>
      </c>
    </row>
    <row r="398" spans="1:32" x14ac:dyDescent="0.35">
      <c r="A398">
        <v>397</v>
      </c>
      <c r="B398" s="1" t="s">
        <v>467</v>
      </c>
      <c r="C398" s="1" t="s">
        <v>48</v>
      </c>
      <c r="D398">
        <v>27</v>
      </c>
      <c r="E398" s="1" t="s">
        <v>42</v>
      </c>
      <c r="F398">
        <v>17</v>
      </c>
      <c r="G398">
        <v>3</v>
      </c>
      <c r="H398">
        <v>14.1</v>
      </c>
      <c r="I398">
        <v>1.4</v>
      </c>
      <c r="J398">
        <v>4.5</v>
      </c>
      <c r="K398">
        <v>0.312</v>
      </c>
      <c r="L398">
        <v>1</v>
      </c>
      <c r="M398">
        <v>3.2</v>
      </c>
      <c r="N398">
        <v>0.315</v>
      </c>
      <c r="O398">
        <v>0.4</v>
      </c>
      <c r="P398">
        <v>1.4</v>
      </c>
      <c r="Q398">
        <v>0.30399999999999999</v>
      </c>
      <c r="R398">
        <v>0.42199999999999999</v>
      </c>
      <c r="S398">
        <v>0.2</v>
      </c>
      <c r="T398">
        <v>0.2</v>
      </c>
      <c r="U398">
        <v>1</v>
      </c>
      <c r="V398">
        <v>0.1</v>
      </c>
      <c r="W398">
        <v>1.3</v>
      </c>
      <c r="X398">
        <v>1.4</v>
      </c>
      <c r="Y398">
        <v>0.3</v>
      </c>
      <c r="Z398">
        <v>0.2</v>
      </c>
      <c r="AA398">
        <v>0.1</v>
      </c>
      <c r="AB398">
        <v>0.5</v>
      </c>
      <c r="AC398">
        <v>0.8</v>
      </c>
      <c r="AD398">
        <v>4.0999999999999996</v>
      </c>
      <c r="AE398" t="str">
        <f>IF(OR(_nba2122[[#This Row],[G]]&gt;=58,nba2122_advanced[[#This Row],[MP]]&gt;=1000),"Y","N")</f>
        <v>N</v>
      </c>
      <c r="AF39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11.097214102234204</v>
      </c>
    </row>
    <row r="399" spans="1:32" x14ac:dyDescent="0.35">
      <c r="A399">
        <v>398</v>
      </c>
      <c r="B399" s="1" t="s">
        <v>468</v>
      </c>
      <c r="C399" s="1" t="s">
        <v>41</v>
      </c>
      <c r="D399">
        <v>24</v>
      </c>
      <c r="E399" s="1" t="s">
        <v>82</v>
      </c>
      <c r="F399">
        <v>1</v>
      </c>
      <c r="G399">
        <v>0</v>
      </c>
      <c r="H399">
        <v>1</v>
      </c>
      <c r="I399">
        <v>0</v>
      </c>
      <c r="J399">
        <v>0</v>
      </c>
      <c r="L399">
        <v>0</v>
      </c>
      <c r="M399">
        <v>0</v>
      </c>
      <c r="O399">
        <v>0</v>
      </c>
      <c r="P399">
        <v>0</v>
      </c>
      <c r="S399">
        <v>0</v>
      </c>
      <c r="T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 t="str">
        <f>IF(OR(_nba2122[[#This Row],[G]]&gt;=58,nba2122_advanced[[#This Row],[MP]]&gt;=1000),"Y","N")</f>
        <v>N</v>
      </c>
      <c r="AF39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20</v>
      </c>
    </row>
    <row r="400" spans="1:32" x14ac:dyDescent="0.35">
      <c r="A400">
        <v>399</v>
      </c>
      <c r="B400" s="1" t="s">
        <v>469</v>
      </c>
      <c r="C400" s="1" t="s">
        <v>51</v>
      </c>
      <c r="D400">
        <v>21</v>
      </c>
      <c r="E400" s="1" t="s">
        <v>49</v>
      </c>
      <c r="F400">
        <v>62</v>
      </c>
      <c r="G400">
        <v>1</v>
      </c>
      <c r="H400">
        <v>13.9</v>
      </c>
      <c r="I400">
        <v>1.8</v>
      </c>
      <c r="J400">
        <v>4.5</v>
      </c>
      <c r="K400">
        <v>0.39400000000000002</v>
      </c>
      <c r="L400">
        <v>1.1000000000000001</v>
      </c>
      <c r="M400">
        <v>3</v>
      </c>
      <c r="N400">
        <v>0.38200000000000001</v>
      </c>
      <c r="O400">
        <v>0.6</v>
      </c>
      <c r="P400">
        <v>1.5</v>
      </c>
      <c r="Q400">
        <v>0.41799999999999998</v>
      </c>
      <c r="R400">
        <v>0.52200000000000002</v>
      </c>
      <c r="S400">
        <v>0.7</v>
      </c>
      <c r="T400">
        <v>0.8</v>
      </c>
      <c r="U400">
        <v>0.88200000000000001</v>
      </c>
      <c r="V400">
        <v>0.8</v>
      </c>
      <c r="W400">
        <v>1.6</v>
      </c>
      <c r="X400">
        <v>2.4</v>
      </c>
      <c r="Y400">
        <v>0.6</v>
      </c>
      <c r="Z400">
        <v>0.4</v>
      </c>
      <c r="AA400">
        <v>0.1</v>
      </c>
      <c r="AB400">
        <v>0.3</v>
      </c>
      <c r="AC400">
        <v>1</v>
      </c>
      <c r="AD400">
        <v>5.4</v>
      </c>
      <c r="AE400" t="str">
        <f>IF(OR(_nba2122[[#This Row],[G]]&gt;=58,nba2122_advanced[[#This Row],[MP]]&gt;=1000),"Y","N")</f>
        <v>Y</v>
      </c>
      <c r="AF40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8.1248933834306261</v>
      </c>
    </row>
    <row r="401" spans="1:32" x14ac:dyDescent="0.35">
      <c r="A401">
        <v>400</v>
      </c>
      <c r="B401" s="1" t="s">
        <v>470</v>
      </c>
      <c r="C401" s="1" t="s">
        <v>48</v>
      </c>
      <c r="D401">
        <v>25</v>
      </c>
      <c r="E401" s="1" t="s">
        <v>91</v>
      </c>
      <c r="F401">
        <v>68</v>
      </c>
      <c r="G401">
        <v>68</v>
      </c>
      <c r="H401">
        <v>34.799999999999997</v>
      </c>
      <c r="I401">
        <v>8.4</v>
      </c>
      <c r="J401">
        <v>18.3</v>
      </c>
      <c r="K401">
        <v>0.46200000000000002</v>
      </c>
      <c r="L401">
        <v>1.4</v>
      </c>
      <c r="M401">
        <v>4.3</v>
      </c>
      <c r="N401">
        <v>0.32700000000000001</v>
      </c>
      <c r="O401">
        <v>7</v>
      </c>
      <c r="P401">
        <v>13.9</v>
      </c>
      <c r="Q401">
        <v>0.504</v>
      </c>
      <c r="R401">
        <v>0.5</v>
      </c>
      <c r="S401">
        <v>2.9</v>
      </c>
      <c r="T401">
        <v>3.6</v>
      </c>
      <c r="U401">
        <v>0.79400000000000004</v>
      </c>
      <c r="V401">
        <v>1.2</v>
      </c>
      <c r="W401">
        <v>7.1</v>
      </c>
      <c r="X401">
        <v>8.3000000000000007</v>
      </c>
      <c r="Y401">
        <v>9.1999999999999993</v>
      </c>
      <c r="Z401">
        <v>2</v>
      </c>
      <c r="AA401">
        <v>0.3</v>
      </c>
      <c r="AB401">
        <v>2.6</v>
      </c>
      <c r="AC401">
        <v>2</v>
      </c>
      <c r="AD401">
        <v>21.1</v>
      </c>
      <c r="AE401" t="str">
        <f>IF(OR(_nba2122[[#This Row],[G]]&gt;=58,nba2122_advanced[[#This Row],[MP]]&gt;=1000),"Y","N")</f>
        <v>Y</v>
      </c>
      <c r="AF40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11.046549930723867</v>
      </c>
    </row>
    <row r="402" spans="1:32" x14ac:dyDescent="0.35">
      <c r="A402">
        <v>401</v>
      </c>
      <c r="B402" s="1" t="s">
        <v>471</v>
      </c>
      <c r="C402" s="1" t="s">
        <v>31</v>
      </c>
      <c r="D402">
        <v>30</v>
      </c>
      <c r="E402" s="1" t="s">
        <v>96</v>
      </c>
      <c r="F402">
        <v>43</v>
      </c>
      <c r="G402">
        <v>0</v>
      </c>
      <c r="H402">
        <v>13.8</v>
      </c>
      <c r="I402">
        <v>2.6</v>
      </c>
      <c r="J402">
        <v>5.8</v>
      </c>
      <c r="K402">
        <v>0.45600000000000002</v>
      </c>
      <c r="L402">
        <v>1.6</v>
      </c>
      <c r="M402">
        <v>3.8</v>
      </c>
      <c r="N402">
        <v>0.42899999999999999</v>
      </c>
      <c r="O402">
        <v>1</v>
      </c>
      <c r="P402">
        <v>2</v>
      </c>
      <c r="Q402">
        <v>0.50600000000000001</v>
      </c>
      <c r="R402">
        <v>0.59699999999999998</v>
      </c>
      <c r="S402">
        <v>1.1000000000000001</v>
      </c>
      <c r="T402">
        <v>1.3</v>
      </c>
      <c r="U402">
        <v>0.84199999999999997</v>
      </c>
      <c r="V402">
        <v>0.5</v>
      </c>
      <c r="W402">
        <v>2.5</v>
      </c>
      <c r="X402">
        <v>3</v>
      </c>
      <c r="Y402">
        <v>0.5</v>
      </c>
      <c r="Z402">
        <v>0.4</v>
      </c>
      <c r="AA402">
        <v>0.6</v>
      </c>
      <c r="AB402">
        <v>0.3</v>
      </c>
      <c r="AC402">
        <v>1.3</v>
      </c>
      <c r="AD402">
        <v>8</v>
      </c>
      <c r="AE402" t="str">
        <f>IF(OR(_nba2122[[#This Row],[G]]&gt;=58,nba2122_advanced[[#This Row],[MP]]&gt;=1000),"Y","N")</f>
        <v>N</v>
      </c>
      <c r="AF40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7.5343610152990586</v>
      </c>
    </row>
    <row r="403" spans="1:32" x14ac:dyDescent="0.35">
      <c r="A403">
        <v>402</v>
      </c>
      <c r="B403" s="1" t="s">
        <v>472</v>
      </c>
      <c r="C403" s="1" t="s">
        <v>51</v>
      </c>
      <c r="D403">
        <v>24</v>
      </c>
      <c r="E403" s="1" t="s">
        <v>32</v>
      </c>
      <c r="F403">
        <v>56</v>
      </c>
      <c r="G403">
        <v>5</v>
      </c>
      <c r="H403">
        <v>12.8</v>
      </c>
      <c r="I403">
        <v>1.6</v>
      </c>
      <c r="J403">
        <v>4.2</v>
      </c>
      <c r="K403">
        <v>0.38900000000000001</v>
      </c>
      <c r="L403">
        <v>0.7</v>
      </c>
      <c r="M403">
        <v>2.4</v>
      </c>
      <c r="N403">
        <v>0.30599999999999999</v>
      </c>
      <c r="O403">
        <v>0.9</v>
      </c>
      <c r="P403">
        <v>1.8</v>
      </c>
      <c r="Q403">
        <v>0.5</v>
      </c>
      <c r="R403">
        <v>0.47599999999999998</v>
      </c>
      <c r="S403">
        <v>0.6</v>
      </c>
      <c r="T403">
        <v>0.7</v>
      </c>
      <c r="U403">
        <v>0.86499999999999999</v>
      </c>
      <c r="V403">
        <v>0.4</v>
      </c>
      <c r="W403">
        <v>1.3</v>
      </c>
      <c r="X403">
        <v>1.6</v>
      </c>
      <c r="Y403">
        <v>0.8</v>
      </c>
      <c r="Z403">
        <v>0.5</v>
      </c>
      <c r="AA403">
        <v>0.1</v>
      </c>
      <c r="AB403">
        <v>0.6</v>
      </c>
      <c r="AC403">
        <v>1</v>
      </c>
      <c r="AD403">
        <v>4.5999999999999996</v>
      </c>
      <c r="AE403" t="str">
        <f>IF(OR(_nba2122[[#This Row],[G]]&gt;=58,nba2122_advanced[[#This Row],[MP]]&gt;=1000),"Y","N")</f>
        <v>N</v>
      </c>
      <c r="AF40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7.8030380801444199</v>
      </c>
    </row>
    <row r="404" spans="1:32" x14ac:dyDescent="0.35">
      <c r="A404">
        <v>403</v>
      </c>
      <c r="B404" s="1" t="s">
        <v>473</v>
      </c>
      <c r="C404" s="1" t="s">
        <v>51</v>
      </c>
      <c r="D404">
        <v>28</v>
      </c>
      <c r="E404" s="1" t="s">
        <v>68</v>
      </c>
      <c r="F404">
        <v>14</v>
      </c>
      <c r="G404">
        <v>0</v>
      </c>
      <c r="H404">
        <v>10.4</v>
      </c>
      <c r="I404">
        <v>0.9</v>
      </c>
      <c r="J404">
        <v>2.5</v>
      </c>
      <c r="K404">
        <v>0.34300000000000003</v>
      </c>
      <c r="L404">
        <v>0.3</v>
      </c>
      <c r="M404">
        <v>1</v>
      </c>
      <c r="N404">
        <v>0.28599999999999998</v>
      </c>
      <c r="O404">
        <v>0.6</v>
      </c>
      <c r="P404">
        <v>1.5</v>
      </c>
      <c r="Q404">
        <v>0.38100000000000001</v>
      </c>
      <c r="R404">
        <v>0.4</v>
      </c>
      <c r="S404">
        <v>0.4</v>
      </c>
      <c r="T404">
        <v>0.7</v>
      </c>
      <c r="U404">
        <v>0.6</v>
      </c>
      <c r="V404">
        <v>0.3</v>
      </c>
      <c r="W404">
        <v>1.6</v>
      </c>
      <c r="X404">
        <v>1.9</v>
      </c>
      <c r="Y404">
        <v>0.5</v>
      </c>
      <c r="Z404">
        <v>0.6</v>
      </c>
      <c r="AA404">
        <v>0.3</v>
      </c>
      <c r="AB404">
        <v>0.8</v>
      </c>
      <c r="AC404">
        <v>1.4</v>
      </c>
      <c r="AD404">
        <v>2.4</v>
      </c>
      <c r="AE404" t="str">
        <f>IF(OR(_nba2122[[#This Row],[G]]&gt;=58,nba2122_advanced[[#This Row],[MP]]&gt;=1000),"Y","N")</f>
        <v>N</v>
      </c>
      <c r="AF40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8.3556600559642042</v>
      </c>
    </row>
    <row r="405" spans="1:32" x14ac:dyDescent="0.35">
      <c r="A405">
        <v>404</v>
      </c>
      <c r="B405" s="1" t="s">
        <v>474</v>
      </c>
      <c r="C405" s="1" t="s">
        <v>28</v>
      </c>
      <c r="D405">
        <v>29</v>
      </c>
      <c r="E405" s="1" t="s">
        <v>42</v>
      </c>
      <c r="F405">
        <v>46</v>
      </c>
      <c r="G405">
        <v>11</v>
      </c>
      <c r="H405">
        <v>22.6</v>
      </c>
      <c r="I405">
        <v>2.8</v>
      </c>
      <c r="J405">
        <v>5.4</v>
      </c>
      <c r="K405">
        <v>0.52200000000000002</v>
      </c>
      <c r="L405">
        <v>0.5</v>
      </c>
      <c r="M405">
        <v>1.5</v>
      </c>
      <c r="N405">
        <v>0.32900000000000001</v>
      </c>
      <c r="O405">
        <v>2.2999999999999998</v>
      </c>
      <c r="P405">
        <v>3.8</v>
      </c>
      <c r="Q405">
        <v>0.59899999999999998</v>
      </c>
      <c r="R405">
        <v>0.56899999999999995</v>
      </c>
      <c r="S405">
        <v>0.9</v>
      </c>
      <c r="T405">
        <v>1.2</v>
      </c>
      <c r="U405">
        <v>0.70199999999999996</v>
      </c>
      <c r="V405">
        <v>1.6</v>
      </c>
      <c r="W405">
        <v>3.8</v>
      </c>
      <c r="X405">
        <v>5.4</v>
      </c>
      <c r="Y405">
        <v>1.8</v>
      </c>
      <c r="Z405">
        <v>0.9</v>
      </c>
      <c r="AA405">
        <v>0.4</v>
      </c>
      <c r="AB405">
        <v>0.8</v>
      </c>
      <c r="AC405">
        <v>1.8</v>
      </c>
      <c r="AD405">
        <v>7</v>
      </c>
      <c r="AE405" t="str">
        <f>IF(OR(_nba2122[[#This Row],[G]]&gt;=58,nba2122_advanced[[#This Row],[MP]]&gt;=1000),"Y","N")</f>
        <v>Y</v>
      </c>
      <c r="AF40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3.8580162627545169</v>
      </c>
    </row>
    <row r="406" spans="1:32" x14ac:dyDescent="0.35">
      <c r="A406">
        <v>405</v>
      </c>
      <c r="B406" s="1" t="s">
        <v>475</v>
      </c>
      <c r="C406" s="1" t="s">
        <v>41</v>
      </c>
      <c r="D406">
        <v>22</v>
      </c>
      <c r="E406" s="1" t="s">
        <v>46</v>
      </c>
      <c r="F406">
        <v>14</v>
      </c>
      <c r="G406">
        <v>0</v>
      </c>
      <c r="H406">
        <v>4.5</v>
      </c>
      <c r="I406">
        <v>0.4</v>
      </c>
      <c r="J406">
        <v>1.3</v>
      </c>
      <c r="K406">
        <v>0.33300000000000002</v>
      </c>
      <c r="L406">
        <v>0</v>
      </c>
      <c r="M406">
        <v>0.1</v>
      </c>
      <c r="N406">
        <v>0</v>
      </c>
      <c r="O406">
        <v>0.4</v>
      </c>
      <c r="P406">
        <v>1.1000000000000001</v>
      </c>
      <c r="Q406">
        <v>0.375</v>
      </c>
      <c r="R406">
        <v>0.33300000000000002</v>
      </c>
      <c r="S406">
        <v>0.2</v>
      </c>
      <c r="T406">
        <v>0.3</v>
      </c>
      <c r="U406">
        <v>0.75</v>
      </c>
      <c r="V406">
        <v>0.2</v>
      </c>
      <c r="W406">
        <v>0.3</v>
      </c>
      <c r="X406">
        <v>0.5</v>
      </c>
      <c r="Y406">
        <v>0.9</v>
      </c>
      <c r="Z406">
        <v>0.1</v>
      </c>
      <c r="AA406">
        <v>0</v>
      </c>
      <c r="AB406">
        <v>0.2</v>
      </c>
      <c r="AC406">
        <v>0.1</v>
      </c>
      <c r="AD406">
        <v>1.1000000000000001</v>
      </c>
      <c r="AE406" t="str">
        <f>IF(OR(_nba2122[[#This Row],[G]]&gt;=58,nba2122_advanced[[#This Row],[MP]]&gt;=1000),"Y","N")</f>
        <v>N</v>
      </c>
      <c r="AF40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12.034124547938843</v>
      </c>
    </row>
    <row r="407" spans="1:32" x14ac:dyDescent="0.35">
      <c r="A407">
        <v>406</v>
      </c>
      <c r="B407" s="1" t="s">
        <v>476</v>
      </c>
      <c r="C407" s="1" t="s">
        <v>51</v>
      </c>
      <c r="D407">
        <v>22</v>
      </c>
      <c r="E407" s="1" t="s">
        <v>140</v>
      </c>
      <c r="F407">
        <v>52</v>
      </c>
      <c r="G407">
        <v>3</v>
      </c>
      <c r="H407">
        <v>11</v>
      </c>
      <c r="I407">
        <v>1.4</v>
      </c>
      <c r="J407">
        <v>3.5</v>
      </c>
      <c r="K407">
        <v>0.39600000000000002</v>
      </c>
      <c r="L407">
        <v>0.6</v>
      </c>
      <c r="M407">
        <v>2.2000000000000002</v>
      </c>
      <c r="N407">
        <v>0.27</v>
      </c>
      <c r="O407">
        <v>0.8</v>
      </c>
      <c r="P407">
        <v>1.3</v>
      </c>
      <c r="Q407">
        <v>0.61199999999999999</v>
      </c>
      <c r="R407">
        <v>0.48099999999999998</v>
      </c>
      <c r="S407">
        <v>0.4</v>
      </c>
      <c r="T407">
        <v>0.5</v>
      </c>
      <c r="U407">
        <v>0.80800000000000005</v>
      </c>
      <c r="V407">
        <v>0.3</v>
      </c>
      <c r="W407">
        <v>1.4</v>
      </c>
      <c r="X407">
        <v>1.7</v>
      </c>
      <c r="Y407">
        <v>0.4</v>
      </c>
      <c r="Z407">
        <v>0.4</v>
      </c>
      <c r="AA407">
        <v>0.1</v>
      </c>
      <c r="AB407">
        <v>0.6</v>
      </c>
      <c r="AC407">
        <v>1.3</v>
      </c>
      <c r="AD407">
        <v>3.8</v>
      </c>
      <c r="AE407" t="str">
        <f>IF(OR(_nba2122[[#This Row],[G]]&gt;=58,nba2122_advanced[[#This Row],[MP]]&gt;=1000),"Y","N")</f>
        <v>N</v>
      </c>
      <c r="AF40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8.3120794140482346</v>
      </c>
    </row>
    <row r="408" spans="1:32" x14ac:dyDescent="0.35">
      <c r="A408">
        <v>407</v>
      </c>
      <c r="B408" s="1" t="s">
        <v>477</v>
      </c>
      <c r="C408" s="1" t="s">
        <v>48</v>
      </c>
      <c r="D408">
        <v>29</v>
      </c>
      <c r="E408" s="1" t="s">
        <v>65</v>
      </c>
      <c r="F408">
        <v>70</v>
      </c>
      <c r="G408">
        <v>19</v>
      </c>
      <c r="H408">
        <v>19.600000000000001</v>
      </c>
      <c r="I408">
        <v>2.9</v>
      </c>
      <c r="J408">
        <v>6.3</v>
      </c>
      <c r="K408">
        <v>0.46300000000000002</v>
      </c>
      <c r="L408">
        <v>0.5</v>
      </c>
      <c r="M408">
        <v>1.7</v>
      </c>
      <c r="N408">
        <v>0.29199999999999998</v>
      </c>
      <c r="O408">
        <v>2.4</v>
      </c>
      <c r="P408">
        <v>4.5999999999999996</v>
      </c>
      <c r="Q408">
        <v>0.52600000000000002</v>
      </c>
      <c r="R408">
        <v>0.502</v>
      </c>
      <c r="S408">
        <v>1.2</v>
      </c>
      <c r="T408">
        <v>1.5</v>
      </c>
      <c r="U408">
        <v>0.76900000000000002</v>
      </c>
      <c r="V408">
        <v>0.2</v>
      </c>
      <c r="W408">
        <v>1.7</v>
      </c>
      <c r="X408">
        <v>1.9</v>
      </c>
      <c r="Y408">
        <v>3.1</v>
      </c>
      <c r="Z408">
        <v>0.8</v>
      </c>
      <c r="AA408">
        <v>0</v>
      </c>
      <c r="AB408">
        <v>1.1000000000000001</v>
      </c>
      <c r="AC408">
        <v>1.5</v>
      </c>
      <c r="AD408">
        <v>7.5</v>
      </c>
      <c r="AE408" t="str">
        <f>IF(OR(_nba2122[[#This Row],[G]]&gt;=58,nba2122_advanced[[#This Row],[MP]]&gt;=1000),"Y","N")</f>
        <v>Y</v>
      </c>
      <c r="AF40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5.8308101435196287</v>
      </c>
    </row>
    <row r="409" spans="1:32" x14ac:dyDescent="0.35">
      <c r="A409">
        <v>408</v>
      </c>
      <c r="B409" s="1" t="s">
        <v>478</v>
      </c>
      <c r="C409" s="1" t="s">
        <v>48</v>
      </c>
      <c r="D409">
        <v>24</v>
      </c>
      <c r="E409" s="1" t="s">
        <v>46</v>
      </c>
      <c r="F409">
        <v>1</v>
      </c>
      <c r="G409">
        <v>0</v>
      </c>
      <c r="H409">
        <v>8</v>
      </c>
      <c r="I409">
        <v>3</v>
      </c>
      <c r="J409">
        <v>5</v>
      </c>
      <c r="K409">
        <v>0.6</v>
      </c>
      <c r="L409">
        <v>0</v>
      </c>
      <c r="M409">
        <v>1</v>
      </c>
      <c r="N409">
        <v>0</v>
      </c>
      <c r="O409">
        <v>3</v>
      </c>
      <c r="P409">
        <v>4</v>
      </c>
      <c r="Q409">
        <v>0.75</v>
      </c>
      <c r="R409">
        <v>0.6</v>
      </c>
      <c r="S409">
        <v>2</v>
      </c>
      <c r="T409">
        <v>2</v>
      </c>
      <c r="U409">
        <v>1</v>
      </c>
      <c r="V409">
        <v>0</v>
      </c>
      <c r="W409">
        <v>1</v>
      </c>
      <c r="X409">
        <v>1</v>
      </c>
      <c r="Y409">
        <v>1</v>
      </c>
      <c r="Z409">
        <v>0</v>
      </c>
      <c r="AA409">
        <v>0</v>
      </c>
      <c r="AB409">
        <v>1</v>
      </c>
      <c r="AC409">
        <v>0</v>
      </c>
      <c r="AD409">
        <v>8</v>
      </c>
      <c r="AE409" t="str">
        <f>IF(OR(_nba2122[[#This Row],[G]]&gt;=58,nba2122_advanced[[#This Row],[MP]]&gt;=1000),"Y","N")</f>
        <v>N</v>
      </c>
      <c r="AF40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13.152842721912029</v>
      </c>
    </row>
    <row r="410" spans="1:32" x14ac:dyDescent="0.35">
      <c r="A410">
        <v>409</v>
      </c>
      <c r="B410" s="1" t="s">
        <v>479</v>
      </c>
      <c r="C410" s="1" t="s">
        <v>28</v>
      </c>
      <c r="D410">
        <v>28</v>
      </c>
      <c r="E410" s="1" t="s">
        <v>89</v>
      </c>
      <c r="F410">
        <v>76</v>
      </c>
      <c r="G410">
        <v>7</v>
      </c>
      <c r="H410">
        <v>22.8</v>
      </c>
      <c r="I410">
        <v>3.2</v>
      </c>
      <c r="J410">
        <v>7.4</v>
      </c>
      <c r="K410">
        <v>0.437</v>
      </c>
      <c r="L410">
        <v>2.1</v>
      </c>
      <c r="M410">
        <v>5.0999999999999996</v>
      </c>
      <c r="N410">
        <v>0.40300000000000002</v>
      </c>
      <c r="O410">
        <v>1.2</v>
      </c>
      <c r="P410">
        <v>2.2999999999999998</v>
      </c>
      <c r="Q410">
        <v>0.51100000000000001</v>
      </c>
      <c r="R410">
        <v>0.57499999999999996</v>
      </c>
      <c r="S410">
        <v>0.7</v>
      </c>
      <c r="T410">
        <v>0.8</v>
      </c>
      <c r="U410">
        <v>0.88100000000000001</v>
      </c>
      <c r="V410">
        <v>0.3</v>
      </c>
      <c r="W410">
        <v>2.2999999999999998</v>
      </c>
      <c r="X410">
        <v>2.7</v>
      </c>
      <c r="Y410">
        <v>1.3</v>
      </c>
      <c r="Z410">
        <v>0.4</v>
      </c>
      <c r="AA410">
        <v>0.2</v>
      </c>
      <c r="AB410">
        <v>0.8</v>
      </c>
      <c r="AC410">
        <v>2.5</v>
      </c>
      <c r="AD410">
        <v>9.1999999999999993</v>
      </c>
      <c r="AE410" t="str">
        <f>IF(OR(_nba2122[[#This Row],[G]]&gt;=58,nba2122_advanced[[#This Row],[MP]]&gt;=1000),"Y","N")</f>
        <v>Y</v>
      </c>
      <c r="AF41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7.1912357163884639</v>
      </c>
    </row>
    <row r="411" spans="1:32" x14ac:dyDescent="0.35">
      <c r="A411">
        <v>410</v>
      </c>
      <c r="B411" s="1" t="s">
        <v>480</v>
      </c>
      <c r="C411" s="1" t="s">
        <v>41</v>
      </c>
      <c r="D411">
        <v>19</v>
      </c>
      <c r="E411" s="1" t="s">
        <v>170</v>
      </c>
      <c r="F411">
        <v>24</v>
      </c>
      <c r="G411">
        <v>0</v>
      </c>
      <c r="H411">
        <v>10.9</v>
      </c>
      <c r="I411">
        <v>1.1000000000000001</v>
      </c>
      <c r="J411">
        <v>2.8</v>
      </c>
      <c r="K411">
        <v>0.40300000000000002</v>
      </c>
      <c r="L411">
        <v>0.3</v>
      </c>
      <c r="M411">
        <v>1.1000000000000001</v>
      </c>
      <c r="N411">
        <v>0.26900000000000002</v>
      </c>
      <c r="O411">
        <v>0.8</v>
      </c>
      <c r="P411">
        <v>1.7</v>
      </c>
      <c r="Q411">
        <v>0.48799999999999999</v>
      </c>
      <c r="R411">
        <v>0.45500000000000002</v>
      </c>
      <c r="S411">
        <v>0.7</v>
      </c>
      <c r="T411">
        <v>1.3</v>
      </c>
      <c r="U411">
        <v>0.53300000000000003</v>
      </c>
      <c r="V411">
        <v>0.3</v>
      </c>
      <c r="W411">
        <v>1.1000000000000001</v>
      </c>
      <c r="X411">
        <v>1.4</v>
      </c>
      <c r="Y411">
        <v>1.7</v>
      </c>
      <c r="Z411">
        <v>0.6</v>
      </c>
      <c r="AA411">
        <v>0</v>
      </c>
      <c r="AB411">
        <v>1.1000000000000001</v>
      </c>
      <c r="AC411">
        <v>0.9</v>
      </c>
      <c r="AD411">
        <v>3.2</v>
      </c>
      <c r="AE411" t="str">
        <f>IF(OR(_nba2122[[#This Row],[G]]&gt;=58,nba2122_advanced[[#This Row],[MP]]&gt;=1000),"Y","N")</f>
        <v>N</v>
      </c>
      <c r="AF41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9.7860889267921856</v>
      </c>
    </row>
    <row r="412" spans="1:32" x14ac:dyDescent="0.35">
      <c r="A412">
        <v>411</v>
      </c>
      <c r="B412" s="1" t="s">
        <v>481</v>
      </c>
      <c r="C412" s="1" t="s">
        <v>28</v>
      </c>
      <c r="D412">
        <v>21</v>
      </c>
      <c r="E412" s="1" t="s">
        <v>86</v>
      </c>
      <c r="F412">
        <v>41</v>
      </c>
      <c r="G412">
        <v>1</v>
      </c>
      <c r="H412">
        <v>17</v>
      </c>
      <c r="I412">
        <v>2.2999999999999998</v>
      </c>
      <c r="J412">
        <v>4.5</v>
      </c>
      <c r="K412">
        <v>0.51600000000000001</v>
      </c>
      <c r="L412">
        <v>0.9</v>
      </c>
      <c r="M412">
        <v>2</v>
      </c>
      <c r="N412">
        <v>0.46300000000000002</v>
      </c>
      <c r="O412">
        <v>1.4</v>
      </c>
      <c r="P412">
        <v>2.6</v>
      </c>
      <c r="Q412">
        <v>0.55700000000000005</v>
      </c>
      <c r="R412">
        <v>0.61599999999999999</v>
      </c>
      <c r="S412">
        <v>1</v>
      </c>
      <c r="T412">
        <v>1.6</v>
      </c>
      <c r="U412">
        <v>0.63100000000000001</v>
      </c>
      <c r="V412">
        <v>1.4</v>
      </c>
      <c r="W412">
        <v>2.2000000000000002</v>
      </c>
      <c r="X412">
        <v>3.6</v>
      </c>
      <c r="Y412">
        <v>0.4</v>
      </c>
      <c r="Z412">
        <v>0.4</v>
      </c>
      <c r="AA412">
        <v>0.3</v>
      </c>
      <c r="AB412">
        <v>0.6</v>
      </c>
      <c r="AC412">
        <v>1.9</v>
      </c>
      <c r="AD412">
        <v>6.6</v>
      </c>
      <c r="AE412" t="str">
        <f>IF(OR(_nba2122[[#This Row],[G]]&gt;=58,nba2122_advanced[[#This Row],[MP]]&gt;=1000),"Y","N")</f>
        <v>N</v>
      </c>
      <c r="AF41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6.2241584992060188</v>
      </c>
    </row>
    <row r="413" spans="1:32" x14ac:dyDescent="0.35">
      <c r="A413">
        <v>412</v>
      </c>
      <c r="B413" s="1" t="s">
        <v>482</v>
      </c>
      <c r="C413" s="1" t="s">
        <v>31</v>
      </c>
      <c r="D413">
        <v>27</v>
      </c>
      <c r="E413" s="1" t="s">
        <v>61</v>
      </c>
      <c r="F413">
        <v>25</v>
      </c>
      <c r="G413">
        <v>11</v>
      </c>
      <c r="H413">
        <v>22.5</v>
      </c>
      <c r="I413">
        <v>1.3</v>
      </c>
      <c r="J413">
        <v>2.4</v>
      </c>
      <c r="K413">
        <v>0.53300000000000003</v>
      </c>
      <c r="L413">
        <v>0</v>
      </c>
      <c r="M413">
        <v>0.1</v>
      </c>
      <c r="N413">
        <v>0</v>
      </c>
      <c r="O413">
        <v>1.3</v>
      </c>
      <c r="P413">
        <v>2.2999999999999998</v>
      </c>
      <c r="Q413">
        <v>0.56100000000000005</v>
      </c>
      <c r="R413">
        <v>0.53300000000000003</v>
      </c>
      <c r="S413">
        <v>0.8</v>
      </c>
      <c r="T413">
        <v>1.2</v>
      </c>
      <c r="U413">
        <v>0.7</v>
      </c>
      <c r="V413">
        <v>1.9</v>
      </c>
      <c r="W413">
        <v>3.7</v>
      </c>
      <c r="X413">
        <v>5.6</v>
      </c>
      <c r="Y413">
        <v>0.9</v>
      </c>
      <c r="Z413">
        <v>1.2</v>
      </c>
      <c r="AA413">
        <v>1.2</v>
      </c>
      <c r="AB413">
        <v>0.8</v>
      </c>
      <c r="AC413">
        <v>2.7</v>
      </c>
      <c r="AD413">
        <v>3.4</v>
      </c>
      <c r="AE413" t="str">
        <f>IF(OR(_nba2122[[#This Row],[G]]&gt;=58,nba2122_advanced[[#This Row],[MP]]&gt;=1000),"Y","N")</f>
        <v>N</v>
      </c>
      <c r="AF41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12.75013054753342</v>
      </c>
    </row>
    <row r="414" spans="1:32" x14ac:dyDescent="0.35">
      <c r="A414">
        <v>413</v>
      </c>
      <c r="B414" s="1" t="s">
        <v>483</v>
      </c>
      <c r="C414" s="1" t="s">
        <v>41</v>
      </c>
      <c r="D414">
        <v>22</v>
      </c>
      <c r="E414" s="1" t="s">
        <v>99</v>
      </c>
      <c r="F414">
        <v>62</v>
      </c>
      <c r="G414">
        <v>1</v>
      </c>
      <c r="H414">
        <v>15.7</v>
      </c>
      <c r="I414">
        <v>3.2</v>
      </c>
      <c r="J414">
        <v>6.7</v>
      </c>
      <c r="K414">
        <v>0.47499999999999998</v>
      </c>
      <c r="L414">
        <v>1</v>
      </c>
      <c r="M414">
        <v>2.6</v>
      </c>
      <c r="N414">
        <v>0.39400000000000002</v>
      </c>
      <c r="O414">
        <v>2.1</v>
      </c>
      <c r="P414">
        <v>4.0999999999999996</v>
      </c>
      <c r="Q414">
        <v>0.52600000000000002</v>
      </c>
      <c r="R414">
        <v>0.55100000000000005</v>
      </c>
      <c r="S414">
        <v>1.2</v>
      </c>
      <c r="T414">
        <v>1.5</v>
      </c>
      <c r="U414">
        <v>0.78300000000000003</v>
      </c>
      <c r="V414">
        <v>0.4</v>
      </c>
      <c r="W414">
        <v>1.6</v>
      </c>
      <c r="X414">
        <v>2</v>
      </c>
      <c r="Y414">
        <v>2.1</v>
      </c>
      <c r="Z414">
        <v>0.4</v>
      </c>
      <c r="AA414">
        <v>0.2</v>
      </c>
      <c r="AB414">
        <v>0.6</v>
      </c>
      <c r="AC414">
        <v>1.2</v>
      </c>
      <c r="AD414">
        <v>8.5</v>
      </c>
      <c r="AE414" t="str">
        <f>IF(OR(_nba2122[[#This Row],[G]]&gt;=58,nba2122_advanced[[#This Row],[MP]]&gt;=1000),"Y","N")</f>
        <v>Y</v>
      </c>
      <c r="AF41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5.3535782900332487</v>
      </c>
    </row>
    <row r="415" spans="1:32" x14ac:dyDescent="0.35">
      <c r="A415">
        <v>414</v>
      </c>
      <c r="B415" s="1" t="s">
        <v>484</v>
      </c>
      <c r="C415" s="1" t="s">
        <v>48</v>
      </c>
      <c r="D415">
        <v>23</v>
      </c>
      <c r="E415" s="1" t="s">
        <v>143</v>
      </c>
      <c r="F415">
        <v>58</v>
      </c>
      <c r="G415">
        <v>5</v>
      </c>
      <c r="H415">
        <v>11.8</v>
      </c>
      <c r="I415">
        <v>1.5</v>
      </c>
      <c r="J415">
        <v>3.8</v>
      </c>
      <c r="K415">
        <v>0.39900000000000002</v>
      </c>
      <c r="L415">
        <v>0.7</v>
      </c>
      <c r="M415">
        <v>1.9</v>
      </c>
      <c r="N415">
        <v>0.34200000000000003</v>
      </c>
      <c r="O415">
        <v>0.9</v>
      </c>
      <c r="P415">
        <v>1.9</v>
      </c>
      <c r="Q415">
        <v>0.45500000000000002</v>
      </c>
      <c r="R415">
        <v>0.48399999999999999</v>
      </c>
      <c r="S415">
        <v>0.4</v>
      </c>
      <c r="T415">
        <v>0.4</v>
      </c>
      <c r="U415">
        <v>0.96</v>
      </c>
      <c r="V415">
        <v>0.2</v>
      </c>
      <c r="W415">
        <v>1.2</v>
      </c>
      <c r="X415">
        <v>1.4</v>
      </c>
      <c r="Y415">
        <v>1.2</v>
      </c>
      <c r="Z415">
        <v>0.5</v>
      </c>
      <c r="AA415">
        <v>0.1</v>
      </c>
      <c r="AB415">
        <v>0.5</v>
      </c>
      <c r="AC415">
        <v>1.1000000000000001</v>
      </c>
      <c r="AD415">
        <v>4.0999999999999996</v>
      </c>
      <c r="AE415" t="str">
        <f>IF(OR(_nba2122[[#This Row],[G]]&gt;=58,nba2122_advanced[[#This Row],[MP]]&gt;=1000),"Y","N")</f>
        <v>Y</v>
      </c>
      <c r="AF41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7.2232124907039763</v>
      </c>
    </row>
    <row r="416" spans="1:32" x14ac:dyDescent="0.35">
      <c r="A416">
        <v>415</v>
      </c>
      <c r="B416" s="1" t="s">
        <v>485</v>
      </c>
      <c r="C416" s="1" t="s">
        <v>31</v>
      </c>
      <c r="D416">
        <v>27</v>
      </c>
      <c r="E416" s="1" t="s">
        <v>114</v>
      </c>
      <c r="F416">
        <v>56</v>
      </c>
      <c r="G416">
        <v>56</v>
      </c>
      <c r="H416">
        <v>28.2</v>
      </c>
      <c r="I416">
        <v>5.7</v>
      </c>
      <c r="J416">
        <v>10.7</v>
      </c>
      <c r="K416">
        <v>0.53500000000000003</v>
      </c>
      <c r="L416">
        <v>0.3</v>
      </c>
      <c r="M416">
        <v>1</v>
      </c>
      <c r="N416">
        <v>0.26800000000000002</v>
      </c>
      <c r="O416">
        <v>5.5</v>
      </c>
      <c r="P416">
        <v>9.6999999999999993</v>
      </c>
      <c r="Q416">
        <v>0.56299999999999994</v>
      </c>
      <c r="R416">
        <v>0.54800000000000004</v>
      </c>
      <c r="S416">
        <v>3.3</v>
      </c>
      <c r="T416">
        <v>4.8</v>
      </c>
      <c r="U416">
        <v>0.69</v>
      </c>
      <c r="V416">
        <v>3</v>
      </c>
      <c r="W416">
        <v>8.1</v>
      </c>
      <c r="X416">
        <v>11.1</v>
      </c>
      <c r="Y416">
        <v>2.8</v>
      </c>
      <c r="Z416">
        <v>1.1000000000000001</v>
      </c>
      <c r="AA416">
        <v>0.6</v>
      </c>
      <c r="AB416">
        <v>2.6</v>
      </c>
      <c r="AC416">
        <v>3.4</v>
      </c>
      <c r="AD416">
        <v>15</v>
      </c>
      <c r="AE416" t="str">
        <f>IF(OR(_nba2122[[#This Row],[G]]&gt;=58,nba2122_advanced[[#This Row],[MP]]&gt;=1000),"Y","N")</f>
        <v>Y</v>
      </c>
      <c r="AF41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8.0801555739703712</v>
      </c>
    </row>
    <row r="417" spans="1:32" x14ac:dyDescent="0.35">
      <c r="A417">
        <v>416</v>
      </c>
      <c r="B417" s="1" t="s">
        <v>486</v>
      </c>
      <c r="C417" s="1" t="s">
        <v>51</v>
      </c>
      <c r="D417">
        <v>29</v>
      </c>
      <c r="E417" s="1" t="s">
        <v>170</v>
      </c>
      <c r="F417">
        <v>46</v>
      </c>
      <c r="G417">
        <v>4</v>
      </c>
      <c r="H417">
        <v>13.2</v>
      </c>
      <c r="I417">
        <v>1.8</v>
      </c>
      <c r="J417">
        <v>3.8</v>
      </c>
      <c r="K417">
        <v>0.48299999999999998</v>
      </c>
      <c r="L417">
        <v>0.3</v>
      </c>
      <c r="M417">
        <v>1.1000000000000001</v>
      </c>
      <c r="N417">
        <v>0.30599999999999999</v>
      </c>
      <c r="O417">
        <v>1.5</v>
      </c>
      <c r="P417">
        <v>2.8</v>
      </c>
      <c r="Q417">
        <v>0.55100000000000005</v>
      </c>
      <c r="R417">
        <v>0.52600000000000002</v>
      </c>
      <c r="S417">
        <v>1</v>
      </c>
      <c r="T417">
        <v>1.5</v>
      </c>
      <c r="U417">
        <v>0.71599999999999997</v>
      </c>
      <c r="V417">
        <v>0.9</v>
      </c>
      <c r="W417">
        <v>2.4</v>
      </c>
      <c r="X417">
        <v>3.3</v>
      </c>
      <c r="Y417">
        <v>0.8</v>
      </c>
      <c r="Z417">
        <v>0.6</v>
      </c>
      <c r="AA417">
        <v>0.4</v>
      </c>
      <c r="AB417">
        <v>0.5</v>
      </c>
      <c r="AC417">
        <v>1.2</v>
      </c>
      <c r="AD417">
        <v>5.0999999999999996</v>
      </c>
      <c r="AE417" t="str">
        <f>IF(OR(_nba2122[[#This Row],[G]]&gt;=58,nba2122_advanced[[#This Row],[MP]]&gt;=1000),"Y","N")</f>
        <v>N</v>
      </c>
      <c r="AF41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6.6051674948449763</v>
      </c>
    </row>
    <row r="418" spans="1:32" x14ac:dyDescent="0.35">
      <c r="A418">
        <v>417</v>
      </c>
      <c r="B418" s="1" t="s">
        <v>487</v>
      </c>
      <c r="C418" s="1" t="s">
        <v>51</v>
      </c>
      <c r="D418">
        <v>23</v>
      </c>
      <c r="E418" s="1" t="s">
        <v>44</v>
      </c>
      <c r="F418">
        <v>62</v>
      </c>
      <c r="G418">
        <v>13</v>
      </c>
      <c r="H418">
        <v>19.100000000000001</v>
      </c>
      <c r="I418">
        <v>3</v>
      </c>
      <c r="J418">
        <v>7.5</v>
      </c>
      <c r="K418">
        <v>0.40300000000000002</v>
      </c>
      <c r="L418">
        <v>1.3</v>
      </c>
      <c r="M418">
        <v>3.7</v>
      </c>
      <c r="N418">
        <v>0.34799999999999998</v>
      </c>
      <c r="O418">
        <v>1.7</v>
      </c>
      <c r="P418">
        <v>3.8</v>
      </c>
      <c r="Q418">
        <v>0.45500000000000002</v>
      </c>
      <c r="R418">
        <v>0.48799999999999999</v>
      </c>
      <c r="S418">
        <v>0.6</v>
      </c>
      <c r="T418">
        <v>0.7</v>
      </c>
      <c r="U418">
        <v>0.83699999999999997</v>
      </c>
      <c r="V418">
        <v>0.6</v>
      </c>
      <c r="W418">
        <v>3</v>
      </c>
      <c r="X418">
        <v>3.6</v>
      </c>
      <c r="Y418">
        <v>1</v>
      </c>
      <c r="Z418">
        <v>0.4</v>
      </c>
      <c r="AA418">
        <v>0.3</v>
      </c>
      <c r="AB418">
        <v>0.9</v>
      </c>
      <c r="AC418">
        <v>1.3</v>
      </c>
      <c r="AD418">
        <v>7.9</v>
      </c>
      <c r="AE418" t="str">
        <f>IF(OR(_nba2122[[#This Row],[G]]&gt;=58,nba2122_advanced[[#This Row],[MP]]&gt;=1000),"Y","N")</f>
        <v>Y</v>
      </c>
      <c r="AF41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5.7490803957764989</v>
      </c>
    </row>
    <row r="419" spans="1:32" x14ac:dyDescent="0.35">
      <c r="A419">
        <v>418</v>
      </c>
      <c r="B419" s="1" t="s">
        <v>488</v>
      </c>
      <c r="C419" s="1" t="s">
        <v>51</v>
      </c>
      <c r="D419">
        <v>28</v>
      </c>
      <c r="E419" s="1" t="s">
        <v>70</v>
      </c>
      <c r="F419">
        <v>77</v>
      </c>
      <c r="G419">
        <v>77</v>
      </c>
      <c r="H419">
        <v>31.2</v>
      </c>
      <c r="I419">
        <v>2.6</v>
      </c>
      <c r="J419">
        <v>5.8</v>
      </c>
      <c r="K419">
        <v>0.45700000000000002</v>
      </c>
      <c r="L419">
        <v>1.5</v>
      </c>
      <c r="M419">
        <v>4</v>
      </c>
      <c r="N419">
        <v>0.38900000000000001</v>
      </c>
      <c r="O419">
        <v>1.1000000000000001</v>
      </c>
      <c r="P419">
        <v>1.8</v>
      </c>
      <c r="Q419">
        <v>0.60899999999999999</v>
      </c>
      <c r="R419">
        <v>0.59099999999999997</v>
      </c>
      <c r="S419">
        <v>0.6</v>
      </c>
      <c r="T419">
        <v>0.7</v>
      </c>
      <c r="U419">
        <v>0.80400000000000005</v>
      </c>
      <c r="V419">
        <v>0.8</v>
      </c>
      <c r="W419">
        <v>3.9</v>
      </c>
      <c r="X419">
        <v>4.8</v>
      </c>
      <c r="Y419">
        <v>2.5</v>
      </c>
      <c r="Z419">
        <v>1.1000000000000001</v>
      </c>
      <c r="AA419">
        <v>0.4</v>
      </c>
      <c r="AB419">
        <v>1</v>
      </c>
      <c r="AC419">
        <v>2.4</v>
      </c>
      <c r="AD419">
        <v>7.4</v>
      </c>
      <c r="AE419" t="str">
        <f>IF(OR(_nba2122[[#This Row],[G]]&gt;=58,nba2122_advanced[[#This Row],[MP]]&gt;=1000),"Y","N")</f>
        <v>Y</v>
      </c>
      <c r="AF41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4.9735198557785694</v>
      </c>
    </row>
    <row r="420" spans="1:32" x14ac:dyDescent="0.35">
      <c r="A420">
        <v>419</v>
      </c>
      <c r="B420" s="1" t="s">
        <v>489</v>
      </c>
      <c r="C420" s="1" t="s">
        <v>28</v>
      </c>
      <c r="D420">
        <v>27</v>
      </c>
      <c r="E420" s="1" t="s">
        <v>42</v>
      </c>
      <c r="F420">
        <v>30</v>
      </c>
      <c r="G420">
        <v>0</v>
      </c>
      <c r="H420">
        <v>13.5</v>
      </c>
      <c r="I420">
        <v>1</v>
      </c>
      <c r="J420">
        <v>3.3</v>
      </c>
      <c r="K420">
        <v>0.30299999999999999</v>
      </c>
      <c r="L420">
        <v>0.5</v>
      </c>
      <c r="M420">
        <v>1.7</v>
      </c>
      <c r="N420">
        <v>0.3</v>
      </c>
      <c r="O420">
        <v>0.5</v>
      </c>
      <c r="P420">
        <v>1.6</v>
      </c>
      <c r="Q420">
        <v>0.30599999999999999</v>
      </c>
      <c r="R420">
        <v>0.379</v>
      </c>
      <c r="S420">
        <v>0.8</v>
      </c>
      <c r="T420">
        <v>1</v>
      </c>
      <c r="U420">
        <v>0.79300000000000004</v>
      </c>
      <c r="V420">
        <v>0.9</v>
      </c>
      <c r="W420">
        <v>1.6</v>
      </c>
      <c r="X420">
        <v>2.5</v>
      </c>
      <c r="Y420">
        <v>0.3</v>
      </c>
      <c r="Z420">
        <v>0.2</v>
      </c>
      <c r="AA420">
        <v>0.2</v>
      </c>
      <c r="AB420">
        <v>0.3</v>
      </c>
      <c r="AC420">
        <v>1</v>
      </c>
      <c r="AD420">
        <v>3.3</v>
      </c>
      <c r="AE420" t="str">
        <f>IF(OR(_nba2122[[#This Row],[G]]&gt;=58,nba2122_advanced[[#This Row],[MP]]&gt;=1000),"Y","N")</f>
        <v>N</v>
      </c>
      <c r="AF42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8.8029273242523622</v>
      </c>
    </row>
    <row r="421" spans="1:32" x14ac:dyDescent="0.35">
      <c r="A421">
        <v>420</v>
      </c>
      <c r="B421" s="1" t="s">
        <v>490</v>
      </c>
      <c r="C421" s="1" t="s">
        <v>28</v>
      </c>
      <c r="D421">
        <v>23</v>
      </c>
      <c r="E421" s="1" t="s">
        <v>58</v>
      </c>
      <c r="F421">
        <v>70</v>
      </c>
      <c r="G421">
        <v>20</v>
      </c>
      <c r="H421">
        <v>25</v>
      </c>
      <c r="I421">
        <v>3.1</v>
      </c>
      <c r="J421">
        <v>8.1999999999999993</v>
      </c>
      <c r="K421">
        <v>0.376</v>
      </c>
      <c r="L421">
        <v>1.7</v>
      </c>
      <c r="M421">
        <v>5.3</v>
      </c>
      <c r="N421">
        <v>0.318</v>
      </c>
      <c r="O421">
        <v>1.4</v>
      </c>
      <c r="P421">
        <v>2.9</v>
      </c>
      <c r="Q421">
        <v>0.48</v>
      </c>
      <c r="R421">
        <v>0.47799999999999998</v>
      </c>
      <c r="S421">
        <v>0.8</v>
      </c>
      <c r="T421">
        <v>0.9</v>
      </c>
      <c r="U421">
        <v>0.84599999999999997</v>
      </c>
      <c r="V421">
        <v>0.7</v>
      </c>
      <c r="W421">
        <v>4.3</v>
      </c>
      <c r="X421">
        <v>5</v>
      </c>
      <c r="Y421">
        <v>1.7</v>
      </c>
      <c r="Z421">
        <v>1.4</v>
      </c>
      <c r="AA421">
        <v>0.6</v>
      </c>
      <c r="AB421">
        <v>0.8</v>
      </c>
      <c r="AC421">
        <v>1.4</v>
      </c>
      <c r="AD421">
        <v>8.6</v>
      </c>
      <c r="AE421" t="str">
        <f>IF(OR(_nba2122[[#This Row],[G]]&gt;=58,nba2122_advanced[[#This Row],[MP]]&gt;=1000),"Y","N")</f>
        <v>Y</v>
      </c>
      <c r="AF42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6.0529450257458679</v>
      </c>
    </row>
    <row r="422" spans="1:32" x14ac:dyDescent="0.35">
      <c r="A422">
        <v>421</v>
      </c>
      <c r="B422" s="1" t="s">
        <v>491</v>
      </c>
      <c r="C422" s="1" t="s">
        <v>41</v>
      </c>
      <c r="D422">
        <v>23</v>
      </c>
      <c r="E422" s="1" t="s">
        <v>99</v>
      </c>
      <c r="F422">
        <v>49</v>
      </c>
      <c r="G422">
        <v>6</v>
      </c>
      <c r="H422">
        <v>10.5</v>
      </c>
      <c r="I422">
        <v>0.9</v>
      </c>
      <c r="J422">
        <v>2.1</v>
      </c>
      <c r="K422">
        <v>0.40400000000000003</v>
      </c>
      <c r="L422">
        <v>0.3</v>
      </c>
      <c r="M422">
        <v>1</v>
      </c>
      <c r="N422">
        <v>0.29799999999999999</v>
      </c>
      <c r="O422">
        <v>0.6</v>
      </c>
      <c r="P422">
        <v>1.2</v>
      </c>
      <c r="Q422">
        <v>0.49099999999999999</v>
      </c>
      <c r="R422">
        <v>0.47099999999999997</v>
      </c>
      <c r="S422">
        <v>0.7</v>
      </c>
      <c r="T422">
        <v>1</v>
      </c>
      <c r="U422">
        <v>0.68600000000000005</v>
      </c>
      <c r="V422">
        <v>0.6</v>
      </c>
      <c r="W422">
        <v>0.8</v>
      </c>
      <c r="X422">
        <v>1.4</v>
      </c>
      <c r="Y422">
        <v>0.5</v>
      </c>
      <c r="Z422">
        <v>0.5</v>
      </c>
      <c r="AA422">
        <v>0.2</v>
      </c>
      <c r="AB422">
        <v>0.5</v>
      </c>
      <c r="AC422">
        <v>1.1000000000000001</v>
      </c>
      <c r="AD422">
        <v>2.7</v>
      </c>
      <c r="AE422" t="str">
        <f>IF(OR(_nba2122[[#This Row],[G]]&gt;=58,nba2122_advanced[[#This Row],[MP]]&gt;=1000),"Y","N")</f>
        <v>N</v>
      </c>
      <c r="AF42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8.8237923181670368</v>
      </c>
    </row>
    <row r="423" spans="1:32" x14ac:dyDescent="0.35">
      <c r="A423">
        <v>422</v>
      </c>
      <c r="B423" s="1" t="s">
        <v>492</v>
      </c>
      <c r="C423" s="1" t="s">
        <v>31</v>
      </c>
      <c r="D423">
        <v>21</v>
      </c>
      <c r="E423" s="1" t="s">
        <v>80</v>
      </c>
      <c r="F423">
        <v>48</v>
      </c>
      <c r="G423">
        <v>6</v>
      </c>
      <c r="H423">
        <v>20.7</v>
      </c>
      <c r="I423">
        <v>3.3</v>
      </c>
      <c r="J423">
        <v>4.7</v>
      </c>
      <c r="K423">
        <v>0.69</v>
      </c>
      <c r="L423">
        <v>0</v>
      </c>
      <c r="M423">
        <v>0</v>
      </c>
      <c r="O423">
        <v>3.3</v>
      </c>
      <c r="P423">
        <v>4.7</v>
      </c>
      <c r="Q423">
        <v>0.69</v>
      </c>
      <c r="R423">
        <v>0.69</v>
      </c>
      <c r="S423">
        <v>1.7</v>
      </c>
      <c r="T423">
        <v>2.2999999999999998</v>
      </c>
      <c r="U423">
        <v>0.72699999999999998</v>
      </c>
      <c r="V423">
        <v>2.4</v>
      </c>
      <c r="W423">
        <v>3.5</v>
      </c>
      <c r="X423">
        <v>5.9</v>
      </c>
      <c r="Y423">
        <v>1.1000000000000001</v>
      </c>
      <c r="Z423">
        <v>0.6</v>
      </c>
      <c r="AA423">
        <v>1.3</v>
      </c>
      <c r="AB423">
        <v>0.9</v>
      </c>
      <c r="AC423">
        <v>3.1</v>
      </c>
      <c r="AD423">
        <v>8.1999999999999993</v>
      </c>
      <c r="AE423" t="str">
        <f>IF(OR(_nba2122[[#This Row],[G]]&gt;=58,nba2122_advanced[[#This Row],[MP]]&gt;=1000),"Y","N")</f>
        <v>N</v>
      </c>
      <c r="AF42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11.633017825535802</v>
      </c>
    </row>
    <row r="424" spans="1:32" x14ac:dyDescent="0.35">
      <c r="A424">
        <v>423</v>
      </c>
      <c r="B424" s="1" t="s">
        <v>493</v>
      </c>
      <c r="C424" s="1" t="s">
        <v>51</v>
      </c>
      <c r="D424">
        <v>21</v>
      </c>
      <c r="E424" s="1" t="s">
        <v>46</v>
      </c>
      <c r="F424">
        <v>67</v>
      </c>
      <c r="G424">
        <v>61</v>
      </c>
      <c r="H424">
        <v>29.6</v>
      </c>
      <c r="I424">
        <v>3.1</v>
      </c>
      <c r="J424">
        <v>6.4</v>
      </c>
      <c r="K424">
        <v>0.48</v>
      </c>
      <c r="L424">
        <v>0.8</v>
      </c>
      <c r="M424">
        <v>2.2999999999999998</v>
      </c>
      <c r="N424">
        <v>0.35</v>
      </c>
      <c r="O424">
        <v>2.2999999999999998</v>
      </c>
      <c r="P424">
        <v>4.0999999999999996</v>
      </c>
      <c r="Q424">
        <v>0.55500000000000005</v>
      </c>
      <c r="R424">
        <v>0.54400000000000004</v>
      </c>
      <c r="S424">
        <v>1.8</v>
      </c>
      <c r="T424">
        <v>2.2999999999999998</v>
      </c>
      <c r="U424">
        <v>0.76800000000000002</v>
      </c>
      <c r="V424">
        <v>1.1000000000000001</v>
      </c>
      <c r="W424">
        <v>1.9</v>
      </c>
      <c r="X424">
        <v>3</v>
      </c>
      <c r="Y424">
        <v>1.8</v>
      </c>
      <c r="Z424">
        <v>0.8</v>
      </c>
      <c r="AA424">
        <v>0.3</v>
      </c>
      <c r="AB424">
        <v>0.9</v>
      </c>
      <c r="AC424">
        <v>2.4</v>
      </c>
      <c r="AD424">
        <v>8.8000000000000007</v>
      </c>
      <c r="AE424" t="str">
        <f>IF(OR(_nba2122[[#This Row],[G]]&gt;=58,nba2122_advanced[[#This Row],[MP]]&gt;=1000),"Y","N")</f>
        <v>Y</v>
      </c>
      <c r="AF42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4.9522734534664883</v>
      </c>
    </row>
    <row r="425" spans="1:32" x14ac:dyDescent="0.35">
      <c r="A425">
        <v>424</v>
      </c>
      <c r="B425" s="1" t="s">
        <v>494</v>
      </c>
      <c r="C425" s="1" t="s">
        <v>28</v>
      </c>
      <c r="D425">
        <v>22</v>
      </c>
      <c r="E425" s="1" t="s">
        <v>36</v>
      </c>
      <c r="F425">
        <v>21</v>
      </c>
      <c r="G425">
        <v>0</v>
      </c>
      <c r="H425">
        <v>11.6</v>
      </c>
      <c r="I425">
        <v>1.4</v>
      </c>
      <c r="J425">
        <v>3.3</v>
      </c>
      <c r="K425">
        <v>0.435</v>
      </c>
      <c r="L425">
        <v>0.4</v>
      </c>
      <c r="M425">
        <v>1.2</v>
      </c>
      <c r="N425">
        <v>0.34599999999999997</v>
      </c>
      <c r="O425">
        <v>1</v>
      </c>
      <c r="P425">
        <v>2</v>
      </c>
      <c r="Q425">
        <v>0.48799999999999999</v>
      </c>
      <c r="R425">
        <v>0.5</v>
      </c>
      <c r="S425">
        <v>0.4</v>
      </c>
      <c r="T425">
        <v>0.5</v>
      </c>
      <c r="U425">
        <v>0.72699999999999998</v>
      </c>
      <c r="V425">
        <v>0.5</v>
      </c>
      <c r="W425">
        <v>1.4</v>
      </c>
      <c r="X425">
        <v>2</v>
      </c>
      <c r="Y425">
        <v>0.7</v>
      </c>
      <c r="Z425">
        <v>0.2</v>
      </c>
      <c r="AA425">
        <v>0.3</v>
      </c>
      <c r="AB425">
        <v>0.2</v>
      </c>
      <c r="AC425">
        <v>1.2</v>
      </c>
      <c r="AD425">
        <v>3.7</v>
      </c>
      <c r="AE425" t="str">
        <f>IF(OR(_nba2122[[#This Row],[G]]&gt;=58,nba2122_advanced[[#This Row],[MP]]&gt;=1000),"Y","N")</f>
        <v>N</v>
      </c>
      <c r="AF42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7.8958813812906214</v>
      </c>
    </row>
    <row r="426" spans="1:32" x14ac:dyDescent="0.35">
      <c r="A426">
        <v>425</v>
      </c>
      <c r="B426" s="1" t="s">
        <v>495</v>
      </c>
      <c r="C426" s="1" t="s">
        <v>41</v>
      </c>
      <c r="D426">
        <v>29</v>
      </c>
      <c r="E426" s="1" t="s">
        <v>36</v>
      </c>
      <c r="F426">
        <v>8</v>
      </c>
      <c r="G426">
        <v>1</v>
      </c>
      <c r="H426">
        <v>21.6</v>
      </c>
      <c r="I426">
        <v>4.4000000000000004</v>
      </c>
      <c r="J426">
        <v>9.1</v>
      </c>
      <c r="K426">
        <v>0.47899999999999998</v>
      </c>
      <c r="L426">
        <v>1.9</v>
      </c>
      <c r="M426">
        <v>4.5</v>
      </c>
      <c r="N426">
        <v>0.41699999999999998</v>
      </c>
      <c r="O426">
        <v>2.5</v>
      </c>
      <c r="P426">
        <v>4.5999999999999996</v>
      </c>
      <c r="Q426">
        <v>0.54100000000000004</v>
      </c>
      <c r="R426">
        <v>0.58199999999999996</v>
      </c>
      <c r="S426">
        <v>1.8</v>
      </c>
      <c r="T426">
        <v>2.4</v>
      </c>
      <c r="U426">
        <v>0.73699999999999999</v>
      </c>
      <c r="V426">
        <v>0.4</v>
      </c>
      <c r="W426">
        <v>2.5</v>
      </c>
      <c r="X426">
        <v>2.9</v>
      </c>
      <c r="Y426">
        <v>3.5</v>
      </c>
      <c r="Z426">
        <v>0.6</v>
      </c>
      <c r="AA426">
        <v>0.1</v>
      </c>
      <c r="AB426">
        <v>2</v>
      </c>
      <c r="AC426">
        <v>1.6</v>
      </c>
      <c r="AD426">
        <v>12.4</v>
      </c>
      <c r="AE426" t="str">
        <f>IF(OR(_nba2122[[#This Row],[G]]&gt;=58,nba2122_advanced[[#This Row],[MP]]&gt;=1000),"Y","N")</f>
        <v>N</v>
      </c>
      <c r="AF42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5.4066605975980533</v>
      </c>
    </row>
    <row r="427" spans="1:32" x14ac:dyDescent="0.35">
      <c r="A427">
        <v>426</v>
      </c>
      <c r="B427" s="1" t="s">
        <v>496</v>
      </c>
      <c r="C427" s="1" t="s">
        <v>51</v>
      </c>
      <c r="D427">
        <v>25</v>
      </c>
      <c r="E427" s="1" t="s">
        <v>80</v>
      </c>
      <c r="F427">
        <v>2</v>
      </c>
      <c r="G427">
        <v>0</v>
      </c>
      <c r="H427">
        <v>21.5</v>
      </c>
      <c r="I427">
        <v>5</v>
      </c>
      <c r="J427">
        <v>7.5</v>
      </c>
      <c r="K427">
        <v>0.66700000000000004</v>
      </c>
      <c r="L427">
        <v>0.5</v>
      </c>
      <c r="M427">
        <v>1.5</v>
      </c>
      <c r="N427">
        <v>0.33300000000000002</v>
      </c>
      <c r="O427">
        <v>4.5</v>
      </c>
      <c r="P427">
        <v>6</v>
      </c>
      <c r="Q427">
        <v>0.75</v>
      </c>
      <c r="R427">
        <v>0.7</v>
      </c>
      <c r="S427">
        <v>1</v>
      </c>
      <c r="T427">
        <v>1.5</v>
      </c>
      <c r="U427">
        <v>0.66700000000000004</v>
      </c>
      <c r="V427">
        <v>1</v>
      </c>
      <c r="W427">
        <v>2</v>
      </c>
      <c r="X427">
        <v>3</v>
      </c>
      <c r="Y427">
        <v>1.5</v>
      </c>
      <c r="Z427">
        <v>0.5</v>
      </c>
      <c r="AA427">
        <v>0.5</v>
      </c>
      <c r="AB427">
        <v>0</v>
      </c>
      <c r="AC427">
        <v>2.5</v>
      </c>
      <c r="AD427">
        <v>11.5</v>
      </c>
      <c r="AE427" t="str">
        <f>IF(OR(_nba2122[[#This Row],[G]]&gt;=58,nba2122_advanced[[#This Row],[MP]]&gt;=1000),"Y","N")</f>
        <v>N</v>
      </c>
      <c r="AF42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6.7230738613181211</v>
      </c>
    </row>
    <row r="428" spans="1:32" x14ac:dyDescent="0.35">
      <c r="A428">
        <v>427</v>
      </c>
      <c r="B428" s="1" t="s">
        <v>497</v>
      </c>
      <c r="C428" s="1" t="s">
        <v>31</v>
      </c>
      <c r="D428">
        <v>30</v>
      </c>
      <c r="E428" s="1" t="s">
        <v>105</v>
      </c>
      <c r="F428">
        <v>40</v>
      </c>
      <c r="G428">
        <v>1</v>
      </c>
      <c r="H428">
        <v>19.100000000000001</v>
      </c>
      <c r="I428">
        <v>3.2</v>
      </c>
      <c r="J428">
        <v>7.2</v>
      </c>
      <c r="K428">
        <v>0.44800000000000001</v>
      </c>
      <c r="L428">
        <v>1</v>
      </c>
      <c r="M428">
        <v>3</v>
      </c>
      <c r="N428">
        <v>0.33600000000000002</v>
      </c>
      <c r="O428">
        <v>2.2000000000000002</v>
      </c>
      <c r="P428">
        <v>4.2</v>
      </c>
      <c r="Q428">
        <v>0.52700000000000002</v>
      </c>
      <c r="R428">
        <v>0.51700000000000002</v>
      </c>
      <c r="S428">
        <v>1.7</v>
      </c>
      <c r="T428">
        <v>2.2000000000000002</v>
      </c>
      <c r="U428">
        <v>0.77500000000000002</v>
      </c>
      <c r="V428">
        <v>1.4</v>
      </c>
      <c r="W428">
        <v>3.1</v>
      </c>
      <c r="X428">
        <v>4.4000000000000004</v>
      </c>
      <c r="Y428">
        <v>2.8</v>
      </c>
      <c r="Z428">
        <v>0.8</v>
      </c>
      <c r="AA428">
        <v>0.5</v>
      </c>
      <c r="AB428">
        <v>1.5</v>
      </c>
      <c r="AC428">
        <v>2.5</v>
      </c>
      <c r="AD428">
        <v>9.1</v>
      </c>
      <c r="AE428" t="str">
        <f>IF(OR(_nba2122[[#This Row],[G]]&gt;=58,nba2122_advanced[[#This Row],[MP]]&gt;=1000),"Y","N")</f>
        <v>N</v>
      </c>
      <c r="AF42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2.8559451220335816</v>
      </c>
    </row>
    <row r="429" spans="1:32" x14ac:dyDescent="0.35">
      <c r="A429">
        <v>428</v>
      </c>
      <c r="B429" s="1" t="s">
        <v>498</v>
      </c>
      <c r="C429" s="1" t="s">
        <v>51</v>
      </c>
      <c r="D429">
        <v>24</v>
      </c>
      <c r="E429" s="1" t="s">
        <v>143</v>
      </c>
      <c r="F429">
        <v>4</v>
      </c>
      <c r="G429">
        <v>0</v>
      </c>
      <c r="H429">
        <v>4.5</v>
      </c>
      <c r="I429">
        <v>0.5</v>
      </c>
      <c r="J429">
        <v>1.3</v>
      </c>
      <c r="K429">
        <v>0.4</v>
      </c>
      <c r="L429">
        <v>0.3</v>
      </c>
      <c r="M429">
        <v>0.5</v>
      </c>
      <c r="N429">
        <v>0.5</v>
      </c>
      <c r="O429">
        <v>0.3</v>
      </c>
      <c r="P429">
        <v>0.8</v>
      </c>
      <c r="Q429">
        <v>0.33300000000000002</v>
      </c>
      <c r="R429">
        <v>0.5</v>
      </c>
      <c r="S429">
        <v>0.5</v>
      </c>
      <c r="T429">
        <v>1</v>
      </c>
      <c r="U429">
        <v>0.5</v>
      </c>
      <c r="V429">
        <v>0.5</v>
      </c>
      <c r="W429">
        <v>1.3</v>
      </c>
      <c r="X429">
        <v>1.8</v>
      </c>
      <c r="Y429">
        <v>0.5</v>
      </c>
      <c r="Z429">
        <v>0</v>
      </c>
      <c r="AA429">
        <v>0</v>
      </c>
      <c r="AB429">
        <v>0</v>
      </c>
      <c r="AC429">
        <v>0.5</v>
      </c>
      <c r="AD429">
        <v>1.8</v>
      </c>
      <c r="AE429" t="str">
        <f>IF(OR(_nba2122[[#This Row],[G]]&gt;=58,nba2122_advanced[[#This Row],[MP]]&gt;=1000),"Y","N")</f>
        <v>N</v>
      </c>
      <c r="AF42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13.755702003739701</v>
      </c>
    </row>
    <row r="430" spans="1:32" x14ac:dyDescent="0.35">
      <c r="A430">
        <v>429</v>
      </c>
      <c r="B430" s="1" t="s">
        <v>499</v>
      </c>
      <c r="C430" s="1" t="s">
        <v>41</v>
      </c>
      <c r="D430">
        <v>24</v>
      </c>
      <c r="E430" s="1" t="s">
        <v>70</v>
      </c>
      <c r="F430">
        <v>16</v>
      </c>
      <c r="G430">
        <v>0</v>
      </c>
      <c r="H430">
        <v>2.8</v>
      </c>
      <c r="I430">
        <v>0.1</v>
      </c>
      <c r="J430">
        <v>0.6</v>
      </c>
      <c r="K430">
        <v>0.222</v>
      </c>
      <c r="L430">
        <v>0.1</v>
      </c>
      <c r="M430">
        <v>0.5</v>
      </c>
      <c r="N430">
        <v>0.125</v>
      </c>
      <c r="O430">
        <v>0.1</v>
      </c>
      <c r="P430">
        <v>0.1</v>
      </c>
      <c r="Q430">
        <v>1</v>
      </c>
      <c r="R430">
        <v>0.27800000000000002</v>
      </c>
      <c r="S430">
        <v>0</v>
      </c>
      <c r="T430">
        <v>0.1</v>
      </c>
      <c r="U430">
        <v>0</v>
      </c>
      <c r="V430">
        <v>0.1</v>
      </c>
      <c r="W430">
        <v>0.4</v>
      </c>
      <c r="X430">
        <v>0.4</v>
      </c>
      <c r="Y430">
        <v>0.3</v>
      </c>
      <c r="Z430">
        <v>0</v>
      </c>
      <c r="AA430">
        <v>0</v>
      </c>
      <c r="AB430">
        <v>0.1</v>
      </c>
      <c r="AC430">
        <v>0.4</v>
      </c>
      <c r="AD430">
        <v>0.3</v>
      </c>
      <c r="AE430" t="str">
        <f>IF(OR(_nba2122[[#This Row],[G]]&gt;=58,nba2122_advanced[[#This Row],[MP]]&gt;=1000),"Y","N")</f>
        <v>N</v>
      </c>
      <c r="AF43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14.847569626956068</v>
      </c>
    </row>
    <row r="431" spans="1:32" x14ac:dyDescent="0.35">
      <c r="A431">
        <v>430</v>
      </c>
      <c r="B431" s="1" t="s">
        <v>500</v>
      </c>
      <c r="C431" s="1" t="s">
        <v>51</v>
      </c>
      <c r="D431">
        <v>26</v>
      </c>
      <c r="E431" s="1" t="s">
        <v>46</v>
      </c>
      <c r="F431">
        <v>66</v>
      </c>
      <c r="G431">
        <v>3</v>
      </c>
      <c r="H431">
        <v>22.2</v>
      </c>
      <c r="I431">
        <v>3.7</v>
      </c>
      <c r="J431">
        <v>8.6999999999999993</v>
      </c>
      <c r="K431">
        <v>0.432</v>
      </c>
      <c r="L431">
        <v>1.9</v>
      </c>
      <c r="M431">
        <v>5.4</v>
      </c>
      <c r="N431">
        <v>0.35699999999999998</v>
      </c>
      <c r="O431">
        <v>1.8</v>
      </c>
      <c r="P431">
        <v>3.2</v>
      </c>
      <c r="Q431">
        <v>0.55900000000000005</v>
      </c>
      <c r="R431">
        <v>0.54400000000000004</v>
      </c>
      <c r="S431">
        <v>1.3</v>
      </c>
      <c r="T431">
        <v>2</v>
      </c>
      <c r="U431">
        <v>0.66400000000000003</v>
      </c>
      <c r="V431">
        <v>0.4</v>
      </c>
      <c r="W431">
        <v>1.8</v>
      </c>
      <c r="X431">
        <v>2.2000000000000002</v>
      </c>
      <c r="Y431">
        <v>2</v>
      </c>
      <c r="Z431">
        <v>0.8</v>
      </c>
      <c r="AA431">
        <v>0.2</v>
      </c>
      <c r="AB431">
        <v>1</v>
      </c>
      <c r="AC431">
        <v>1.9</v>
      </c>
      <c r="AD431">
        <v>10.7</v>
      </c>
      <c r="AE431" t="str">
        <f>IF(OR(_nba2122[[#This Row],[G]]&gt;=58,nba2122_advanced[[#This Row],[MP]]&gt;=1000),"Y","N")</f>
        <v>Y</v>
      </c>
      <c r="AF43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4.654813434973585</v>
      </c>
    </row>
    <row r="432" spans="1:32" x14ac:dyDescent="0.35">
      <c r="A432">
        <v>431</v>
      </c>
      <c r="B432" s="1" t="s">
        <v>501</v>
      </c>
      <c r="C432" s="1" t="s">
        <v>31</v>
      </c>
      <c r="D432">
        <v>22</v>
      </c>
      <c r="E432" s="1" t="s">
        <v>32</v>
      </c>
      <c r="F432">
        <v>3</v>
      </c>
      <c r="G432">
        <v>0</v>
      </c>
      <c r="H432">
        <v>9</v>
      </c>
      <c r="I432">
        <v>1</v>
      </c>
      <c r="J432">
        <v>2</v>
      </c>
      <c r="K432">
        <v>0.5</v>
      </c>
      <c r="L432">
        <v>0</v>
      </c>
      <c r="M432">
        <v>0.3</v>
      </c>
      <c r="N432">
        <v>0</v>
      </c>
      <c r="O432">
        <v>1</v>
      </c>
      <c r="P432">
        <v>1.7</v>
      </c>
      <c r="Q432">
        <v>0.6</v>
      </c>
      <c r="R432">
        <v>0.5</v>
      </c>
      <c r="S432">
        <v>1</v>
      </c>
      <c r="T432">
        <v>1.7</v>
      </c>
      <c r="U432">
        <v>0.6</v>
      </c>
      <c r="V432">
        <v>0.3</v>
      </c>
      <c r="W432">
        <v>1.3</v>
      </c>
      <c r="X432">
        <v>1.7</v>
      </c>
      <c r="Y432">
        <v>0</v>
      </c>
      <c r="Z432">
        <v>0</v>
      </c>
      <c r="AA432">
        <v>0.7</v>
      </c>
      <c r="AB432">
        <v>0</v>
      </c>
      <c r="AC432">
        <v>0.3</v>
      </c>
      <c r="AD432">
        <v>3</v>
      </c>
      <c r="AE432" t="str">
        <f>IF(OR(_nba2122[[#This Row],[G]]&gt;=58,nba2122_advanced[[#This Row],[MP]]&gt;=1000),"Y","N")</f>
        <v>N</v>
      </c>
      <c r="AF43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16.446288892061254</v>
      </c>
    </row>
    <row r="433" spans="1:32" x14ac:dyDescent="0.35">
      <c r="A433">
        <v>432</v>
      </c>
      <c r="B433" s="1" t="s">
        <v>502</v>
      </c>
      <c r="C433" s="1" t="s">
        <v>51</v>
      </c>
      <c r="D433">
        <v>26</v>
      </c>
      <c r="E433" s="1" t="s">
        <v>73</v>
      </c>
      <c r="F433">
        <v>76</v>
      </c>
      <c r="G433">
        <v>13</v>
      </c>
      <c r="H433">
        <v>26.3</v>
      </c>
      <c r="I433">
        <v>5.4</v>
      </c>
      <c r="J433">
        <v>12.3</v>
      </c>
      <c r="K433">
        <v>0.44</v>
      </c>
      <c r="L433">
        <v>2.5</v>
      </c>
      <c r="M433">
        <v>7.3</v>
      </c>
      <c r="N433">
        <v>0.34499999999999997</v>
      </c>
      <c r="O433">
        <v>2.9</v>
      </c>
      <c r="P433">
        <v>5</v>
      </c>
      <c r="Q433">
        <v>0.57799999999999996</v>
      </c>
      <c r="R433">
        <v>0.54200000000000004</v>
      </c>
      <c r="S433">
        <v>1.7</v>
      </c>
      <c r="T433">
        <v>2.5</v>
      </c>
      <c r="U433">
        <v>0.66700000000000004</v>
      </c>
      <c r="V433">
        <v>1</v>
      </c>
      <c r="W433">
        <v>2.9</v>
      </c>
      <c r="X433">
        <v>4</v>
      </c>
      <c r="Y433">
        <v>1.1000000000000001</v>
      </c>
      <c r="Z433">
        <v>1</v>
      </c>
      <c r="AA433">
        <v>0.4</v>
      </c>
      <c r="AB433">
        <v>0.9</v>
      </c>
      <c r="AC433">
        <v>2.5</v>
      </c>
      <c r="AD433">
        <v>15</v>
      </c>
      <c r="AE433" t="str">
        <f>IF(OR(_nba2122[[#This Row],[G]]&gt;=58,nba2122_advanced[[#This Row],[MP]]&gt;=1000),"Y","N")</f>
        <v>Y</v>
      </c>
      <c r="AF43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4.6550108171440385</v>
      </c>
    </row>
    <row r="434" spans="1:32" x14ac:dyDescent="0.35">
      <c r="A434">
        <v>433</v>
      </c>
      <c r="B434" s="1" t="s">
        <v>503</v>
      </c>
      <c r="C434" s="1" t="s">
        <v>48</v>
      </c>
      <c r="D434">
        <v>27</v>
      </c>
      <c r="E434" s="1" t="s">
        <v>105</v>
      </c>
      <c r="F434">
        <v>1</v>
      </c>
      <c r="G434">
        <v>0</v>
      </c>
      <c r="H434">
        <v>7</v>
      </c>
      <c r="I434">
        <v>0</v>
      </c>
      <c r="J434">
        <v>3</v>
      </c>
      <c r="K434">
        <v>0</v>
      </c>
      <c r="L434">
        <v>0</v>
      </c>
      <c r="M434">
        <v>2</v>
      </c>
      <c r="N434">
        <v>0</v>
      </c>
      <c r="O434">
        <v>0</v>
      </c>
      <c r="P434">
        <v>1</v>
      </c>
      <c r="Q434">
        <v>0</v>
      </c>
      <c r="R434">
        <v>0</v>
      </c>
      <c r="S434">
        <v>0</v>
      </c>
      <c r="T434">
        <v>0</v>
      </c>
      <c r="V434">
        <v>0</v>
      </c>
      <c r="W434">
        <v>1</v>
      </c>
      <c r="X434">
        <v>1</v>
      </c>
      <c r="Y434">
        <v>1</v>
      </c>
      <c r="Z434">
        <v>0</v>
      </c>
      <c r="AA434">
        <v>0</v>
      </c>
      <c r="AB434">
        <v>1</v>
      </c>
      <c r="AC434">
        <v>2</v>
      </c>
      <c r="AD434">
        <v>0</v>
      </c>
      <c r="AE434" t="str">
        <f>IF(OR(_nba2122[[#This Row],[G]]&gt;=58,nba2122_advanced[[#This Row],[MP]]&gt;=1000),"Y","N")</f>
        <v>N</v>
      </c>
      <c r="AF43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16.686343777100788</v>
      </c>
    </row>
    <row r="435" spans="1:32" x14ac:dyDescent="0.35">
      <c r="A435">
        <v>434</v>
      </c>
      <c r="B435" s="1" t="s">
        <v>504</v>
      </c>
      <c r="C435" s="1" t="s">
        <v>41</v>
      </c>
      <c r="D435">
        <v>27</v>
      </c>
      <c r="E435" s="1" t="s">
        <v>105</v>
      </c>
      <c r="F435">
        <v>1</v>
      </c>
      <c r="G435">
        <v>0</v>
      </c>
      <c r="H435">
        <v>17</v>
      </c>
      <c r="I435">
        <v>0</v>
      </c>
      <c r="J435">
        <v>1</v>
      </c>
      <c r="K435">
        <v>0</v>
      </c>
      <c r="L435">
        <v>0</v>
      </c>
      <c r="M435">
        <v>0</v>
      </c>
      <c r="O435">
        <v>0</v>
      </c>
      <c r="P435">
        <v>1</v>
      </c>
      <c r="Q435">
        <v>0</v>
      </c>
      <c r="R435">
        <v>0</v>
      </c>
      <c r="S435">
        <v>0</v>
      </c>
      <c r="T435">
        <v>0</v>
      </c>
      <c r="V435">
        <v>0</v>
      </c>
      <c r="W435">
        <v>2</v>
      </c>
      <c r="X435">
        <v>2</v>
      </c>
      <c r="Y435">
        <v>0</v>
      </c>
      <c r="Z435">
        <v>0</v>
      </c>
      <c r="AA435">
        <v>0</v>
      </c>
      <c r="AB435">
        <v>1</v>
      </c>
      <c r="AC435">
        <v>2</v>
      </c>
      <c r="AD435">
        <v>0</v>
      </c>
      <c r="AE435" t="str">
        <f>IF(OR(_nba2122[[#This Row],[G]]&gt;=58,nba2122_advanced[[#This Row],[MP]]&gt;=1000),"Y","N")</f>
        <v>N</v>
      </c>
      <c r="AF43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19.688541931445933</v>
      </c>
    </row>
    <row r="436" spans="1:32" x14ac:dyDescent="0.35">
      <c r="A436">
        <v>435</v>
      </c>
      <c r="B436" s="1" t="s">
        <v>505</v>
      </c>
      <c r="C436" s="1" t="s">
        <v>48</v>
      </c>
      <c r="D436">
        <v>29</v>
      </c>
      <c r="E436" s="1" t="s">
        <v>46</v>
      </c>
      <c r="F436">
        <v>24</v>
      </c>
      <c r="G436">
        <v>3</v>
      </c>
      <c r="H436">
        <v>6.9</v>
      </c>
      <c r="I436">
        <v>0.6</v>
      </c>
      <c r="J436">
        <v>1.9</v>
      </c>
      <c r="K436">
        <v>0.32600000000000001</v>
      </c>
      <c r="L436">
        <v>0.3</v>
      </c>
      <c r="M436">
        <v>1.1000000000000001</v>
      </c>
      <c r="N436">
        <v>0.23100000000000001</v>
      </c>
      <c r="O436">
        <v>0.4</v>
      </c>
      <c r="P436">
        <v>0.8</v>
      </c>
      <c r="Q436">
        <v>0.45</v>
      </c>
      <c r="R436">
        <v>0.39100000000000001</v>
      </c>
      <c r="S436">
        <v>0.1</v>
      </c>
      <c r="T436">
        <v>0.2</v>
      </c>
      <c r="U436">
        <v>0.75</v>
      </c>
      <c r="V436">
        <v>0.1</v>
      </c>
      <c r="W436">
        <v>0.4</v>
      </c>
      <c r="X436">
        <v>0.5</v>
      </c>
      <c r="Y436">
        <v>1.3</v>
      </c>
      <c r="Z436">
        <v>0.1</v>
      </c>
      <c r="AA436">
        <v>0</v>
      </c>
      <c r="AB436">
        <v>0.3</v>
      </c>
      <c r="AC436">
        <v>0.5</v>
      </c>
      <c r="AD436">
        <v>1.6</v>
      </c>
      <c r="AE436" t="str">
        <f>IF(OR(_nba2122[[#This Row],[G]]&gt;=58,nba2122_advanced[[#This Row],[MP]]&gt;=1000),"Y","N")</f>
        <v>N</v>
      </c>
      <c r="AF43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11.360166114247834</v>
      </c>
    </row>
    <row r="437" spans="1:32" x14ac:dyDescent="0.35">
      <c r="A437">
        <v>436</v>
      </c>
      <c r="B437" s="1" t="s">
        <v>506</v>
      </c>
      <c r="C437" s="1" t="s">
        <v>28</v>
      </c>
      <c r="D437">
        <v>26</v>
      </c>
      <c r="E437" s="1" t="s">
        <v>140</v>
      </c>
      <c r="F437">
        <v>12</v>
      </c>
      <c r="G437">
        <v>0</v>
      </c>
      <c r="H437">
        <v>9.3000000000000007</v>
      </c>
      <c r="I437">
        <v>1.5</v>
      </c>
      <c r="J437">
        <v>3.2</v>
      </c>
      <c r="K437">
        <v>0.47399999999999998</v>
      </c>
      <c r="L437">
        <v>0.7</v>
      </c>
      <c r="M437">
        <v>1.3</v>
      </c>
      <c r="N437">
        <v>0.5</v>
      </c>
      <c r="O437">
        <v>0.8</v>
      </c>
      <c r="P437">
        <v>1.8</v>
      </c>
      <c r="Q437">
        <v>0.45500000000000002</v>
      </c>
      <c r="R437">
        <v>0.57899999999999996</v>
      </c>
      <c r="S437">
        <v>0.8</v>
      </c>
      <c r="T437">
        <v>0.8</v>
      </c>
      <c r="U437">
        <v>1</v>
      </c>
      <c r="V437">
        <v>0.4</v>
      </c>
      <c r="W437">
        <v>1.9</v>
      </c>
      <c r="X437">
        <v>2.2999999999999998</v>
      </c>
      <c r="Y437">
        <v>0.5</v>
      </c>
      <c r="Z437">
        <v>0.3</v>
      </c>
      <c r="AA437">
        <v>0.1</v>
      </c>
      <c r="AB437">
        <v>0.7</v>
      </c>
      <c r="AC437">
        <v>1.1000000000000001</v>
      </c>
      <c r="AD437">
        <v>4.4000000000000004</v>
      </c>
      <c r="AE437" t="str">
        <f>IF(OR(_nba2122[[#This Row],[G]]&gt;=58,nba2122_advanced[[#This Row],[MP]]&gt;=1000),"Y","N")</f>
        <v>N</v>
      </c>
      <c r="AF43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7.2920520215305187</v>
      </c>
    </row>
    <row r="438" spans="1:32" x14ac:dyDescent="0.35">
      <c r="A438">
        <v>437</v>
      </c>
      <c r="B438" s="1" t="s">
        <v>507</v>
      </c>
      <c r="C438" s="1" t="s">
        <v>28</v>
      </c>
      <c r="D438">
        <v>25</v>
      </c>
      <c r="E438" s="1" t="s">
        <v>70</v>
      </c>
      <c r="F438">
        <v>58</v>
      </c>
      <c r="G438">
        <v>3</v>
      </c>
      <c r="H438">
        <v>12.7</v>
      </c>
      <c r="I438">
        <v>2</v>
      </c>
      <c r="J438">
        <v>4.0999999999999996</v>
      </c>
      <c r="K438">
        <v>0.48499999999999999</v>
      </c>
      <c r="L438">
        <v>0.7</v>
      </c>
      <c r="M438">
        <v>1.9</v>
      </c>
      <c r="N438">
        <v>0.37</v>
      </c>
      <c r="O438">
        <v>1.3</v>
      </c>
      <c r="P438">
        <v>2.2000000000000002</v>
      </c>
      <c r="Q438">
        <v>0.58299999999999996</v>
      </c>
      <c r="R438">
        <v>0.56999999999999995</v>
      </c>
      <c r="S438">
        <v>1.1000000000000001</v>
      </c>
      <c r="T438">
        <v>1.5</v>
      </c>
      <c r="U438">
        <v>0.76700000000000002</v>
      </c>
      <c r="V438">
        <v>0.5</v>
      </c>
      <c r="W438">
        <v>1.3</v>
      </c>
      <c r="X438">
        <v>1.8</v>
      </c>
      <c r="Y438">
        <v>0.6</v>
      </c>
      <c r="Z438">
        <v>0.2</v>
      </c>
      <c r="AA438">
        <v>0.1</v>
      </c>
      <c r="AB438">
        <v>0.5</v>
      </c>
      <c r="AC438">
        <v>0.9</v>
      </c>
      <c r="AD438">
        <v>5.8</v>
      </c>
      <c r="AE438" t="str">
        <f>IF(OR(_nba2122[[#This Row],[G]]&gt;=58,nba2122_advanced[[#This Row],[MP]]&gt;=1000),"Y","N")</f>
        <v>Y</v>
      </c>
      <c r="AF43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8.000922439043622</v>
      </c>
    </row>
    <row r="439" spans="1:32" x14ac:dyDescent="0.35">
      <c r="A439">
        <v>438</v>
      </c>
      <c r="B439" s="1" t="s">
        <v>508</v>
      </c>
      <c r="C439" s="1" t="s">
        <v>48</v>
      </c>
      <c r="D439">
        <v>36</v>
      </c>
      <c r="E439" s="1" t="s">
        <v>68</v>
      </c>
      <c r="F439">
        <v>65</v>
      </c>
      <c r="G439">
        <v>65</v>
      </c>
      <c r="H439">
        <v>32.9</v>
      </c>
      <c r="I439">
        <v>5.6</v>
      </c>
      <c r="J439">
        <v>11.3</v>
      </c>
      <c r="K439">
        <v>0.49299999999999999</v>
      </c>
      <c r="L439">
        <v>1</v>
      </c>
      <c r="M439">
        <v>3.1</v>
      </c>
      <c r="N439">
        <v>0.317</v>
      </c>
      <c r="O439">
        <v>4.5999999999999996</v>
      </c>
      <c r="P439">
        <v>8.3000000000000007</v>
      </c>
      <c r="Q439">
        <v>0.55900000000000005</v>
      </c>
      <c r="R439">
        <v>0.53600000000000003</v>
      </c>
      <c r="S439">
        <v>2.6</v>
      </c>
      <c r="T439">
        <v>3.1</v>
      </c>
      <c r="U439">
        <v>0.83699999999999997</v>
      </c>
      <c r="V439">
        <v>0.3</v>
      </c>
      <c r="W439">
        <v>4</v>
      </c>
      <c r="X439">
        <v>4.4000000000000004</v>
      </c>
      <c r="Y439">
        <v>10.8</v>
      </c>
      <c r="Z439">
        <v>1.9</v>
      </c>
      <c r="AA439">
        <v>0.3</v>
      </c>
      <c r="AB439">
        <v>2.4</v>
      </c>
      <c r="AC439">
        <v>2.1</v>
      </c>
      <c r="AD439">
        <v>14.7</v>
      </c>
      <c r="AE439" t="str">
        <f>IF(OR(_nba2122[[#This Row],[G]]&gt;=58,nba2122_advanced[[#This Row],[MP]]&gt;=1000),"Y","N")</f>
        <v>Y</v>
      </c>
      <c r="AF43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10.212033814113967</v>
      </c>
    </row>
    <row r="440" spans="1:32" x14ac:dyDescent="0.35">
      <c r="A440">
        <v>439</v>
      </c>
      <c r="B440" s="1" t="s">
        <v>509</v>
      </c>
      <c r="C440" s="1" t="s">
        <v>48</v>
      </c>
      <c r="D440">
        <v>27</v>
      </c>
      <c r="E440" s="1" t="s">
        <v>68</v>
      </c>
      <c r="F440">
        <v>58</v>
      </c>
      <c r="G440">
        <v>12</v>
      </c>
      <c r="H440">
        <v>22</v>
      </c>
      <c r="I440">
        <v>4.0999999999999996</v>
      </c>
      <c r="J440">
        <v>10.1</v>
      </c>
      <c r="K440">
        <v>0.40899999999999997</v>
      </c>
      <c r="L440">
        <v>1.2</v>
      </c>
      <c r="M440">
        <v>3.6</v>
      </c>
      <c r="N440">
        <v>0.33600000000000002</v>
      </c>
      <c r="O440">
        <v>2.9</v>
      </c>
      <c r="P440">
        <v>6.5</v>
      </c>
      <c r="Q440">
        <v>0.44900000000000001</v>
      </c>
      <c r="R440">
        <v>0.46899999999999997</v>
      </c>
      <c r="S440">
        <v>1.3</v>
      </c>
      <c r="T440">
        <v>1.5</v>
      </c>
      <c r="U440">
        <v>0.84299999999999997</v>
      </c>
      <c r="V440">
        <v>0.4</v>
      </c>
      <c r="W440">
        <v>2.6</v>
      </c>
      <c r="X440">
        <v>3</v>
      </c>
      <c r="Y440">
        <v>4.9000000000000004</v>
      </c>
      <c r="Z440">
        <v>0.7</v>
      </c>
      <c r="AA440">
        <v>0.3</v>
      </c>
      <c r="AB440">
        <v>1.8</v>
      </c>
      <c r="AC440">
        <v>2.1</v>
      </c>
      <c r="AD440">
        <v>10.8</v>
      </c>
      <c r="AE440" t="str">
        <f>IF(OR(_nba2122[[#This Row],[G]]&gt;=58,nba2122_advanced[[#This Row],[MP]]&gt;=1000),"Y","N")</f>
        <v>Y</v>
      </c>
      <c r="AF44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5.0842505191669298</v>
      </c>
    </row>
    <row r="441" spans="1:32" x14ac:dyDescent="0.35">
      <c r="A441">
        <v>440</v>
      </c>
      <c r="B441" s="1" t="s">
        <v>510</v>
      </c>
      <c r="C441" s="1" t="s">
        <v>48</v>
      </c>
      <c r="D441">
        <v>27</v>
      </c>
      <c r="E441" s="1" t="s">
        <v>68</v>
      </c>
      <c r="F441">
        <v>50</v>
      </c>
      <c r="G441">
        <v>1</v>
      </c>
      <c r="H441">
        <v>11</v>
      </c>
      <c r="I441">
        <v>1.3</v>
      </c>
      <c r="J441">
        <v>3.5</v>
      </c>
      <c r="K441">
        <v>0.38300000000000001</v>
      </c>
      <c r="L441">
        <v>0.1</v>
      </c>
      <c r="M441">
        <v>0.4</v>
      </c>
      <c r="N441">
        <v>0.222</v>
      </c>
      <c r="O441">
        <v>1.3</v>
      </c>
      <c r="P441">
        <v>3.1</v>
      </c>
      <c r="Q441">
        <v>0.40100000000000002</v>
      </c>
      <c r="R441">
        <v>0.39400000000000002</v>
      </c>
      <c r="S441">
        <v>0.2</v>
      </c>
      <c r="T441">
        <v>0.6</v>
      </c>
      <c r="U441">
        <v>0.375</v>
      </c>
      <c r="V441">
        <v>0.4</v>
      </c>
      <c r="W441">
        <v>1.3</v>
      </c>
      <c r="X441">
        <v>1.8</v>
      </c>
      <c r="Y441">
        <v>2</v>
      </c>
      <c r="Z441">
        <v>0.5</v>
      </c>
      <c r="AA441">
        <v>0.1</v>
      </c>
      <c r="AB441">
        <v>0.9</v>
      </c>
      <c r="AC441">
        <v>0.8</v>
      </c>
      <c r="AD441">
        <v>3</v>
      </c>
      <c r="AE441" t="str">
        <f>IF(OR(_nba2122[[#This Row],[G]]&gt;=58,nba2122_advanced[[#This Row],[MP]]&gt;=1000),"Y","N")</f>
        <v>N</v>
      </c>
      <c r="AF44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9.0059159269946161</v>
      </c>
    </row>
    <row r="442" spans="1:32" x14ac:dyDescent="0.35">
      <c r="A442">
        <v>441</v>
      </c>
      <c r="B442" s="1" t="s">
        <v>511</v>
      </c>
      <c r="C442" s="1" t="s">
        <v>48</v>
      </c>
      <c r="D442">
        <v>29</v>
      </c>
      <c r="E442" s="1" t="s">
        <v>111</v>
      </c>
      <c r="F442">
        <v>71</v>
      </c>
      <c r="G442">
        <v>16</v>
      </c>
      <c r="H442">
        <v>17.600000000000001</v>
      </c>
      <c r="I442">
        <v>3</v>
      </c>
      <c r="J442">
        <v>4.8</v>
      </c>
      <c r="K442">
        <v>0.61599999999999999</v>
      </c>
      <c r="L442">
        <v>0.6</v>
      </c>
      <c r="M442">
        <v>1.7</v>
      </c>
      <c r="N442">
        <v>0.35799999999999998</v>
      </c>
      <c r="O442">
        <v>2.4</v>
      </c>
      <c r="P442">
        <v>3.2</v>
      </c>
      <c r="Q442">
        <v>0.754</v>
      </c>
      <c r="R442">
        <v>0.67900000000000005</v>
      </c>
      <c r="S442">
        <v>0.5</v>
      </c>
      <c r="T442">
        <v>0.8</v>
      </c>
      <c r="U442">
        <v>0.60299999999999998</v>
      </c>
      <c r="V442">
        <v>1</v>
      </c>
      <c r="W442">
        <v>2.5</v>
      </c>
      <c r="X442">
        <v>3.5</v>
      </c>
      <c r="Y442">
        <v>0.9</v>
      </c>
      <c r="Z442">
        <v>1.4</v>
      </c>
      <c r="AA442">
        <v>0.3</v>
      </c>
      <c r="AB442">
        <v>0.6</v>
      </c>
      <c r="AC442">
        <v>1.8</v>
      </c>
      <c r="AD442">
        <v>7.1</v>
      </c>
      <c r="AE442" t="str">
        <f>IF(OR(_nba2122[[#This Row],[G]]&gt;=58,nba2122_advanced[[#This Row],[MP]]&gt;=1000),"Y","N")</f>
        <v>Y</v>
      </c>
      <c r="AF44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7.0789704072956372</v>
      </c>
    </row>
    <row r="443" spans="1:32" x14ac:dyDescent="0.35">
      <c r="A443">
        <v>442</v>
      </c>
      <c r="B443" s="1" t="s">
        <v>512</v>
      </c>
      <c r="C443" s="1" t="s">
        <v>31</v>
      </c>
      <c r="D443">
        <v>28</v>
      </c>
      <c r="E443" s="1" t="s">
        <v>70</v>
      </c>
      <c r="F443">
        <v>3</v>
      </c>
      <c r="G443">
        <v>0</v>
      </c>
      <c r="H443">
        <v>6.3</v>
      </c>
      <c r="I443">
        <v>1</v>
      </c>
      <c r="J443">
        <v>1.7</v>
      </c>
      <c r="K443">
        <v>0.6</v>
      </c>
      <c r="L443">
        <v>0</v>
      </c>
      <c r="M443">
        <v>0</v>
      </c>
      <c r="O443">
        <v>1</v>
      </c>
      <c r="P443">
        <v>1.7</v>
      </c>
      <c r="Q443">
        <v>0.6</v>
      </c>
      <c r="R443">
        <v>0.6</v>
      </c>
      <c r="S443">
        <v>0</v>
      </c>
      <c r="T443">
        <v>0</v>
      </c>
      <c r="V443">
        <v>1</v>
      </c>
      <c r="W443">
        <v>1</v>
      </c>
      <c r="X443">
        <v>2</v>
      </c>
      <c r="Y443">
        <v>0</v>
      </c>
      <c r="Z443">
        <v>0</v>
      </c>
      <c r="AA443">
        <v>0.3</v>
      </c>
      <c r="AB443">
        <v>0.7</v>
      </c>
      <c r="AC443">
        <v>0.3</v>
      </c>
      <c r="AD443">
        <v>2</v>
      </c>
      <c r="AE443" t="str">
        <f>IF(OR(_nba2122[[#This Row],[G]]&gt;=58,nba2122_advanced[[#This Row],[MP]]&gt;=1000),"Y","N")</f>
        <v>N</v>
      </c>
      <c r="AF44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15.709605459941738</v>
      </c>
    </row>
    <row r="444" spans="1:32" x14ac:dyDescent="0.35">
      <c r="A444">
        <v>443</v>
      </c>
      <c r="B444" s="1" t="s">
        <v>513</v>
      </c>
      <c r="C444" s="1" t="s">
        <v>28</v>
      </c>
      <c r="D444">
        <v>21</v>
      </c>
      <c r="E444" s="1" t="s">
        <v>42</v>
      </c>
      <c r="F444">
        <v>10</v>
      </c>
      <c r="G444">
        <v>1</v>
      </c>
      <c r="H444">
        <v>18.7</v>
      </c>
      <c r="I444">
        <v>4</v>
      </c>
      <c r="J444">
        <v>7.9</v>
      </c>
      <c r="K444">
        <v>0.50600000000000001</v>
      </c>
      <c r="L444">
        <v>0.3</v>
      </c>
      <c r="M444">
        <v>1.6</v>
      </c>
      <c r="N444">
        <v>0.188</v>
      </c>
      <c r="O444">
        <v>3.7</v>
      </c>
      <c r="P444">
        <v>6.3</v>
      </c>
      <c r="Q444">
        <v>0.58699999999999997</v>
      </c>
      <c r="R444">
        <v>0.52500000000000002</v>
      </c>
      <c r="S444">
        <v>0.9</v>
      </c>
      <c r="T444">
        <v>1.5</v>
      </c>
      <c r="U444">
        <v>0.6</v>
      </c>
      <c r="V444">
        <v>1.5</v>
      </c>
      <c r="W444">
        <v>3.2</v>
      </c>
      <c r="X444">
        <v>4.7</v>
      </c>
      <c r="Y444">
        <v>1.2</v>
      </c>
      <c r="Z444">
        <v>0.9</v>
      </c>
      <c r="AA444">
        <v>0.6</v>
      </c>
      <c r="AB444">
        <v>1.1000000000000001</v>
      </c>
      <c r="AC444">
        <v>3.3</v>
      </c>
      <c r="AD444">
        <v>9.1999999999999993</v>
      </c>
      <c r="AE444" t="str">
        <f>IF(OR(_nba2122[[#This Row],[G]]&gt;=58,nba2122_advanced[[#This Row],[MP]]&gt;=1000),"Y","N")</f>
        <v>N</v>
      </c>
      <c r="AF44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5.7627474851427349</v>
      </c>
    </row>
    <row r="445" spans="1:32" x14ac:dyDescent="0.35">
      <c r="A445">
        <v>444</v>
      </c>
      <c r="B445" s="1" t="s">
        <v>514</v>
      </c>
      <c r="C445" s="1" t="s">
        <v>28</v>
      </c>
      <c r="D445">
        <v>24</v>
      </c>
      <c r="E445" s="1" t="s">
        <v>105</v>
      </c>
      <c r="F445">
        <v>13</v>
      </c>
      <c r="G445">
        <v>0</v>
      </c>
      <c r="H445">
        <v>13.5</v>
      </c>
      <c r="I445">
        <v>1.4</v>
      </c>
      <c r="J445">
        <v>3.8</v>
      </c>
      <c r="K445">
        <v>0.36</v>
      </c>
      <c r="L445">
        <v>1</v>
      </c>
      <c r="M445">
        <v>3</v>
      </c>
      <c r="N445">
        <v>0.33300000000000002</v>
      </c>
      <c r="O445">
        <v>0.4</v>
      </c>
      <c r="P445">
        <v>0.8</v>
      </c>
      <c r="Q445">
        <v>0.45500000000000002</v>
      </c>
      <c r="R445">
        <v>0.49</v>
      </c>
      <c r="S445">
        <v>0.1</v>
      </c>
      <c r="T445">
        <v>0.2</v>
      </c>
      <c r="U445">
        <v>0.5</v>
      </c>
      <c r="V445">
        <v>0.5</v>
      </c>
      <c r="W445">
        <v>2</v>
      </c>
      <c r="X445">
        <v>2.5</v>
      </c>
      <c r="Y445">
        <v>0.5</v>
      </c>
      <c r="Z445">
        <v>0</v>
      </c>
      <c r="AA445">
        <v>0.5</v>
      </c>
      <c r="AB445">
        <v>0.4</v>
      </c>
      <c r="AC445">
        <v>0.9</v>
      </c>
      <c r="AD445">
        <v>3.8</v>
      </c>
      <c r="AE445" t="str">
        <f>IF(OR(_nba2122[[#This Row],[G]]&gt;=58,nba2122_advanced[[#This Row],[MP]]&gt;=1000),"Y","N")</f>
        <v>N</v>
      </c>
      <c r="AF44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10.605291526061359</v>
      </c>
    </row>
    <row r="446" spans="1:32" x14ac:dyDescent="0.35">
      <c r="A446">
        <v>445</v>
      </c>
      <c r="B446" s="1" t="s">
        <v>515</v>
      </c>
      <c r="C446" s="1" t="s">
        <v>51</v>
      </c>
      <c r="D446">
        <v>26</v>
      </c>
      <c r="E446" s="1" t="s">
        <v>143</v>
      </c>
      <c r="F446">
        <v>19</v>
      </c>
      <c r="G446">
        <v>0</v>
      </c>
      <c r="H446">
        <v>7.8</v>
      </c>
      <c r="I446">
        <v>0.7</v>
      </c>
      <c r="J446">
        <v>2.1</v>
      </c>
      <c r="K446">
        <v>0.35899999999999999</v>
      </c>
      <c r="L446">
        <v>0.5</v>
      </c>
      <c r="M446">
        <v>1.6</v>
      </c>
      <c r="N446">
        <v>0.33300000000000002</v>
      </c>
      <c r="O446">
        <v>0.2</v>
      </c>
      <c r="P446">
        <v>0.5</v>
      </c>
      <c r="Q446">
        <v>0.44400000000000001</v>
      </c>
      <c r="R446">
        <v>0.48699999999999999</v>
      </c>
      <c r="S446">
        <v>0.5</v>
      </c>
      <c r="T446">
        <v>0.5</v>
      </c>
      <c r="U446">
        <v>1</v>
      </c>
      <c r="V446">
        <v>0.1</v>
      </c>
      <c r="W446">
        <v>1</v>
      </c>
      <c r="X446">
        <v>1.1000000000000001</v>
      </c>
      <c r="Y446">
        <v>0.9</v>
      </c>
      <c r="Z446">
        <v>0.3</v>
      </c>
      <c r="AA446">
        <v>0.1</v>
      </c>
      <c r="AB446">
        <v>0.3</v>
      </c>
      <c r="AC446">
        <v>0.6</v>
      </c>
      <c r="AD446">
        <v>2.5</v>
      </c>
      <c r="AE446" t="str">
        <f>IF(OR(_nba2122[[#This Row],[G]]&gt;=58,nba2122_advanced[[#This Row],[MP]]&gt;=1000),"Y","N")</f>
        <v>N</v>
      </c>
      <c r="AF44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8.0150877177089725</v>
      </c>
    </row>
    <row r="447" spans="1:32" x14ac:dyDescent="0.35">
      <c r="A447">
        <v>446</v>
      </c>
      <c r="B447" s="1" t="s">
        <v>516</v>
      </c>
      <c r="C447" s="1" t="s">
        <v>31</v>
      </c>
      <c r="D447">
        <v>31</v>
      </c>
      <c r="E447" s="1" t="s">
        <v>73</v>
      </c>
      <c r="F447">
        <v>73</v>
      </c>
      <c r="G447">
        <v>73</v>
      </c>
      <c r="H447">
        <v>24.6</v>
      </c>
      <c r="I447">
        <v>2.8</v>
      </c>
      <c r="J447">
        <v>4.4000000000000004</v>
      </c>
      <c r="K447">
        <v>0.64100000000000001</v>
      </c>
      <c r="L447">
        <v>0</v>
      </c>
      <c r="M447">
        <v>0</v>
      </c>
      <c r="N447">
        <v>0</v>
      </c>
      <c r="O447">
        <v>2.8</v>
      </c>
      <c r="P447">
        <v>4.4000000000000004</v>
      </c>
      <c r="Q447">
        <v>0.64500000000000002</v>
      </c>
      <c r="R447">
        <v>0.64100000000000001</v>
      </c>
      <c r="S447">
        <v>0.9</v>
      </c>
      <c r="T447">
        <v>2.2999999999999998</v>
      </c>
      <c r="U447">
        <v>0.39200000000000002</v>
      </c>
      <c r="V447">
        <v>2.4</v>
      </c>
      <c r="W447">
        <v>5.3</v>
      </c>
      <c r="X447">
        <v>7.7</v>
      </c>
      <c r="Y447">
        <v>3.1</v>
      </c>
      <c r="Z447">
        <v>0.8</v>
      </c>
      <c r="AA447">
        <v>0.7</v>
      </c>
      <c r="AB447">
        <v>1.4</v>
      </c>
      <c r="AC447">
        <v>3.1</v>
      </c>
      <c r="AD447">
        <v>6.5</v>
      </c>
      <c r="AE447" t="str">
        <f>IF(OR(_nba2122[[#This Row],[G]]&gt;=58,nba2122_advanced[[#This Row],[MP]]&gt;=1000),"Y","N")</f>
        <v>Y</v>
      </c>
      <c r="AF44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8.6973228276271204</v>
      </c>
    </row>
    <row r="448" spans="1:32" x14ac:dyDescent="0.35">
      <c r="A448">
        <v>447</v>
      </c>
      <c r="B448" s="1" t="s">
        <v>517</v>
      </c>
      <c r="C448" s="1" t="s">
        <v>31</v>
      </c>
      <c r="D448">
        <v>26</v>
      </c>
      <c r="E448" s="1" t="s">
        <v>91</v>
      </c>
      <c r="F448">
        <v>68</v>
      </c>
      <c r="G448">
        <v>67</v>
      </c>
      <c r="H448">
        <v>29</v>
      </c>
      <c r="I448">
        <v>6</v>
      </c>
      <c r="J448">
        <v>9.8000000000000007</v>
      </c>
      <c r="K448">
        <v>0.61799999999999999</v>
      </c>
      <c r="L448">
        <v>0</v>
      </c>
      <c r="M448">
        <v>0</v>
      </c>
      <c r="N448">
        <v>1</v>
      </c>
      <c r="O448">
        <v>6</v>
      </c>
      <c r="P448">
        <v>9.6999999999999993</v>
      </c>
      <c r="Q448">
        <v>0.61799999999999999</v>
      </c>
      <c r="R448">
        <v>0.61899999999999999</v>
      </c>
      <c r="S448">
        <v>1.4</v>
      </c>
      <c r="T448">
        <v>2.8</v>
      </c>
      <c r="U448">
        <v>0.495</v>
      </c>
      <c r="V448">
        <v>3.9</v>
      </c>
      <c r="W448">
        <v>5.5</v>
      </c>
      <c r="X448">
        <v>9.3000000000000007</v>
      </c>
      <c r="Y448">
        <v>2.8</v>
      </c>
      <c r="Z448">
        <v>0.7</v>
      </c>
      <c r="AA448">
        <v>1.7</v>
      </c>
      <c r="AB448">
        <v>1.6</v>
      </c>
      <c r="AC448">
        <v>3.1</v>
      </c>
      <c r="AD448">
        <v>13.5</v>
      </c>
      <c r="AE448" t="str">
        <f>IF(OR(_nba2122[[#This Row],[G]]&gt;=58,nba2122_advanced[[#This Row],[MP]]&gt;=1000),"Y","N")</f>
        <v>Y</v>
      </c>
      <c r="AF44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11.266592884026187</v>
      </c>
    </row>
    <row r="449" spans="1:32" x14ac:dyDescent="0.35">
      <c r="A449">
        <v>448</v>
      </c>
      <c r="B449" s="1" t="s">
        <v>518</v>
      </c>
      <c r="C449" s="1" t="s">
        <v>28</v>
      </c>
      <c r="D449">
        <v>20</v>
      </c>
      <c r="E449" s="1" t="s">
        <v>96</v>
      </c>
      <c r="F449">
        <v>61</v>
      </c>
      <c r="G449">
        <v>12</v>
      </c>
      <c r="H449">
        <v>20.2</v>
      </c>
      <c r="I449">
        <v>3</v>
      </c>
      <c r="J449">
        <v>7.5</v>
      </c>
      <c r="K449">
        <v>0.40799999999999997</v>
      </c>
      <c r="L449">
        <v>0.9</v>
      </c>
      <c r="M449">
        <v>3.2</v>
      </c>
      <c r="N449">
        <v>0.28899999999999998</v>
      </c>
      <c r="O449">
        <v>2.1</v>
      </c>
      <c r="P449">
        <v>4.2</v>
      </c>
      <c r="Q449">
        <v>0.498</v>
      </c>
      <c r="R449">
        <v>0.47</v>
      </c>
      <c r="S449">
        <v>0.6</v>
      </c>
      <c r="T449">
        <v>0.8</v>
      </c>
      <c r="U449">
        <v>0.7</v>
      </c>
      <c r="V449">
        <v>1.2</v>
      </c>
      <c r="W449">
        <v>4</v>
      </c>
      <c r="X449">
        <v>5.2</v>
      </c>
      <c r="Y449">
        <v>2.1</v>
      </c>
      <c r="Z449">
        <v>0.6</v>
      </c>
      <c r="AA449">
        <v>0.6</v>
      </c>
      <c r="AB449">
        <v>1.5</v>
      </c>
      <c r="AC449">
        <v>1.4</v>
      </c>
      <c r="AD449">
        <v>7.6</v>
      </c>
      <c r="AE449" t="str">
        <f>IF(OR(_nba2122[[#This Row],[G]]&gt;=58,nba2122_advanced[[#This Row],[MP]]&gt;=1000),"Y","N")</f>
        <v>Y</v>
      </c>
      <c r="AF44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4.4280125388946079</v>
      </c>
    </row>
    <row r="450" spans="1:32" x14ac:dyDescent="0.35">
      <c r="A450">
        <v>449</v>
      </c>
      <c r="B450" s="1" t="s">
        <v>519</v>
      </c>
      <c r="C450" s="1" t="s">
        <v>51</v>
      </c>
      <c r="D450">
        <v>22</v>
      </c>
      <c r="E450" s="1" t="s">
        <v>34</v>
      </c>
      <c r="F450">
        <v>12</v>
      </c>
      <c r="G450">
        <v>0</v>
      </c>
      <c r="H450">
        <v>5.9</v>
      </c>
      <c r="I450">
        <v>0.4</v>
      </c>
      <c r="J450">
        <v>1.3</v>
      </c>
      <c r="K450">
        <v>0.313</v>
      </c>
      <c r="L450">
        <v>0.3</v>
      </c>
      <c r="M450">
        <v>0.8</v>
      </c>
      <c r="N450">
        <v>0.33300000000000002</v>
      </c>
      <c r="O450">
        <v>0.2</v>
      </c>
      <c r="P450">
        <v>0.6</v>
      </c>
      <c r="Q450">
        <v>0.28599999999999998</v>
      </c>
      <c r="R450">
        <v>0.40600000000000003</v>
      </c>
      <c r="S450">
        <v>0</v>
      </c>
      <c r="T450">
        <v>0.2</v>
      </c>
      <c r="U450">
        <v>0</v>
      </c>
      <c r="V450">
        <v>0.4</v>
      </c>
      <c r="W450">
        <v>0.6</v>
      </c>
      <c r="X450">
        <v>1</v>
      </c>
      <c r="Y450">
        <v>0.1</v>
      </c>
      <c r="Z450">
        <v>0.1</v>
      </c>
      <c r="AA450">
        <v>0.3</v>
      </c>
      <c r="AB450">
        <v>0.1</v>
      </c>
      <c r="AC450">
        <v>0.5</v>
      </c>
      <c r="AD450">
        <v>1.1000000000000001</v>
      </c>
      <c r="AE450" t="str">
        <f>IF(OR(_nba2122[[#This Row],[G]]&gt;=58,nba2122_advanced[[#This Row],[MP]]&gt;=1000),"Y","N")</f>
        <v>N</v>
      </c>
      <c r="AF45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13.240555177626195</v>
      </c>
    </row>
    <row r="451" spans="1:32" x14ac:dyDescent="0.35">
      <c r="A451">
        <v>450</v>
      </c>
      <c r="B451" s="1" t="s">
        <v>520</v>
      </c>
      <c r="C451" s="1" t="s">
        <v>41</v>
      </c>
      <c r="D451">
        <v>22</v>
      </c>
      <c r="E451" s="1" t="s">
        <v>111</v>
      </c>
      <c r="F451">
        <v>76</v>
      </c>
      <c r="G451">
        <v>51</v>
      </c>
      <c r="H451">
        <v>30</v>
      </c>
      <c r="I451">
        <v>6.2</v>
      </c>
      <c r="J451">
        <v>13.9</v>
      </c>
      <c r="K451">
        <v>0.44800000000000001</v>
      </c>
      <c r="L451">
        <v>2.8</v>
      </c>
      <c r="M451">
        <v>7.6</v>
      </c>
      <c r="N451">
        <v>0.36399999999999999</v>
      </c>
      <c r="O451">
        <v>3.5</v>
      </c>
      <c r="P451">
        <v>6.3</v>
      </c>
      <c r="Q451">
        <v>0.55000000000000004</v>
      </c>
      <c r="R451">
        <v>0.54800000000000004</v>
      </c>
      <c r="S451">
        <v>3.2</v>
      </c>
      <c r="T451">
        <v>3.5</v>
      </c>
      <c r="U451">
        <v>0.92500000000000004</v>
      </c>
      <c r="V451">
        <v>0.4</v>
      </c>
      <c r="W451">
        <v>3</v>
      </c>
      <c r="X451">
        <v>3.4</v>
      </c>
      <c r="Y451">
        <v>4</v>
      </c>
      <c r="Z451">
        <v>0.8</v>
      </c>
      <c r="AA451">
        <v>0.3</v>
      </c>
      <c r="AB451">
        <v>2.5</v>
      </c>
      <c r="AC451">
        <v>2.7</v>
      </c>
      <c r="AD451">
        <v>18.5</v>
      </c>
      <c r="AE451" t="str">
        <f>IF(OR(_nba2122[[#This Row],[G]]&gt;=58,nba2122_advanced[[#This Row],[MP]]&gt;=1000),"Y","N")</f>
        <v>Y</v>
      </c>
      <c r="AF45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5.1703190074335605</v>
      </c>
    </row>
    <row r="452" spans="1:32" x14ac:dyDescent="0.35">
      <c r="A452">
        <v>451</v>
      </c>
      <c r="B452" s="1" t="s">
        <v>521</v>
      </c>
      <c r="C452" s="1" t="s">
        <v>48</v>
      </c>
      <c r="D452">
        <v>21</v>
      </c>
      <c r="E452" s="1" t="s">
        <v>170</v>
      </c>
      <c r="F452">
        <v>61</v>
      </c>
      <c r="G452">
        <v>61</v>
      </c>
      <c r="H452">
        <v>31.3</v>
      </c>
      <c r="I452">
        <v>5.5</v>
      </c>
      <c r="J452">
        <v>13.2</v>
      </c>
      <c r="K452">
        <v>0.41499999999999998</v>
      </c>
      <c r="L452">
        <v>2.5</v>
      </c>
      <c r="M452">
        <v>6.8</v>
      </c>
      <c r="N452">
        <v>0.375</v>
      </c>
      <c r="O452">
        <v>3</v>
      </c>
      <c r="P452">
        <v>6.5</v>
      </c>
      <c r="Q452">
        <v>0.45600000000000002</v>
      </c>
      <c r="R452">
        <v>0.51100000000000001</v>
      </c>
      <c r="S452">
        <v>2</v>
      </c>
      <c r="T452">
        <v>3.2</v>
      </c>
      <c r="U452">
        <v>0.64200000000000002</v>
      </c>
      <c r="V452">
        <v>0.7</v>
      </c>
      <c r="W452">
        <v>3.7</v>
      </c>
      <c r="X452">
        <v>4.4000000000000004</v>
      </c>
      <c r="Y452">
        <v>6.2</v>
      </c>
      <c r="Z452">
        <v>1.1000000000000001</v>
      </c>
      <c r="AA452">
        <v>0.4</v>
      </c>
      <c r="AB452">
        <v>3.1</v>
      </c>
      <c r="AC452">
        <v>2.6</v>
      </c>
      <c r="AD452">
        <v>15.6</v>
      </c>
      <c r="AE452" t="str">
        <f>IF(OR(_nba2122[[#This Row],[G]]&gt;=58,nba2122_advanced[[#This Row],[MP]]&gt;=1000),"Y","N")</f>
        <v>Y</v>
      </c>
      <c r="AF45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6.6850242845923482</v>
      </c>
    </row>
    <row r="453" spans="1:32" x14ac:dyDescent="0.35">
      <c r="A453">
        <v>452</v>
      </c>
      <c r="B453" s="1" t="s">
        <v>522</v>
      </c>
      <c r="C453" s="1" t="s">
        <v>51</v>
      </c>
      <c r="D453">
        <v>23</v>
      </c>
      <c r="E453" s="1" t="s">
        <v>86</v>
      </c>
      <c r="F453">
        <v>9</v>
      </c>
      <c r="G453">
        <v>9</v>
      </c>
      <c r="H453">
        <v>29.4</v>
      </c>
      <c r="I453">
        <v>4.0999999999999996</v>
      </c>
      <c r="J453">
        <v>11.4</v>
      </c>
      <c r="K453">
        <v>0.35899999999999999</v>
      </c>
      <c r="L453">
        <v>1.1000000000000001</v>
      </c>
      <c r="M453">
        <v>5.3</v>
      </c>
      <c r="N453">
        <v>0.20799999999999999</v>
      </c>
      <c r="O453">
        <v>3</v>
      </c>
      <c r="P453">
        <v>6.1</v>
      </c>
      <c r="Q453">
        <v>0.49099999999999999</v>
      </c>
      <c r="R453">
        <v>0.40799999999999997</v>
      </c>
      <c r="S453">
        <v>0.6</v>
      </c>
      <c r="T453">
        <v>1</v>
      </c>
      <c r="U453">
        <v>0.55600000000000005</v>
      </c>
      <c r="V453">
        <v>1</v>
      </c>
      <c r="W453">
        <v>5.6</v>
      </c>
      <c r="X453">
        <v>6.6</v>
      </c>
      <c r="Y453">
        <v>1.9</v>
      </c>
      <c r="Z453">
        <v>1.1000000000000001</v>
      </c>
      <c r="AA453">
        <v>0.2</v>
      </c>
      <c r="AB453">
        <v>1.3</v>
      </c>
      <c r="AC453">
        <v>1.8</v>
      </c>
      <c r="AD453">
        <v>9.9</v>
      </c>
      <c r="AE453" t="str">
        <f>IF(OR(_nba2122[[#This Row],[G]]&gt;=58,nba2122_advanced[[#This Row],[MP]]&gt;=1000),"Y","N")</f>
        <v>N</v>
      </c>
      <c r="AF45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6.2455649203627113</v>
      </c>
    </row>
    <row r="454" spans="1:32" x14ac:dyDescent="0.35">
      <c r="A454">
        <v>453</v>
      </c>
      <c r="B454" s="1" t="s">
        <v>523</v>
      </c>
      <c r="C454" s="1" t="s">
        <v>28</v>
      </c>
      <c r="D454">
        <v>28</v>
      </c>
      <c r="E454" s="1" t="s">
        <v>111</v>
      </c>
      <c r="F454">
        <v>63</v>
      </c>
      <c r="G454">
        <v>15</v>
      </c>
      <c r="H454">
        <v>22.2</v>
      </c>
      <c r="I454">
        <v>3.1</v>
      </c>
      <c r="J454">
        <v>6.6</v>
      </c>
      <c r="K454">
        <v>0.46400000000000002</v>
      </c>
      <c r="L454">
        <v>1.3</v>
      </c>
      <c r="M454">
        <v>3.4</v>
      </c>
      <c r="N454">
        <v>0.37</v>
      </c>
      <c r="O454">
        <v>1.8</v>
      </c>
      <c r="P454">
        <v>3.2</v>
      </c>
      <c r="Q454">
        <v>0.56499999999999995</v>
      </c>
      <c r="R454">
        <v>0.56000000000000005</v>
      </c>
      <c r="S454">
        <v>0.8</v>
      </c>
      <c r="T454">
        <v>1</v>
      </c>
      <c r="U454">
        <v>0.80300000000000005</v>
      </c>
      <c r="V454">
        <v>1.4</v>
      </c>
      <c r="W454">
        <v>4.4000000000000004</v>
      </c>
      <c r="X454">
        <v>5.7</v>
      </c>
      <c r="Y454">
        <v>1.5</v>
      </c>
      <c r="Z454">
        <v>1.1000000000000001</v>
      </c>
      <c r="AA454">
        <v>0.5</v>
      </c>
      <c r="AB454">
        <v>0.6</v>
      </c>
      <c r="AC454">
        <v>1.3</v>
      </c>
      <c r="AD454">
        <v>8.1999999999999993</v>
      </c>
      <c r="AE454" t="str">
        <f>IF(OR(_nba2122[[#This Row],[G]]&gt;=58,nba2122_advanced[[#This Row],[MP]]&gt;=1000),"Y","N")</f>
        <v>Y</v>
      </c>
      <c r="AF45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5.1687633700676177</v>
      </c>
    </row>
    <row r="455" spans="1:32" x14ac:dyDescent="0.35">
      <c r="A455">
        <v>454</v>
      </c>
      <c r="B455" s="1" t="s">
        <v>524</v>
      </c>
      <c r="C455" s="1" t="s">
        <v>31</v>
      </c>
      <c r="D455">
        <v>26</v>
      </c>
      <c r="E455" s="1" t="s">
        <v>44</v>
      </c>
      <c r="F455">
        <v>72</v>
      </c>
      <c r="G455">
        <v>59</v>
      </c>
      <c r="H455">
        <v>28.2</v>
      </c>
      <c r="I455">
        <v>5.8</v>
      </c>
      <c r="J455">
        <v>12.1</v>
      </c>
      <c r="K455">
        <v>0.47899999999999998</v>
      </c>
      <c r="L455">
        <v>1.8</v>
      </c>
      <c r="M455">
        <v>4.7</v>
      </c>
      <c r="N455">
        <v>0.39300000000000002</v>
      </c>
      <c r="O455">
        <v>3.9</v>
      </c>
      <c r="P455">
        <v>7.4</v>
      </c>
      <c r="Q455">
        <v>0.53300000000000003</v>
      </c>
      <c r="R455">
        <v>0.55500000000000005</v>
      </c>
      <c r="S455">
        <v>1.2</v>
      </c>
      <c r="T455">
        <v>1.6</v>
      </c>
      <c r="U455">
        <v>0.752</v>
      </c>
      <c r="V455">
        <v>2.5</v>
      </c>
      <c r="W455">
        <v>6.6</v>
      </c>
      <c r="X455">
        <v>9.1</v>
      </c>
      <c r="Y455">
        <v>1.2</v>
      </c>
      <c r="Z455">
        <v>0.7</v>
      </c>
      <c r="AA455">
        <v>0.7</v>
      </c>
      <c r="AB455">
        <v>1.3</v>
      </c>
      <c r="AC455">
        <v>2.4</v>
      </c>
      <c r="AD455">
        <v>14.6</v>
      </c>
      <c r="AE455" t="str">
        <f>IF(OR(_nba2122[[#This Row],[G]]&gt;=58,nba2122_advanced[[#This Row],[MP]]&gt;=1000),"Y","N")</f>
        <v>Y</v>
      </c>
      <c r="AF45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5.4385027482893094</v>
      </c>
    </row>
    <row r="456" spans="1:32" x14ac:dyDescent="0.35">
      <c r="A456">
        <v>455</v>
      </c>
      <c r="B456" s="1" t="s">
        <v>525</v>
      </c>
      <c r="C456" s="1" t="s">
        <v>28</v>
      </c>
      <c r="D456">
        <v>26</v>
      </c>
      <c r="E456" s="1" t="s">
        <v>42</v>
      </c>
      <c r="F456">
        <v>51</v>
      </c>
      <c r="G456">
        <v>51</v>
      </c>
      <c r="H456">
        <v>29</v>
      </c>
      <c r="I456">
        <v>6.9</v>
      </c>
      <c r="J456">
        <v>15</v>
      </c>
      <c r="K456">
        <v>0.45900000000000002</v>
      </c>
      <c r="L456">
        <v>1.5</v>
      </c>
      <c r="M456">
        <v>4.9000000000000004</v>
      </c>
      <c r="N456">
        <v>0.31</v>
      </c>
      <c r="O456">
        <v>5.4</v>
      </c>
      <c r="P456">
        <v>10.1</v>
      </c>
      <c r="Q456">
        <v>0.53200000000000003</v>
      </c>
      <c r="R456">
        <v>0.51</v>
      </c>
      <c r="S456">
        <v>4.9000000000000004</v>
      </c>
      <c r="T456">
        <v>5.6</v>
      </c>
      <c r="U456">
        <v>0.86699999999999999</v>
      </c>
      <c r="V456">
        <v>2</v>
      </c>
      <c r="W456">
        <v>6.1</v>
      </c>
      <c r="X456">
        <v>8.1</v>
      </c>
      <c r="Y456">
        <v>2.2999999999999998</v>
      </c>
      <c r="Z456">
        <v>0.7</v>
      </c>
      <c r="AA456">
        <v>1.6</v>
      </c>
      <c r="AB456">
        <v>1.6</v>
      </c>
      <c r="AC456">
        <v>2.7</v>
      </c>
      <c r="AD456">
        <v>20.2</v>
      </c>
      <c r="AE456" t="str">
        <f>IF(OR(_nba2122[[#This Row],[G]]&gt;=58,nba2122_advanced[[#This Row],[MP]]&gt;=1000),"Y","N")</f>
        <v>Y</v>
      </c>
      <c r="AF45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9.0857983131464763</v>
      </c>
    </row>
    <row r="457" spans="1:32" x14ac:dyDescent="0.35">
      <c r="A457">
        <v>456</v>
      </c>
      <c r="B457" s="1" t="s">
        <v>526</v>
      </c>
      <c r="C457" s="1" t="s">
        <v>31</v>
      </c>
      <c r="D457">
        <v>23</v>
      </c>
      <c r="E457" s="1" t="s">
        <v>105</v>
      </c>
      <c r="F457">
        <v>3</v>
      </c>
      <c r="G457">
        <v>0</v>
      </c>
      <c r="H457">
        <v>10.3</v>
      </c>
      <c r="I457">
        <v>1.7</v>
      </c>
      <c r="J457">
        <v>3.7</v>
      </c>
      <c r="K457">
        <v>0.45500000000000002</v>
      </c>
      <c r="L457">
        <v>0</v>
      </c>
      <c r="M457">
        <v>0.7</v>
      </c>
      <c r="N457">
        <v>0</v>
      </c>
      <c r="O457">
        <v>1.7</v>
      </c>
      <c r="P457">
        <v>3</v>
      </c>
      <c r="Q457">
        <v>0.55600000000000005</v>
      </c>
      <c r="R457">
        <v>0.45500000000000002</v>
      </c>
      <c r="S457">
        <v>0.7</v>
      </c>
      <c r="T457">
        <v>0.7</v>
      </c>
      <c r="U457">
        <v>1</v>
      </c>
      <c r="V457">
        <v>1.3</v>
      </c>
      <c r="W457">
        <v>1.7</v>
      </c>
      <c r="X457">
        <v>3</v>
      </c>
      <c r="Y457">
        <v>0</v>
      </c>
      <c r="Z457">
        <v>0.3</v>
      </c>
      <c r="AA457">
        <v>0.3</v>
      </c>
      <c r="AB457">
        <v>0.3</v>
      </c>
      <c r="AC457">
        <v>1.3</v>
      </c>
      <c r="AD457">
        <v>4</v>
      </c>
      <c r="AE457" t="str">
        <f>IF(OR(_nba2122[[#This Row],[G]]&gt;=58,nba2122_advanced[[#This Row],[MP]]&gt;=1000),"Y","N")</f>
        <v>N</v>
      </c>
      <c r="AF45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9.2683455013016545</v>
      </c>
    </row>
    <row r="458" spans="1:32" x14ac:dyDescent="0.35">
      <c r="A458">
        <v>457</v>
      </c>
      <c r="B458" s="1" t="s">
        <v>527</v>
      </c>
      <c r="C458" s="1" t="s">
        <v>31</v>
      </c>
      <c r="D458">
        <v>30</v>
      </c>
      <c r="E458" s="1" t="s">
        <v>143</v>
      </c>
      <c r="F458">
        <v>82</v>
      </c>
      <c r="G458">
        <v>71</v>
      </c>
      <c r="H458">
        <v>21.9</v>
      </c>
      <c r="I458">
        <v>3.3</v>
      </c>
      <c r="J458">
        <v>4.9000000000000004</v>
      </c>
      <c r="K458">
        <v>0.67100000000000004</v>
      </c>
      <c r="L458">
        <v>0.2</v>
      </c>
      <c r="M458">
        <v>0.5</v>
      </c>
      <c r="N458">
        <v>0.35099999999999998</v>
      </c>
      <c r="O458">
        <v>3.1</v>
      </c>
      <c r="P458">
        <v>4.4000000000000004</v>
      </c>
      <c r="Q458">
        <v>0.70299999999999996</v>
      </c>
      <c r="R458">
        <v>0.68700000000000006</v>
      </c>
      <c r="S458">
        <v>2</v>
      </c>
      <c r="T458">
        <v>2.6</v>
      </c>
      <c r="U458">
        <v>0.78300000000000003</v>
      </c>
      <c r="V458">
        <v>2.1</v>
      </c>
      <c r="W458">
        <v>2.8</v>
      </c>
      <c r="X458">
        <v>4.9000000000000004</v>
      </c>
      <c r="Y458">
        <v>1.2</v>
      </c>
      <c r="Z458">
        <v>0.5</v>
      </c>
      <c r="AA458">
        <v>0.5</v>
      </c>
      <c r="AB458">
        <v>0.8</v>
      </c>
      <c r="AC458">
        <v>2.7</v>
      </c>
      <c r="AD458">
        <v>8.6999999999999993</v>
      </c>
      <c r="AE458" t="str">
        <f>IF(OR(_nba2122[[#This Row],[G]]&gt;=58,nba2122_advanced[[#This Row],[MP]]&gt;=1000),"Y","N")</f>
        <v>Y</v>
      </c>
      <c r="AF45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6.4597936440100314</v>
      </c>
    </row>
    <row r="459" spans="1:32" x14ac:dyDescent="0.35">
      <c r="A459">
        <v>458</v>
      </c>
      <c r="B459" s="1" t="s">
        <v>528</v>
      </c>
      <c r="C459" s="1" t="s">
        <v>48</v>
      </c>
      <c r="D459">
        <v>24</v>
      </c>
      <c r="E459" s="1" t="s">
        <v>89</v>
      </c>
      <c r="F459">
        <v>11</v>
      </c>
      <c r="G459">
        <v>0</v>
      </c>
      <c r="H459">
        <v>4.7</v>
      </c>
      <c r="I459">
        <v>0.5</v>
      </c>
      <c r="J459">
        <v>1.5</v>
      </c>
      <c r="K459">
        <v>0.29399999999999998</v>
      </c>
      <c r="L459">
        <v>0.1</v>
      </c>
      <c r="M459">
        <v>0.5</v>
      </c>
      <c r="N459">
        <v>0.16700000000000001</v>
      </c>
      <c r="O459">
        <v>0.4</v>
      </c>
      <c r="P459">
        <v>1</v>
      </c>
      <c r="Q459">
        <v>0.36399999999999999</v>
      </c>
      <c r="R459">
        <v>0.32400000000000001</v>
      </c>
      <c r="S459">
        <v>0.2</v>
      </c>
      <c r="T459">
        <v>0.2</v>
      </c>
      <c r="U459">
        <v>1</v>
      </c>
      <c r="V459">
        <v>0.1</v>
      </c>
      <c r="W459">
        <v>0.5</v>
      </c>
      <c r="X459">
        <v>0.5</v>
      </c>
      <c r="Y459">
        <v>0.3</v>
      </c>
      <c r="Z459">
        <v>0.1</v>
      </c>
      <c r="AA459">
        <v>0</v>
      </c>
      <c r="AB459">
        <v>0.3</v>
      </c>
      <c r="AC459">
        <v>0.7</v>
      </c>
      <c r="AD459">
        <v>1.2</v>
      </c>
      <c r="AE459" t="str">
        <f>IF(OR(_nba2122[[#This Row],[G]]&gt;=58,nba2122_advanced[[#This Row],[MP]]&gt;=1000),"Y","N")</f>
        <v>N</v>
      </c>
      <c r="AF45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11.716912673284515</v>
      </c>
    </row>
    <row r="460" spans="1:32" x14ac:dyDescent="0.35">
      <c r="A460">
        <v>459</v>
      </c>
      <c r="B460" s="2" t="s">
        <v>529</v>
      </c>
      <c r="C460" s="1" t="s">
        <v>51</v>
      </c>
      <c r="D460">
        <v>28</v>
      </c>
      <c r="E460" s="1" t="s">
        <v>42</v>
      </c>
      <c r="F460">
        <v>45</v>
      </c>
      <c r="G460">
        <v>41</v>
      </c>
      <c r="H460">
        <v>32.4</v>
      </c>
      <c r="I460">
        <v>6.2</v>
      </c>
      <c r="J460">
        <v>13.4</v>
      </c>
      <c r="K460">
        <v>0.46100000000000002</v>
      </c>
      <c r="L460">
        <v>2.4</v>
      </c>
      <c r="M460">
        <v>5.6</v>
      </c>
      <c r="N460">
        <v>0.41899999999999998</v>
      </c>
      <c r="O460">
        <v>3.8</v>
      </c>
      <c r="P460">
        <v>7.8</v>
      </c>
      <c r="Q460">
        <v>0.49099999999999999</v>
      </c>
      <c r="R460">
        <v>0.54900000000000004</v>
      </c>
      <c r="S460">
        <v>4.2</v>
      </c>
      <c r="T460">
        <v>5.2</v>
      </c>
      <c r="U460">
        <v>0.81100000000000005</v>
      </c>
      <c r="V460">
        <v>0.4</v>
      </c>
      <c r="W460">
        <v>2.8</v>
      </c>
      <c r="X460">
        <v>3.2</v>
      </c>
      <c r="Y460">
        <v>2.1</v>
      </c>
      <c r="Z460">
        <v>0.9</v>
      </c>
      <c r="AA460">
        <v>0.5</v>
      </c>
      <c r="AB460">
        <v>1.5</v>
      </c>
      <c r="AC460">
        <v>2.4</v>
      </c>
      <c r="AD460">
        <v>19</v>
      </c>
      <c r="AE460" t="str">
        <f>IF(OR(_nba2122[[#This Row],[G]]&gt;=58,nba2122_advanced[[#This Row],[MP]]&gt;=1000),"Y","N")</f>
        <v>Y</v>
      </c>
      <c r="AF46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3.7847872347946643</v>
      </c>
    </row>
    <row r="461" spans="1:32" x14ac:dyDescent="0.35">
      <c r="A461">
        <v>460</v>
      </c>
      <c r="B461" s="1" t="s">
        <v>530</v>
      </c>
      <c r="C461" s="1" t="s">
        <v>41</v>
      </c>
      <c r="D461">
        <v>19</v>
      </c>
      <c r="E461" s="1" t="s">
        <v>91</v>
      </c>
      <c r="F461">
        <v>50</v>
      </c>
      <c r="G461">
        <v>16</v>
      </c>
      <c r="H461">
        <v>19.3</v>
      </c>
      <c r="I461">
        <v>2</v>
      </c>
      <c r="J461">
        <v>5.4</v>
      </c>
      <c r="K461">
        <v>0.374</v>
      </c>
      <c r="L461">
        <v>0.8</v>
      </c>
      <c r="M461">
        <v>2.7</v>
      </c>
      <c r="N461">
        <v>0.307</v>
      </c>
      <c r="O461">
        <v>1.2</v>
      </c>
      <c r="P461">
        <v>2.7</v>
      </c>
      <c r="Q461">
        <v>0.44400000000000001</v>
      </c>
      <c r="R461">
        <v>0.45200000000000001</v>
      </c>
      <c r="S461">
        <v>0.9</v>
      </c>
      <c r="T461">
        <v>1.2</v>
      </c>
      <c r="U461">
        <v>0.746</v>
      </c>
      <c r="V461">
        <v>0.6</v>
      </c>
      <c r="W461">
        <v>1.6</v>
      </c>
      <c r="X461">
        <v>2.2999999999999998</v>
      </c>
      <c r="Y461">
        <v>1.6</v>
      </c>
      <c r="Z461">
        <v>0.4</v>
      </c>
      <c r="AA461">
        <v>0.5</v>
      </c>
      <c r="AB461">
        <v>1.1000000000000001</v>
      </c>
      <c r="AC461">
        <v>1.6</v>
      </c>
      <c r="AD461">
        <v>5.8</v>
      </c>
      <c r="AE461" t="str">
        <f>IF(OR(_nba2122[[#This Row],[G]]&gt;=58,nba2122_advanced[[#This Row],[MP]]&gt;=1000),"Y","N")</f>
        <v>N</v>
      </c>
      <c r="AF46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5.7447877949158421</v>
      </c>
    </row>
    <row r="462" spans="1:32" x14ac:dyDescent="0.35">
      <c r="A462">
        <v>461</v>
      </c>
      <c r="B462" s="1" t="s">
        <v>531</v>
      </c>
      <c r="C462" s="1" t="s">
        <v>28</v>
      </c>
      <c r="D462">
        <v>27</v>
      </c>
      <c r="E462" s="1" t="s">
        <v>99</v>
      </c>
      <c r="F462">
        <v>69</v>
      </c>
      <c r="G462">
        <v>8</v>
      </c>
      <c r="H462">
        <v>17.100000000000001</v>
      </c>
      <c r="I462">
        <v>2.6</v>
      </c>
      <c r="J462">
        <v>5.7</v>
      </c>
      <c r="K462">
        <v>0.45400000000000001</v>
      </c>
      <c r="L462">
        <v>1.2</v>
      </c>
      <c r="M462">
        <v>3.3</v>
      </c>
      <c r="N462">
        <v>0.376</v>
      </c>
      <c r="O462">
        <v>1.3</v>
      </c>
      <c r="P462">
        <v>2.2999999999999998</v>
      </c>
      <c r="Q462">
        <v>0.56499999999999995</v>
      </c>
      <c r="R462">
        <v>0.56399999999999995</v>
      </c>
      <c r="S462">
        <v>0.9</v>
      </c>
      <c r="T462">
        <v>1.2</v>
      </c>
      <c r="U462">
        <v>0.75600000000000001</v>
      </c>
      <c r="V462">
        <v>0.4</v>
      </c>
      <c r="W462">
        <v>2.1</v>
      </c>
      <c r="X462">
        <v>2.5</v>
      </c>
      <c r="Y462">
        <v>1</v>
      </c>
      <c r="Z462">
        <v>0.7</v>
      </c>
      <c r="AA462">
        <v>0.3</v>
      </c>
      <c r="AB462">
        <v>0.8</v>
      </c>
      <c r="AC462">
        <v>1.7</v>
      </c>
      <c r="AD462">
        <v>7.3</v>
      </c>
      <c r="AE462" t="str">
        <f>IF(OR(_nba2122[[#This Row],[G]]&gt;=58,nba2122_advanced[[#This Row],[MP]]&gt;=1000),"Y","N")</f>
        <v>Y</v>
      </c>
      <c r="AF46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4.868533125907021</v>
      </c>
    </row>
    <row r="463" spans="1:32" x14ac:dyDescent="0.35">
      <c r="A463">
        <v>462</v>
      </c>
      <c r="B463" s="1" t="s">
        <v>532</v>
      </c>
      <c r="C463" s="1" t="s">
        <v>41</v>
      </c>
      <c r="D463">
        <v>24</v>
      </c>
      <c r="E463" s="1" t="s">
        <v>140</v>
      </c>
      <c r="F463">
        <v>71</v>
      </c>
      <c r="G463">
        <v>2</v>
      </c>
      <c r="H463">
        <v>14.1</v>
      </c>
      <c r="I463">
        <v>2.2999999999999998</v>
      </c>
      <c r="J463">
        <v>5.3</v>
      </c>
      <c r="K463">
        <v>0.42899999999999999</v>
      </c>
      <c r="L463">
        <v>1.4</v>
      </c>
      <c r="M463">
        <v>3.5</v>
      </c>
      <c r="N463">
        <v>0.41199999999999998</v>
      </c>
      <c r="O463">
        <v>0.8</v>
      </c>
      <c r="P463">
        <v>1.8</v>
      </c>
      <c r="Q463">
        <v>0.46100000000000002</v>
      </c>
      <c r="R463">
        <v>0.56399999999999995</v>
      </c>
      <c r="S463">
        <v>0.3</v>
      </c>
      <c r="T463">
        <v>0.3</v>
      </c>
      <c r="U463">
        <v>1</v>
      </c>
      <c r="V463">
        <v>0.5</v>
      </c>
      <c r="W463">
        <v>1.4</v>
      </c>
      <c r="X463">
        <v>1.9</v>
      </c>
      <c r="Y463">
        <v>2</v>
      </c>
      <c r="Z463">
        <v>0.4</v>
      </c>
      <c r="AA463">
        <v>0.1</v>
      </c>
      <c r="AB463">
        <v>0.6</v>
      </c>
      <c r="AC463">
        <v>0.9</v>
      </c>
      <c r="AD463">
        <v>6.2</v>
      </c>
      <c r="AE463" t="str">
        <f>IF(OR(_nba2122[[#This Row],[G]]&gt;=58,nba2122_advanced[[#This Row],[MP]]&gt;=1000),"Y","N")</f>
        <v>Y</v>
      </c>
      <c r="AF46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7.6167331016087321</v>
      </c>
    </row>
    <row r="464" spans="1:32" x14ac:dyDescent="0.35">
      <c r="A464">
        <v>463</v>
      </c>
      <c r="B464" s="1" t="s">
        <v>533</v>
      </c>
      <c r="C464" s="1" t="s">
        <v>41</v>
      </c>
      <c r="D464">
        <v>24</v>
      </c>
      <c r="E464" s="1" t="s">
        <v>170</v>
      </c>
      <c r="F464">
        <v>10</v>
      </c>
      <c r="G464">
        <v>0</v>
      </c>
      <c r="H464">
        <v>7.4</v>
      </c>
      <c r="I464">
        <v>1.5</v>
      </c>
      <c r="J464">
        <v>3.3</v>
      </c>
      <c r="K464">
        <v>0.45500000000000002</v>
      </c>
      <c r="L464">
        <v>0.9</v>
      </c>
      <c r="M464">
        <v>2.4</v>
      </c>
      <c r="N464">
        <v>0.375</v>
      </c>
      <c r="O464">
        <v>0.6</v>
      </c>
      <c r="P464">
        <v>0.9</v>
      </c>
      <c r="Q464">
        <v>0.66700000000000004</v>
      </c>
      <c r="R464">
        <v>0.59099999999999997</v>
      </c>
      <c r="S464">
        <v>0.4</v>
      </c>
      <c r="T464">
        <v>0.4</v>
      </c>
      <c r="U464">
        <v>1</v>
      </c>
      <c r="V464">
        <v>0.7</v>
      </c>
      <c r="W464">
        <v>0.9</v>
      </c>
      <c r="X464">
        <v>1.6</v>
      </c>
      <c r="Y464">
        <v>0.4</v>
      </c>
      <c r="Z464">
        <v>0.5</v>
      </c>
      <c r="AA464">
        <v>0.1</v>
      </c>
      <c r="AB464">
        <v>0.7</v>
      </c>
      <c r="AC464">
        <v>0.6</v>
      </c>
      <c r="AD464">
        <v>4.3</v>
      </c>
      <c r="AE464" t="str">
        <f>IF(OR(_nba2122[[#This Row],[G]]&gt;=58,nba2122_advanced[[#This Row],[MP]]&gt;=1000),"Y","N")</f>
        <v>N</v>
      </c>
      <c r="AF46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9.2346514452150927</v>
      </c>
    </row>
    <row r="465" spans="1:32" x14ac:dyDescent="0.35">
      <c r="A465">
        <v>464</v>
      </c>
      <c r="B465" s="1" t="s">
        <v>534</v>
      </c>
      <c r="C465" s="1" t="s">
        <v>31</v>
      </c>
      <c r="D465">
        <v>22</v>
      </c>
      <c r="E465" s="1" t="s">
        <v>82</v>
      </c>
      <c r="F465">
        <v>14</v>
      </c>
      <c r="G465">
        <v>0</v>
      </c>
      <c r="H465">
        <v>8.6</v>
      </c>
      <c r="I465">
        <v>1.2</v>
      </c>
      <c r="J465">
        <v>2.7</v>
      </c>
      <c r="K465">
        <v>0.44700000000000001</v>
      </c>
      <c r="L465">
        <v>0</v>
      </c>
      <c r="M465">
        <v>0</v>
      </c>
      <c r="O465">
        <v>1.2</v>
      </c>
      <c r="P465">
        <v>2.7</v>
      </c>
      <c r="Q465">
        <v>0.44700000000000001</v>
      </c>
      <c r="R465">
        <v>0.44700000000000001</v>
      </c>
      <c r="S465">
        <v>0.8</v>
      </c>
      <c r="T465">
        <v>1.2</v>
      </c>
      <c r="U465">
        <v>0.64700000000000002</v>
      </c>
      <c r="V465">
        <v>1</v>
      </c>
      <c r="W465">
        <v>1.2</v>
      </c>
      <c r="X465">
        <v>2.2000000000000002</v>
      </c>
      <c r="Y465">
        <v>0.4</v>
      </c>
      <c r="Z465">
        <v>0.1</v>
      </c>
      <c r="AA465">
        <v>0.6</v>
      </c>
      <c r="AB465">
        <v>0.4</v>
      </c>
      <c r="AC465">
        <v>1.3</v>
      </c>
      <c r="AD465">
        <v>3.2</v>
      </c>
      <c r="AE465" t="str">
        <f>IF(OR(_nba2122[[#This Row],[G]]&gt;=58,nba2122_advanced[[#This Row],[MP]]&gt;=1000),"Y","N")</f>
        <v>N</v>
      </c>
      <c r="AF46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11.642849311627488</v>
      </c>
    </row>
    <row r="466" spans="1:32" x14ac:dyDescent="0.35">
      <c r="A466">
        <v>465</v>
      </c>
      <c r="B466" s="1" t="s">
        <v>535</v>
      </c>
      <c r="C466" s="1" t="s">
        <v>48</v>
      </c>
      <c r="D466">
        <v>22</v>
      </c>
      <c r="E466" s="1" t="s">
        <v>61</v>
      </c>
      <c r="F466">
        <v>78</v>
      </c>
      <c r="G466">
        <v>3</v>
      </c>
      <c r="H466">
        <v>23.1</v>
      </c>
      <c r="I466">
        <v>3.6</v>
      </c>
      <c r="J466">
        <v>9.3000000000000007</v>
      </c>
      <c r="K466">
        <v>0.39200000000000002</v>
      </c>
      <c r="L466">
        <v>1.8</v>
      </c>
      <c r="M466">
        <v>5.0999999999999996</v>
      </c>
      <c r="N466">
        <v>0.34599999999999997</v>
      </c>
      <c r="O466">
        <v>1.9</v>
      </c>
      <c r="P466">
        <v>4.2</v>
      </c>
      <c r="Q466">
        <v>0.44800000000000001</v>
      </c>
      <c r="R466">
        <v>0.48699999999999999</v>
      </c>
      <c r="S466">
        <v>2.2999999999999998</v>
      </c>
      <c r="T466">
        <v>2.6</v>
      </c>
      <c r="U466">
        <v>0.88100000000000001</v>
      </c>
      <c r="V466">
        <v>0.4</v>
      </c>
      <c r="W466">
        <v>2.8</v>
      </c>
      <c r="X466">
        <v>3.2</v>
      </c>
      <c r="Y466">
        <v>3.5</v>
      </c>
      <c r="Z466">
        <v>0.7</v>
      </c>
      <c r="AA466">
        <v>0</v>
      </c>
      <c r="AB466">
        <v>1.3</v>
      </c>
      <c r="AC466">
        <v>2.1</v>
      </c>
      <c r="AD466">
        <v>11.3</v>
      </c>
      <c r="AE466" t="str">
        <f>IF(OR(_nba2122[[#This Row],[G]]&gt;=58,nba2122_advanced[[#This Row],[MP]]&gt;=1000),"Y","N")</f>
        <v>Y</v>
      </c>
      <c r="AF46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4.8298091731812622</v>
      </c>
    </row>
    <row r="467" spans="1:32" x14ac:dyDescent="0.35">
      <c r="A467">
        <v>466</v>
      </c>
      <c r="B467" s="1" t="s">
        <v>536</v>
      </c>
      <c r="C467" s="1" t="s">
        <v>41</v>
      </c>
      <c r="D467">
        <v>20</v>
      </c>
      <c r="E467" s="1" t="s">
        <v>82</v>
      </c>
      <c r="F467">
        <v>19</v>
      </c>
      <c r="G467">
        <v>0</v>
      </c>
      <c r="H467">
        <v>7.1</v>
      </c>
      <c r="I467">
        <v>1.3</v>
      </c>
      <c r="J467">
        <v>3.1</v>
      </c>
      <c r="K467">
        <v>0.41399999999999998</v>
      </c>
      <c r="L467">
        <v>0.3</v>
      </c>
      <c r="M467">
        <v>0.9</v>
      </c>
      <c r="N467">
        <v>0.27800000000000002</v>
      </c>
      <c r="O467">
        <v>1</v>
      </c>
      <c r="P467">
        <v>2.1</v>
      </c>
      <c r="Q467">
        <v>0.47499999999999998</v>
      </c>
      <c r="R467">
        <v>0.45700000000000002</v>
      </c>
      <c r="S467">
        <v>0.4</v>
      </c>
      <c r="T467">
        <v>0.7</v>
      </c>
      <c r="U467">
        <v>0.5</v>
      </c>
      <c r="V467">
        <v>0.2</v>
      </c>
      <c r="W467">
        <v>0.5</v>
      </c>
      <c r="X467">
        <v>0.7</v>
      </c>
      <c r="Y467">
        <v>0.4</v>
      </c>
      <c r="Z467">
        <v>0.1</v>
      </c>
      <c r="AA467">
        <v>0.1</v>
      </c>
      <c r="AB467">
        <v>0.3</v>
      </c>
      <c r="AC467">
        <v>0.5</v>
      </c>
      <c r="AD467">
        <v>3.2</v>
      </c>
      <c r="AE467" t="str">
        <f>IF(OR(_nba2122[[#This Row],[G]]&gt;=58,nba2122_advanced[[#This Row],[MP]]&gt;=1000),"Y","N")</f>
        <v>N</v>
      </c>
      <c r="AF46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10.170672465452148</v>
      </c>
    </row>
    <row r="468" spans="1:32" x14ac:dyDescent="0.35">
      <c r="A468">
        <v>467</v>
      </c>
      <c r="B468" s="1" t="s">
        <v>537</v>
      </c>
      <c r="C468" s="1" t="s">
        <v>28</v>
      </c>
      <c r="D468">
        <v>27</v>
      </c>
      <c r="E468" s="1" t="s">
        <v>61</v>
      </c>
      <c r="F468">
        <v>72</v>
      </c>
      <c r="G468">
        <v>72</v>
      </c>
      <c r="H468">
        <v>35.299999999999997</v>
      </c>
      <c r="I468">
        <v>7.1</v>
      </c>
      <c r="J468">
        <v>17.3</v>
      </c>
      <c r="K468">
        <v>0.41099999999999998</v>
      </c>
      <c r="L468">
        <v>1.7</v>
      </c>
      <c r="M468">
        <v>5.4</v>
      </c>
      <c r="N468">
        <v>0.308</v>
      </c>
      <c r="O468">
        <v>5.4</v>
      </c>
      <c r="P468">
        <v>11.9</v>
      </c>
      <c r="Q468">
        <v>0.45800000000000002</v>
      </c>
      <c r="R468">
        <v>0.45900000000000002</v>
      </c>
      <c r="S468">
        <v>4.2</v>
      </c>
      <c r="T468">
        <v>5.6</v>
      </c>
      <c r="U468">
        <v>0.75600000000000001</v>
      </c>
      <c r="V468">
        <v>1.7</v>
      </c>
      <c r="W468">
        <v>8.1999999999999993</v>
      </c>
      <c r="X468">
        <v>9.9</v>
      </c>
      <c r="Y468">
        <v>5.0999999999999996</v>
      </c>
      <c r="Z468">
        <v>0.7</v>
      </c>
      <c r="AA468">
        <v>0.5</v>
      </c>
      <c r="AB468">
        <v>3.4</v>
      </c>
      <c r="AC468">
        <v>2.8</v>
      </c>
      <c r="AD468">
        <v>20.100000000000001</v>
      </c>
      <c r="AE468" t="str">
        <f>IF(OR(_nba2122[[#This Row],[G]]&gt;=58,nba2122_advanced[[#This Row],[MP]]&gt;=1000),"Y","N")</f>
        <v>Y</v>
      </c>
      <c r="AF46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7.5921944720339294</v>
      </c>
    </row>
    <row r="469" spans="1:32" x14ac:dyDescent="0.35">
      <c r="A469">
        <v>468</v>
      </c>
      <c r="B469" s="1" t="s">
        <v>538</v>
      </c>
      <c r="C469" s="1" t="s">
        <v>41</v>
      </c>
      <c r="D469">
        <v>23</v>
      </c>
      <c r="E469" s="1" t="s">
        <v>56</v>
      </c>
      <c r="F469">
        <v>61</v>
      </c>
      <c r="G469">
        <v>19</v>
      </c>
      <c r="H469">
        <v>23.2</v>
      </c>
      <c r="I469">
        <v>2.4</v>
      </c>
      <c r="J469">
        <v>5.2</v>
      </c>
      <c r="K469">
        <v>0.45900000000000002</v>
      </c>
      <c r="L469">
        <v>0.9</v>
      </c>
      <c r="M469">
        <v>2.7</v>
      </c>
      <c r="N469">
        <v>0.317</v>
      </c>
      <c r="O469">
        <v>1.5</v>
      </c>
      <c r="P469">
        <v>2.5</v>
      </c>
      <c r="Q469">
        <v>0.61599999999999999</v>
      </c>
      <c r="R469">
        <v>0.54200000000000004</v>
      </c>
      <c r="S469">
        <v>1.6</v>
      </c>
      <c r="T469">
        <v>1.9</v>
      </c>
      <c r="U469">
        <v>0.83899999999999997</v>
      </c>
      <c r="V469">
        <v>0.7</v>
      </c>
      <c r="W469">
        <v>2.4</v>
      </c>
      <c r="X469">
        <v>3.2</v>
      </c>
      <c r="Y469">
        <v>1.8</v>
      </c>
      <c r="Z469">
        <v>0.5</v>
      </c>
      <c r="AA469">
        <v>0.3</v>
      </c>
      <c r="AB469">
        <v>0.7</v>
      </c>
      <c r="AC469">
        <v>1.4</v>
      </c>
      <c r="AD469">
        <v>7.3</v>
      </c>
      <c r="AE469" t="str">
        <f>IF(OR(_nba2122[[#This Row],[G]]&gt;=58,nba2122_advanced[[#This Row],[MP]]&gt;=1000),"Y","N")</f>
        <v>Y</v>
      </c>
      <c r="AF46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5.8490202013625083</v>
      </c>
    </row>
    <row r="470" spans="1:32" x14ac:dyDescent="0.35">
      <c r="A470">
        <v>469</v>
      </c>
      <c r="B470" s="1" t="s">
        <v>539</v>
      </c>
      <c r="C470" s="1" t="s">
        <v>51</v>
      </c>
      <c r="D470">
        <v>22</v>
      </c>
      <c r="E470" s="1" t="s">
        <v>42</v>
      </c>
      <c r="F470">
        <v>49</v>
      </c>
      <c r="G470">
        <v>7</v>
      </c>
      <c r="H470">
        <v>20.7</v>
      </c>
      <c r="I470">
        <v>3.4</v>
      </c>
      <c r="J470">
        <v>8.3000000000000007</v>
      </c>
      <c r="K470">
        <v>0.40400000000000003</v>
      </c>
      <c r="L470">
        <v>1.3</v>
      </c>
      <c r="M470">
        <v>3.8</v>
      </c>
      <c r="N470">
        <v>0.35899999999999999</v>
      </c>
      <c r="O470">
        <v>2</v>
      </c>
      <c r="P470">
        <v>4.5999999999999996</v>
      </c>
      <c r="Q470">
        <v>0.442</v>
      </c>
      <c r="R470">
        <v>0.48499999999999999</v>
      </c>
      <c r="S470">
        <v>2.1</v>
      </c>
      <c r="T470">
        <v>2.2999999999999998</v>
      </c>
      <c r="U470">
        <v>0.90200000000000002</v>
      </c>
      <c r="V470">
        <v>0.5</v>
      </c>
      <c r="W470">
        <v>1.6</v>
      </c>
      <c r="X470">
        <v>2.1</v>
      </c>
      <c r="Y470">
        <v>1</v>
      </c>
      <c r="Z470">
        <v>1</v>
      </c>
      <c r="AA470">
        <v>0.3</v>
      </c>
      <c r="AB470">
        <v>1.2</v>
      </c>
      <c r="AC470">
        <v>1.2</v>
      </c>
      <c r="AD470">
        <v>10.1</v>
      </c>
      <c r="AE470" t="str">
        <f>IF(OR(_nba2122[[#This Row],[G]]&gt;=58,nba2122_advanced[[#This Row],[MP]]&gt;=1000),"Y","N")</f>
        <v>Y</v>
      </c>
      <c r="AF47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5.1843492169501921</v>
      </c>
    </row>
    <row r="471" spans="1:32" x14ac:dyDescent="0.35">
      <c r="A471">
        <v>470</v>
      </c>
      <c r="B471" s="1" t="s">
        <v>540</v>
      </c>
      <c r="C471" s="1" t="s">
        <v>41</v>
      </c>
      <c r="D471">
        <v>26</v>
      </c>
      <c r="E471" s="1" t="s">
        <v>86</v>
      </c>
      <c r="F471">
        <v>48</v>
      </c>
      <c r="G471">
        <v>5</v>
      </c>
      <c r="H471">
        <v>13.9</v>
      </c>
      <c r="I471">
        <v>1.7</v>
      </c>
      <c r="J471">
        <v>3.4</v>
      </c>
      <c r="K471">
        <v>0.503</v>
      </c>
      <c r="L471">
        <v>0.8</v>
      </c>
      <c r="M471">
        <v>1.8</v>
      </c>
      <c r="N471">
        <v>0.43</v>
      </c>
      <c r="O471">
        <v>0.9</v>
      </c>
      <c r="P471">
        <v>1.6</v>
      </c>
      <c r="Q471">
        <v>0.58699999999999997</v>
      </c>
      <c r="R471">
        <v>0.61799999999999999</v>
      </c>
      <c r="S471">
        <v>0.2</v>
      </c>
      <c r="T471">
        <v>0.3</v>
      </c>
      <c r="U471">
        <v>0.66700000000000004</v>
      </c>
      <c r="V471">
        <v>0.3</v>
      </c>
      <c r="W471">
        <v>2</v>
      </c>
      <c r="X471">
        <v>2.2999999999999998</v>
      </c>
      <c r="Y471">
        <v>1.1000000000000001</v>
      </c>
      <c r="Z471">
        <v>0.5</v>
      </c>
      <c r="AA471">
        <v>0.2</v>
      </c>
      <c r="AB471">
        <v>0.3</v>
      </c>
      <c r="AC471">
        <v>1.3</v>
      </c>
      <c r="AD471">
        <v>4.4000000000000004</v>
      </c>
      <c r="AE471" t="str">
        <f>IF(OR(_nba2122[[#This Row],[G]]&gt;=58,nba2122_advanced[[#This Row],[MP]]&gt;=1000),"Y","N")</f>
        <v>N</v>
      </c>
      <c r="AF47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7.1855888476565157</v>
      </c>
    </row>
    <row r="472" spans="1:32" x14ac:dyDescent="0.35">
      <c r="A472">
        <v>471</v>
      </c>
      <c r="B472" s="1" t="s">
        <v>541</v>
      </c>
      <c r="C472" s="1" t="s">
        <v>31</v>
      </c>
      <c r="D472">
        <v>22</v>
      </c>
      <c r="E472" s="1" t="s">
        <v>89</v>
      </c>
      <c r="F472">
        <v>38</v>
      </c>
      <c r="G472">
        <v>2</v>
      </c>
      <c r="H472">
        <v>7.9</v>
      </c>
      <c r="I472">
        <v>1.4</v>
      </c>
      <c r="J472">
        <v>2.5</v>
      </c>
      <c r="K472">
        <v>0.56299999999999994</v>
      </c>
      <c r="L472">
        <v>0.1</v>
      </c>
      <c r="M472">
        <v>0.2</v>
      </c>
      <c r="N472">
        <v>0.25</v>
      </c>
      <c r="O472">
        <v>1.4</v>
      </c>
      <c r="P472">
        <v>2.2999999999999998</v>
      </c>
      <c r="Q472">
        <v>0.59099999999999997</v>
      </c>
      <c r="R472">
        <v>0.57299999999999995</v>
      </c>
      <c r="S472">
        <v>0.2</v>
      </c>
      <c r="T472">
        <v>0.4</v>
      </c>
      <c r="U472">
        <v>0.42899999999999999</v>
      </c>
      <c r="V472">
        <v>1.2</v>
      </c>
      <c r="W472">
        <v>1.3</v>
      </c>
      <c r="X472">
        <v>2.4</v>
      </c>
      <c r="Y472">
        <v>0.4</v>
      </c>
      <c r="Z472">
        <v>0.9</v>
      </c>
      <c r="AA472">
        <v>0.4</v>
      </c>
      <c r="AB472">
        <v>0.3</v>
      </c>
      <c r="AC472">
        <v>1.5</v>
      </c>
      <c r="AD472">
        <v>3.1</v>
      </c>
      <c r="AE472" t="str">
        <f>IF(OR(_nba2122[[#This Row],[G]]&gt;=58,nba2122_advanced[[#This Row],[MP]]&gt;=1000),"Y","N")</f>
        <v>N</v>
      </c>
      <c r="AF47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11.504319440860433</v>
      </c>
    </row>
    <row r="473" spans="1:32" x14ac:dyDescent="0.35">
      <c r="A473">
        <v>472</v>
      </c>
      <c r="B473" s="1" t="s">
        <v>542</v>
      </c>
      <c r="C473" s="1" t="s">
        <v>31</v>
      </c>
      <c r="D473">
        <v>22</v>
      </c>
      <c r="E473" s="1" t="s">
        <v>99</v>
      </c>
      <c r="F473">
        <v>77</v>
      </c>
      <c r="G473">
        <v>6</v>
      </c>
      <c r="H473">
        <v>15.8</v>
      </c>
      <c r="I473">
        <v>3</v>
      </c>
      <c r="J473">
        <v>6.2</v>
      </c>
      <c r="K473">
        <v>0.48899999999999999</v>
      </c>
      <c r="L473">
        <v>0.7</v>
      </c>
      <c r="M473">
        <v>2.2000000000000002</v>
      </c>
      <c r="N473">
        <v>0.34300000000000003</v>
      </c>
      <c r="O473">
        <v>2.2999999999999998</v>
      </c>
      <c r="P473">
        <v>4</v>
      </c>
      <c r="Q473">
        <v>0.56799999999999995</v>
      </c>
      <c r="R473">
        <v>0.54900000000000004</v>
      </c>
      <c r="S473">
        <v>1.5</v>
      </c>
      <c r="T473">
        <v>1.9</v>
      </c>
      <c r="U473">
        <v>0.76500000000000001</v>
      </c>
      <c r="V473">
        <v>1.3</v>
      </c>
      <c r="W473">
        <v>2.6</v>
      </c>
      <c r="X473">
        <v>3.9</v>
      </c>
      <c r="Y473">
        <v>0.9</v>
      </c>
      <c r="Z473">
        <v>0.5</v>
      </c>
      <c r="AA473">
        <v>0.9</v>
      </c>
      <c r="AB473">
        <v>1.1000000000000001</v>
      </c>
      <c r="AC473">
        <v>2.2000000000000002</v>
      </c>
      <c r="AD473">
        <v>8.3000000000000007</v>
      </c>
      <c r="AE473" t="str">
        <f>IF(OR(_nba2122[[#This Row],[G]]&gt;=58,nba2122_advanced[[#This Row],[MP]]&gt;=1000),"Y","N")</f>
        <v>Y</v>
      </c>
      <c r="AF47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6.5451178729470376</v>
      </c>
    </row>
    <row r="474" spans="1:32" x14ac:dyDescent="0.35">
      <c r="A474">
        <v>473</v>
      </c>
      <c r="B474" s="1" t="s">
        <v>543</v>
      </c>
      <c r="C474" s="1" t="s">
        <v>31</v>
      </c>
      <c r="D474">
        <v>24</v>
      </c>
      <c r="E474" s="1" t="s">
        <v>73</v>
      </c>
      <c r="F474">
        <v>50</v>
      </c>
      <c r="G474">
        <v>5</v>
      </c>
      <c r="H474">
        <v>7.3</v>
      </c>
      <c r="I474">
        <v>1.2</v>
      </c>
      <c r="J474">
        <v>1.8</v>
      </c>
      <c r="K474">
        <v>0.66700000000000004</v>
      </c>
      <c r="L474">
        <v>0</v>
      </c>
      <c r="M474">
        <v>0</v>
      </c>
      <c r="O474">
        <v>1.2</v>
      </c>
      <c r="P474">
        <v>1.8</v>
      </c>
      <c r="Q474">
        <v>0.66700000000000004</v>
      </c>
      <c r="R474">
        <v>0.66700000000000004</v>
      </c>
      <c r="S474">
        <v>0.6</v>
      </c>
      <c r="T474">
        <v>0.9</v>
      </c>
      <c r="U474">
        <v>0.69799999999999995</v>
      </c>
      <c r="V474">
        <v>0.7</v>
      </c>
      <c r="W474">
        <v>1</v>
      </c>
      <c r="X474">
        <v>1.7</v>
      </c>
      <c r="Y474">
        <v>0.3</v>
      </c>
      <c r="Z474">
        <v>0.2</v>
      </c>
      <c r="AA474">
        <v>0.4</v>
      </c>
      <c r="AB474">
        <v>0.5</v>
      </c>
      <c r="AC474">
        <v>1</v>
      </c>
      <c r="AD474">
        <v>3</v>
      </c>
      <c r="AE474" t="str">
        <f>IF(OR(_nba2122[[#This Row],[G]]&gt;=58,nba2122_advanced[[#This Row],[MP]]&gt;=1000),"Y","N")</f>
        <v>N</v>
      </c>
      <c r="AF47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12.141200774429194</v>
      </c>
    </row>
    <row r="475" spans="1:32" x14ac:dyDescent="0.35">
      <c r="A475">
        <v>474</v>
      </c>
      <c r="B475" s="1" t="s">
        <v>544</v>
      </c>
      <c r="C475" s="1" t="s">
        <v>41</v>
      </c>
      <c r="D475">
        <v>28</v>
      </c>
      <c r="E475" s="1" t="s">
        <v>42</v>
      </c>
      <c r="F475">
        <v>65</v>
      </c>
      <c r="G475">
        <v>7</v>
      </c>
      <c r="H475">
        <v>24.6</v>
      </c>
      <c r="I475">
        <v>3.6</v>
      </c>
      <c r="J475">
        <v>8.1999999999999993</v>
      </c>
      <c r="K475">
        <v>0.438</v>
      </c>
      <c r="L475">
        <v>1.6</v>
      </c>
      <c r="M475">
        <v>3.8</v>
      </c>
      <c r="N475">
        <v>0.41499999999999998</v>
      </c>
      <c r="O475">
        <v>2</v>
      </c>
      <c r="P475">
        <v>4.4000000000000004</v>
      </c>
      <c r="Q475">
        <v>0.45800000000000002</v>
      </c>
      <c r="R475">
        <v>0.53400000000000003</v>
      </c>
      <c r="S475">
        <v>1.5</v>
      </c>
      <c r="T475">
        <v>1.7</v>
      </c>
      <c r="U475">
        <v>0.88900000000000001</v>
      </c>
      <c r="V475">
        <v>0.6</v>
      </c>
      <c r="W475">
        <v>2.2000000000000002</v>
      </c>
      <c r="X475">
        <v>2.8</v>
      </c>
      <c r="Y475">
        <v>1.8</v>
      </c>
      <c r="Z475">
        <v>0.9</v>
      </c>
      <c r="AA475">
        <v>0.4</v>
      </c>
      <c r="AB475">
        <v>1</v>
      </c>
      <c r="AC475">
        <v>1.8</v>
      </c>
      <c r="AD475">
        <v>10.199999999999999</v>
      </c>
      <c r="AE475" t="str">
        <f>IF(OR(_nba2122[[#This Row],[G]]&gt;=58,nba2122_advanced[[#This Row],[MP]]&gt;=1000),"Y","N")</f>
        <v>Y</v>
      </c>
      <c r="AF47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3.7161476086326934</v>
      </c>
    </row>
    <row r="476" spans="1:32" x14ac:dyDescent="0.35">
      <c r="A476">
        <v>475</v>
      </c>
      <c r="B476" s="1" t="s">
        <v>545</v>
      </c>
      <c r="C476" s="1" t="s">
        <v>41</v>
      </c>
      <c r="D476">
        <v>29</v>
      </c>
      <c r="E476" s="1" t="s">
        <v>86</v>
      </c>
      <c r="F476">
        <v>67</v>
      </c>
      <c r="G476">
        <v>18</v>
      </c>
      <c r="H476">
        <v>22.1</v>
      </c>
      <c r="I476">
        <v>2.2000000000000002</v>
      </c>
      <c r="J476">
        <v>5.2</v>
      </c>
      <c r="K476">
        <v>0.41699999999999998</v>
      </c>
      <c r="L476">
        <v>1.2</v>
      </c>
      <c r="M476">
        <v>3.4</v>
      </c>
      <c r="N476">
        <v>0.34200000000000003</v>
      </c>
      <c r="O476">
        <v>1</v>
      </c>
      <c r="P476">
        <v>1.8</v>
      </c>
      <c r="Q476">
        <v>0.56299999999999994</v>
      </c>
      <c r="R476">
        <v>0.53</v>
      </c>
      <c r="S476">
        <v>0.5</v>
      </c>
      <c r="T476">
        <v>0.7</v>
      </c>
      <c r="U476">
        <v>0.72699999999999998</v>
      </c>
      <c r="V476">
        <v>0.3</v>
      </c>
      <c r="W476">
        <v>1.4</v>
      </c>
      <c r="X476">
        <v>1.7</v>
      </c>
      <c r="Y476">
        <v>1.3</v>
      </c>
      <c r="Z476">
        <v>0.8</v>
      </c>
      <c r="AA476">
        <v>0.1</v>
      </c>
      <c r="AB476">
        <v>0.8</v>
      </c>
      <c r="AC476">
        <v>1.8</v>
      </c>
      <c r="AD476">
        <v>6</v>
      </c>
      <c r="AE476" t="str">
        <f>IF(OR(_nba2122[[#This Row],[G]]&gt;=58,nba2122_advanced[[#This Row],[MP]]&gt;=1000),"Y","N")</f>
        <v>Y</v>
      </c>
      <c r="AF47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7.4575827323096338</v>
      </c>
    </row>
    <row r="477" spans="1:32" x14ac:dyDescent="0.35">
      <c r="A477">
        <v>476</v>
      </c>
      <c r="B477" s="1" t="s">
        <v>546</v>
      </c>
      <c r="C477" s="1" t="s">
        <v>41</v>
      </c>
      <c r="D477">
        <v>27</v>
      </c>
      <c r="E477" s="1" t="s">
        <v>36</v>
      </c>
      <c r="F477">
        <v>79</v>
      </c>
      <c r="G477">
        <v>68</v>
      </c>
      <c r="H477">
        <v>25.9</v>
      </c>
      <c r="I477">
        <v>3.7</v>
      </c>
      <c r="J477">
        <v>9.1999999999999993</v>
      </c>
      <c r="K477">
        <v>0.39900000000000002</v>
      </c>
      <c r="L477">
        <v>2.9</v>
      </c>
      <c r="M477">
        <v>7.9</v>
      </c>
      <c r="N477">
        <v>0.372</v>
      </c>
      <c r="O477">
        <v>0.7</v>
      </c>
      <c r="P477">
        <v>1.3</v>
      </c>
      <c r="Q477">
        <v>0.56899999999999995</v>
      </c>
      <c r="R477">
        <v>0.55900000000000005</v>
      </c>
      <c r="S477">
        <v>0.6</v>
      </c>
      <c r="T477">
        <v>0.8</v>
      </c>
      <c r="U477">
        <v>0.83599999999999997</v>
      </c>
      <c r="V477">
        <v>0.3</v>
      </c>
      <c r="W477">
        <v>2.2999999999999998</v>
      </c>
      <c r="X477">
        <v>2.6</v>
      </c>
      <c r="Y477">
        <v>1.6</v>
      </c>
      <c r="Z477">
        <v>0.5</v>
      </c>
      <c r="AA477">
        <v>0.2</v>
      </c>
      <c r="AB477">
        <v>0.8</v>
      </c>
      <c r="AC477">
        <v>2.5</v>
      </c>
      <c r="AD477">
        <v>10.9</v>
      </c>
      <c r="AE477" t="str">
        <f>IF(OR(_nba2122[[#This Row],[G]]&gt;=58,nba2122_advanced[[#This Row],[MP]]&gt;=1000),"Y","N")</f>
        <v>Y</v>
      </c>
      <c r="AF47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7.3655049702869446</v>
      </c>
    </row>
    <row r="478" spans="1:32" x14ac:dyDescent="0.35">
      <c r="A478">
        <v>477</v>
      </c>
      <c r="B478" s="1" t="s">
        <v>547</v>
      </c>
      <c r="C478" s="1" t="s">
        <v>48</v>
      </c>
      <c r="D478">
        <v>24</v>
      </c>
      <c r="E478" s="1" t="s">
        <v>42</v>
      </c>
      <c r="F478">
        <v>25</v>
      </c>
      <c r="G478">
        <v>0</v>
      </c>
      <c r="H478">
        <v>12.2</v>
      </c>
      <c r="I478">
        <v>1.1000000000000001</v>
      </c>
      <c r="J478">
        <v>3.7</v>
      </c>
      <c r="K478">
        <v>0.30099999999999999</v>
      </c>
      <c r="L478">
        <v>0.7</v>
      </c>
      <c r="M478">
        <v>2.4</v>
      </c>
      <c r="N478">
        <v>0.29499999999999998</v>
      </c>
      <c r="O478">
        <v>0.4</v>
      </c>
      <c r="P478">
        <v>1.3</v>
      </c>
      <c r="Q478">
        <v>0.313</v>
      </c>
      <c r="R478">
        <v>0.39800000000000002</v>
      </c>
      <c r="S478">
        <v>0.2</v>
      </c>
      <c r="T478">
        <v>0.3</v>
      </c>
      <c r="U478">
        <v>0.5</v>
      </c>
      <c r="V478">
        <v>0.2</v>
      </c>
      <c r="W478">
        <v>0.7</v>
      </c>
      <c r="X478">
        <v>0.8</v>
      </c>
      <c r="Y478">
        <v>1.3</v>
      </c>
      <c r="Z478">
        <v>0.4</v>
      </c>
      <c r="AA478">
        <v>0</v>
      </c>
      <c r="AB478">
        <v>0.7</v>
      </c>
      <c r="AC478">
        <v>1.1000000000000001</v>
      </c>
      <c r="AD478">
        <v>3.1</v>
      </c>
      <c r="AE478" t="str">
        <f>IF(OR(_nba2122[[#This Row],[G]]&gt;=58,nba2122_advanced[[#This Row],[MP]]&gt;=1000),"Y","N")</f>
        <v>N</v>
      </c>
      <c r="AF47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10.014884197797086</v>
      </c>
    </row>
    <row r="479" spans="1:32" x14ac:dyDescent="0.35">
      <c r="A479">
        <v>478</v>
      </c>
      <c r="B479" s="1" t="s">
        <v>548</v>
      </c>
      <c r="C479" s="1" t="s">
        <v>31</v>
      </c>
      <c r="D479">
        <v>23</v>
      </c>
      <c r="E479" s="1" t="s">
        <v>61</v>
      </c>
      <c r="F479">
        <v>72</v>
      </c>
      <c r="G479">
        <v>62</v>
      </c>
      <c r="H479">
        <v>25.7</v>
      </c>
      <c r="I479">
        <v>3.6</v>
      </c>
      <c r="J479">
        <v>4.8</v>
      </c>
      <c r="K479">
        <v>0.76100000000000001</v>
      </c>
      <c r="L479">
        <v>0</v>
      </c>
      <c r="M479">
        <v>0</v>
      </c>
      <c r="O479">
        <v>3.6</v>
      </c>
      <c r="P479">
        <v>4.8</v>
      </c>
      <c r="Q479">
        <v>0.76100000000000001</v>
      </c>
      <c r="R479">
        <v>0.76100000000000001</v>
      </c>
      <c r="S479">
        <v>1.2</v>
      </c>
      <c r="T479">
        <v>2.5</v>
      </c>
      <c r="U479">
        <v>0.48599999999999999</v>
      </c>
      <c r="V479">
        <v>4.0999999999999996</v>
      </c>
      <c r="W479">
        <v>4.5</v>
      </c>
      <c r="X479">
        <v>8.6</v>
      </c>
      <c r="Y479">
        <v>0.5</v>
      </c>
      <c r="Z479">
        <v>0.8</v>
      </c>
      <c r="AA479">
        <v>1.8</v>
      </c>
      <c r="AB479">
        <v>0.8</v>
      </c>
      <c r="AC479">
        <v>2.7</v>
      </c>
      <c r="AD479">
        <v>8.5</v>
      </c>
      <c r="AE479" t="str">
        <f>IF(OR(_nba2122[[#This Row],[G]]&gt;=58,nba2122_advanced[[#This Row],[MP]]&gt;=1000),"Y","N")</f>
        <v>Y</v>
      </c>
      <c r="AF47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15.16987513336526</v>
      </c>
    </row>
    <row r="480" spans="1:32" x14ac:dyDescent="0.35">
      <c r="A480">
        <v>479</v>
      </c>
      <c r="B480" s="1" t="s">
        <v>549</v>
      </c>
      <c r="C480" s="1" t="s">
        <v>31</v>
      </c>
      <c r="D480">
        <v>21</v>
      </c>
      <c r="E480" s="1" t="s">
        <v>96</v>
      </c>
      <c r="F480">
        <v>49</v>
      </c>
      <c r="G480">
        <v>36</v>
      </c>
      <c r="H480">
        <v>22.2</v>
      </c>
      <c r="I480">
        <v>2.7</v>
      </c>
      <c r="J480">
        <v>6.6</v>
      </c>
      <c r="K480">
        <v>0.41399999999999998</v>
      </c>
      <c r="L480">
        <v>1.2</v>
      </c>
      <c r="M480">
        <v>3.4</v>
      </c>
      <c r="N480">
        <v>0.35199999999999998</v>
      </c>
      <c r="O480">
        <v>1.6</v>
      </c>
      <c r="P480">
        <v>3.2</v>
      </c>
      <c r="Q480">
        <v>0.47799999999999998</v>
      </c>
      <c r="R480">
        <v>0.503</v>
      </c>
      <c r="S480">
        <v>0.8</v>
      </c>
      <c r="T480">
        <v>1.1000000000000001</v>
      </c>
      <c r="U480">
        <v>0.74099999999999999</v>
      </c>
      <c r="V480">
        <v>1.5</v>
      </c>
      <c r="W480">
        <v>4.0999999999999996</v>
      </c>
      <c r="X480">
        <v>5.6</v>
      </c>
      <c r="Y480">
        <v>1</v>
      </c>
      <c r="Z480">
        <v>0.6</v>
      </c>
      <c r="AA480">
        <v>0.3</v>
      </c>
      <c r="AB480">
        <v>0.8</v>
      </c>
      <c r="AC480">
        <v>1.5</v>
      </c>
      <c r="AD480">
        <v>7.5</v>
      </c>
      <c r="AE480" t="str">
        <f>IF(OR(_nba2122[[#This Row],[G]]&gt;=58,nba2122_advanced[[#This Row],[MP]]&gt;=1000),"Y","N")</f>
        <v>Y</v>
      </c>
      <c r="AF48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5.3970043753571364</v>
      </c>
    </row>
    <row r="481" spans="1:32" x14ac:dyDescent="0.35">
      <c r="A481">
        <v>480</v>
      </c>
      <c r="B481" s="1" t="s">
        <v>550</v>
      </c>
      <c r="C481" s="1" t="s">
        <v>28</v>
      </c>
      <c r="D481">
        <v>23</v>
      </c>
      <c r="E481" s="1" t="s">
        <v>96</v>
      </c>
      <c r="F481">
        <v>45</v>
      </c>
      <c r="G481">
        <v>28</v>
      </c>
      <c r="H481">
        <v>21.1</v>
      </c>
      <c r="I481">
        <v>3.7</v>
      </c>
      <c r="J481">
        <v>7.2</v>
      </c>
      <c r="K481">
        <v>0.51400000000000001</v>
      </c>
      <c r="L481">
        <v>1</v>
      </c>
      <c r="M481">
        <v>2.2000000000000002</v>
      </c>
      <c r="N481">
        <v>0.44400000000000001</v>
      </c>
      <c r="O481">
        <v>2.7</v>
      </c>
      <c r="P481">
        <v>5</v>
      </c>
      <c r="Q481">
        <v>0.54500000000000004</v>
      </c>
      <c r="R481">
        <v>0.58199999999999996</v>
      </c>
      <c r="S481">
        <v>1.7</v>
      </c>
      <c r="T481">
        <v>2.6</v>
      </c>
      <c r="U481">
        <v>0.67200000000000004</v>
      </c>
      <c r="V481">
        <v>1.7</v>
      </c>
      <c r="W481">
        <v>3.2</v>
      </c>
      <c r="X481">
        <v>4.8</v>
      </c>
      <c r="Y481">
        <v>1.6</v>
      </c>
      <c r="Z481">
        <v>0.8</v>
      </c>
      <c r="AA481">
        <v>0.8</v>
      </c>
      <c r="AB481">
        <v>1</v>
      </c>
      <c r="AC481">
        <v>2.4</v>
      </c>
      <c r="AD481">
        <v>10.1</v>
      </c>
      <c r="AE481" t="str">
        <f>IF(OR(_nba2122[[#This Row],[G]]&gt;=58,nba2122_advanced[[#This Row],[MP]]&gt;=1000),"Y","N")</f>
        <v>N</v>
      </c>
      <c r="AF48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4.7814420656422856</v>
      </c>
    </row>
    <row r="482" spans="1:32" x14ac:dyDescent="0.35">
      <c r="A482">
        <v>481</v>
      </c>
      <c r="B482" s="1" t="s">
        <v>551</v>
      </c>
      <c r="C482" s="1" t="s">
        <v>48</v>
      </c>
      <c r="D482">
        <v>35</v>
      </c>
      <c r="E482" s="1" t="s">
        <v>42</v>
      </c>
      <c r="F482">
        <v>39</v>
      </c>
      <c r="G482">
        <v>1</v>
      </c>
      <c r="H482">
        <v>17.899999999999999</v>
      </c>
      <c r="I482">
        <v>1.7</v>
      </c>
      <c r="J482">
        <v>4.5</v>
      </c>
      <c r="K482">
        <v>0.38600000000000001</v>
      </c>
      <c r="L482">
        <v>0.8</v>
      </c>
      <c r="M482">
        <v>2.2999999999999998</v>
      </c>
      <c r="N482">
        <v>0.35199999999999998</v>
      </c>
      <c r="O482">
        <v>0.9</v>
      </c>
      <c r="P482">
        <v>2.2999999999999998</v>
      </c>
      <c r="Q482">
        <v>0.42</v>
      </c>
      <c r="R482">
        <v>0.47399999999999998</v>
      </c>
      <c r="S482">
        <v>0.5</v>
      </c>
      <c r="T482">
        <v>0.7</v>
      </c>
      <c r="U482">
        <v>0.73099999999999998</v>
      </c>
      <c r="V482">
        <v>0.4</v>
      </c>
      <c r="W482">
        <v>2.4</v>
      </c>
      <c r="X482">
        <v>2.8</v>
      </c>
      <c r="Y482">
        <v>4.4000000000000004</v>
      </c>
      <c r="Z482">
        <v>0.8</v>
      </c>
      <c r="AA482">
        <v>0.2</v>
      </c>
      <c r="AB482">
        <v>1.7</v>
      </c>
      <c r="AC482">
        <v>1.4</v>
      </c>
      <c r="AD482">
        <v>4.8</v>
      </c>
      <c r="AE482" t="str">
        <f>IF(OR(_nba2122[[#This Row],[G]]&gt;=58,nba2122_advanced[[#This Row],[MP]]&gt;=1000),"Y","N")</f>
        <v>N</v>
      </c>
      <c r="AF48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7.6837451422097169</v>
      </c>
    </row>
    <row r="483" spans="1:32" x14ac:dyDescent="0.35">
      <c r="A483">
        <v>482</v>
      </c>
      <c r="B483" s="1" t="s">
        <v>552</v>
      </c>
      <c r="C483" s="1" t="s">
        <v>48</v>
      </c>
      <c r="D483">
        <v>33</v>
      </c>
      <c r="E483" s="1" t="s">
        <v>61</v>
      </c>
      <c r="F483">
        <v>26</v>
      </c>
      <c r="G483">
        <v>4</v>
      </c>
      <c r="H483">
        <v>24.5</v>
      </c>
      <c r="I483">
        <v>4.7</v>
      </c>
      <c r="J483">
        <v>10.5</v>
      </c>
      <c r="K483">
        <v>0.44500000000000001</v>
      </c>
      <c r="L483">
        <v>1.4</v>
      </c>
      <c r="M483">
        <v>3.5</v>
      </c>
      <c r="N483">
        <v>0.40200000000000002</v>
      </c>
      <c r="O483">
        <v>3.3</v>
      </c>
      <c r="P483">
        <v>7</v>
      </c>
      <c r="Q483">
        <v>0.46700000000000003</v>
      </c>
      <c r="R483">
        <v>0.51300000000000001</v>
      </c>
      <c r="S483">
        <v>1.2</v>
      </c>
      <c r="T483">
        <v>1.2</v>
      </c>
      <c r="U483">
        <v>0.96799999999999997</v>
      </c>
      <c r="V483">
        <v>0.8</v>
      </c>
      <c r="W483">
        <v>2.2000000000000002</v>
      </c>
      <c r="X483">
        <v>3</v>
      </c>
      <c r="Y483">
        <v>4</v>
      </c>
      <c r="Z483">
        <v>0.8</v>
      </c>
      <c r="AA483">
        <v>0.5</v>
      </c>
      <c r="AB483">
        <v>1.5</v>
      </c>
      <c r="AC483">
        <v>0.6</v>
      </c>
      <c r="AD483">
        <v>12</v>
      </c>
      <c r="AE483" t="str">
        <f>IF(OR(_nba2122[[#This Row],[G]]&gt;=58,nba2122_advanced[[#This Row],[MP]]&gt;=1000),"Y","N")</f>
        <v>N</v>
      </c>
      <c r="AF48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4.3170699609963004</v>
      </c>
    </row>
    <row r="484" spans="1:32" x14ac:dyDescent="0.35">
      <c r="A484">
        <v>483</v>
      </c>
      <c r="B484" s="1" t="s">
        <v>553</v>
      </c>
      <c r="C484" s="1" t="s">
        <v>41</v>
      </c>
      <c r="D484">
        <v>30</v>
      </c>
      <c r="E484" s="1" t="s">
        <v>58</v>
      </c>
      <c r="F484">
        <v>63</v>
      </c>
      <c r="G484">
        <v>0</v>
      </c>
      <c r="H484">
        <v>23</v>
      </c>
      <c r="I484">
        <v>3.5</v>
      </c>
      <c r="J484">
        <v>8.8000000000000007</v>
      </c>
      <c r="K484">
        <v>0.39700000000000002</v>
      </c>
      <c r="L484">
        <v>1.2</v>
      </c>
      <c r="M484">
        <v>4.2</v>
      </c>
      <c r="N484">
        <v>0.29199999999999998</v>
      </c>
      <c r="O484">
        <v>2.2999999999999998</v>
      </c>
      <c r="P484">
        <v>4.5999999999999996</v>
      </c>
      <c r="Q484">
        <v>0.49299999999999999</v>
      </c>
      <c r="R484">
        <v>0.46700000000000003</v>
      </c>
      <c r="S484">
        <v>1.8</v>
      </c>
      <c r="T484">
        <v>2.1</v>
      </c>
      <c r="U484">
        <v>0.86199999999999999</v>
      </c>
      <c r="V484">
        <v>0.3</v>
      </c>
      <c r="W484">
        <v>2.2000000000000002</v>
      </c>
      <c r="X484">
        <v>2.6</v>
      </c>
      <c r="Y484">
        <v>1.8</v>
      </c>
      <c r="Z484">
        <v>0.4</v>
      </c>
      <c r="AA484">
        <v>0.2</v>
      </c>
      <c r="AB484">
        <v>1.2</v>
      </c>
      <c r="AC484">
        <v>1.1000000000000001</v>
      </c>
      <c r="AD484">
        <v>10</v>
      </c>
      <c r="AE484" t="str">
        <f>IF(OR(_nba2122[[#This Row],[G]]&gt;=58,nba2122_advanced[[#This Row],[MP]]&gt;=1000),"Y","N")</f>
        <v>Y</v>
      </c>
      <c r="AF48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5.6022159754852163</v>
      </c>
    </row>
    <row r="485" spans="1:32" x14ac:dyDescent="0.35">
      <c r="A485">
        <v>484</v>
      </c>
      <c r="B485" s="1" t="s">
        <v>554</v>
      </c>
      <c r="C485" s="1" t="s">
        <v>41</v>
      </c>
      <c r="D485">
        <v>27</v>
      </c>
      <c r="E485" s="1" t="s">
        <v>73</v>
      </c>
      <c r="F485">
        <v>73</v>
      </c>
      <c r="G485">
        <v>73</v>
      </c>
      <c r="H485">
        <v>33.700000000000003</v>
      </c>
      <c r="I485">
        <v>7.1</v>
      </c>
      <c r="J485">
        <v>16</v>
      </c>
      <c r="K485">
        <v>0.44400000000000001</v>
      </c>
      <c r="L485">
        <v>3</v>
      </c>
      <c r="M485">
        <v>8.1</v>
      </c>
      <c r="N485">
        <v>0.374</v>
      </c>
      <c r="O485">
        <v>4.0999999999999996</v>
      </c>
      <c r="P485">
        <v>7.9</v>
      </c>
      <c r="Q485">
        <v>0.51600000000000001</v>
      </c>
      <c r="R485">
        <v>0.53900000000000003</v>
      </c>
      <c r="S485">
        <v>2.1</v>
      </c>
      <c r="T485">
        <v>2.4</v>
      </c>
      <c r="U485">
        <v>0.85199999999999998</v>
      </c>
      <c r="V485">
        <v>0.8</v>
      </c>
      <c r="W485">
        <v>3.5</v>
      </c>
      <c r="X485">
        <v>4.3</v>
      </c>
      <c r="Y485">
        <v>4.5</v>
      </c>
      <c r="Z485">
        <v>1.3</v>
      </c>
      <c r="AA485">
        <v>0.3</v>
      </c>
      <c r="AB485">
        <v>1.3</v>
      </c>
      <c r="AC485">
        <v>1.6</v>
      </c>
      <c r="AD485">
        <v>19.3</v>
      </c>
      <c r="AE485" t="str">
        <f>IF(OR(_nba2122[[#This Row],[G]]&gt;=58,nba2122_advanced[[#This Row],[MP]]&gt;=1000),"Y","N")</f>
        <v>Y</v>
      </c>
      <c r="AF48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5.2554052754298208</v>
      </c>
    </row>
    <row r="486" spans="1:32" x14ac:dyDescent="0.35">
      <c r="A486">
        <v>485</v>
      </c>
      <c r="B486" s="1" t="s">
        <v>555</v>
      </c>
      <c r="C486" s="1" t="s">
        <v>48</v>
      </c>
      <c r="D486">
        <v>31</v>
      </c>
      <c r="E486" s="1" t="s">
        <v>46</v>
      </c>
      <c r="F486">
        <v>34</v>
      </c>
      <c r="G486">
        <v>8</v>
      </c>
      <c r="H486">
        <v>28.5</v>
      </c>
      <c r="I486">
        <v>4.4000000000000004</v>
      </c>
      <c r="J486">
        <v>12.1</v>
      </c>
      <c r="K486">
        <v>0.36299999999999999</v>
      </c>
      <c r="L486">
        <v>1.7</v>
      </c>
      <c r="M486">
        <v>5.0999999999999996</v>
      </c>
      <c r="N486">
        <v>0.33900000000000002</v>
      </c>
      <c r="O486">
        <v>2.6</v>
      </c>
      <c r="P486">
        <v>7</v>
      </c>
      <c r="Q486">
        <v>0.38</v>
      </c>
      <c r="R486">
        <v>0.434</v>
      </c>
      <c r="S486">
        <v>2.6</v>
      </c>
      <c r="T486">
        <v>3</v>
      </c>
      <c r="U486">
        <v>0.85399999999999998</v>
      </c>
      <c r="V486">
        <v>0.4</v>
      </c>
      <c r="W486">
        <v>3.7</v>
      </c>
      <c r="X486">
        <v>4.0999999999999996</v>
      </c>
      <c r="Y486">
        <v>6.6</v>
      </c>
      <c r="Z486">
        <v>1.4</v>
      </c>
      <c r="AA486">
        <v>0.2</v>
      </c>
      <c r="AB486">
        <v>2.6</v>
      </c>
      <c r="AC486">
        <v>2.2000000000000002</v>
      </c>
      <c r="AD486">
        <v>13.1</v>
      </c>
      <c r="AE486" t="str">
        <f>IF(OR(_nba2122[[#This Row],[G]]&gt;=58,nba2122_advanced[[#This Row],[MP]]&gt;=1000),"Y","N")</f>
        <v>N</v>
      </c>
      <c r="AF48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7.6255298892529044</v>
      </c>
    </row>
    <row r="487" spans="1:32" x14ac:dyDescent="0.35">
      <c r="A487">
        <v>486</v>
      </c>
      <c r="B487" s="1" t="s">
        <v>556</v>
      </c>
      <c r="C487" s="1" t="s">
        <v>48</v>
      </c>
      <c r="D487">
        <v>25</v>
      </c>
      <c r="E487" s="1" t="s">
        <v>99</v>
      </c>
      <c r="F487">
        <v>65</v>
      </c>
      <c r="G487">
        <v>65</v>
      </c>
      <c r="H487">
        <v>32</v>
      </c>
      <c r="I487">
        <v>6.2</v>
      </c>
      <c r="J487">
        <v>15</v>
      </c>
      <c r="K487">
        <v>0.41099999999999998</v>
      </c>
      <c r="L487">
        <v>2.7</v>
      </c>
      <c r="M487">
        <v>8</v>
      </c>
      <c r="N487">
        <v>0.34</v>
      </c>
      <c r="O487">
        <v>3.5</v>
      </c>
      <c r="P487">
        <v>7</v>
      </c>
      <c r="Q487">
        <v>0.49199999999999999</v>
      </c>
      <c r="R487">
        <v>0.502</v>
      </c>
      <c r="S487">
        <v>3</v>
      </c>
      <c r="T487">
        <v>3.7</v>
      </c>
      <c r="U487">
        <v>0.82499999999999996</v>
      </c>
      <c r="V487">
        <v>0.4</v>
      </c>
      <c r="W487">
        <v>2.9</v>
      </c>
      <c r="X487">
        <v>3.3</v>
      </c>
      <c r="Y487">
        <v>7.1</v>
      </c>
      <c r="Z487">
        <v>1</v>
      </c>
      <c r="AA487">
        <v>0.3</v>
      </c>
      <c r="AB487">
        <v>2.5</v>
      </c>
      <c r="AC487">
        <v>2</v>
      </c>
      <c r="AD487">
        <v>18.100000000000001</v>
      </c>
      <c r="AE487" t="str">
        <f>IF(OR(_nba2122[[#This Row],[G]]&gt;=58,nba2122_advanced[[#This Row],[MP]]&gt;=1000),"Y","N")</f>
        <v>Y</v>
      </c>
      <c r="AF48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6.7321408938388281</v>
      </c>
    </row>
    <row r="488" spans="1:32" x14ac:dyDescent="0.35">
      <c r="A488">
        <v>487</v>
      </c>
      <c r="B488" s="1" t="s">
        <v>557</v>
      </c>
      <c r="C488" s="1" t="s">
        <v>51</v>
      </c>
      <c r="D488">
        <v>24</v>
      </c>
      <c r="E488" s="1" t="s">
        <v>140</v>
      </c>
      <c r="F488">
        <v>1</v>
      </c>
      <c r="G488">
        <v>0</v>
      </c>
      <c r="H488">
        <v>5</v>
      </c>
      <c r="I488">
        <v>1</v>
      </c>
      <c r="J488">
        <v>5</v>
      </c>
      <c r="K488">
        <v>0.2</v>
      </c>
      <c r="L488">
        <v>1</v>
      </c>
      <c r="M488">
        <v>5</v>
      </c>
      <c r="N488">
        <v>0.2</v>
      </c>
      <c r="O488">
        <v>0</v>
      </c>
      <c r="P488">
        <v>0</v>
      </c>
      <c r="R488">
        <v>0.3</v>
      </c>
      <c r="S488">
        <v>0</v>
      </c>
      <c r="T488">
        <v>0</v>
      </c>
      <c r="V488">
        <v>0</v>
      </c>
      <c r="W488">
        <v>0</v>
      </c>
      <c r="X488">
        <v>0</v>
      </c>
      <c r="Y488">
        <v>0</v>
      </c>
      <c r="Z488">
        <v>1</v>
      </c>
      <c r="AA488">
        <v>0</v>
      </c>
      <c r="AB488">
        <v>0</v>
      </c>
      <c r="AC488">
        <v>0</v>
      </c>
      <c r="AD488">
        <v>3</v>
      </c>
      <c r="AE488" t="str">
        <f>IF(OR(_nba2122[[#This Row],[G]]&gt;=58,nba2122_advanced[[#This Row],[MP]]&gt;=1000),"Y","N")</f>
        <v>N</v>
      </c>
      <c r="AF48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22.28113944955701</v>
      </c>
    </row>
    <row r="489" spans="1:32" x14ac:dyDescent="0.35">
      <c r="A489">
        <v>488</v>
      </c>
      <c r="B489" s="2" t="s">
        <v>558</v>
      </c>
      <c r="C489" s="1" t="s">
        <v>31</v>
      </c>
      <c r="D489">
        <v>25</v>
      </c>
      <c r="E489" s="1" t="s">
        <v>42</v>
      </c>
      <c r="F489">
        <v>62</v>
      </c>
      <c r="G489">
        <v>61</v>
      </c>
      <c r="H489">
        <v>34.5</v>
      </c>
      <c r="I489">
        <v>7.1</v>
      </c>
      <c r="J489">
        <v>12.5</v>
      </c>
      <c r="K489">
        <v>0.57299999999999995</v>
      </c>
      <c r="L489">
        <v>0.6</v>
      </c>
      <c r="M489">
        <v>2</v>
      </c>
      <c r="N489">
        <v>0.312</v>
      </c>
      <c r="O489">
        <v>6.5</v>
      </c>
      <c r="P489">
        <v>10.5</v>
      </c>
      <c r="Q489">
        <v>0.623</v>
      </c>
      <c r="R489">
        <v>0.59799999999999998</v>
      </c>
      <c r="S489">
        <v>4</v>
      </c>
      <c r="T489">
        <v>5.4</v>
      </c>
      <c r="U489">
        <v>0.74099999999999999</v>
      </c>
      <c r="V489">
        <v>3.2</v>
      </c>
      <c r="W489">
        <v>8.9</v>
      </c>
      <c r="X489">
        <v>12.1</v>
      </c>
      <c r="Y489">
        <v>5.2</v>
      </c>
      <c r="Z489">
        <v>1</v>
      </c>
      <c r="AA489">
        <v>0.4</v>
      </c>
      <c r="AB489">
        <v>3.1</v>
      </c>
      <c r="AC489">
        <v>3.3</v>
      </c>
      <c r="AD489">
        <v>18.899999999999999</v>
      </c>
      <c r="AE489" t="str">
        <f>IF(OR(_nba2122[[#This Row],[G]]&gt;=58,nba2122_advanced[[#This Row],[MP]]&gt;=1000),"Y","N")</f>
        <v>Y</v>
      </c>
      <c r="AF48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9.8904895399511101</v>
      </c>
    </row>
    <row r="490" spans="1:32" x14ac:dyDescent="0.35">
      <c r="A490">
        <v>489</v>
      </c>
      <c r="B490" s="1" t="s">
        <v>559</v>
      </c>
      <c r="C490" s="1" t="s">
        <v>31</v>
      </c>
      <c r="D490">
        <v>22</v>
      </c>
      <c r="E490" s="1" t="s">
        <v>96</v>
      </c>
      <c r="F490">
        <v>22</v>
      </c>
      <c r="G490">
        <v>2</v>
      </c>
      <c r="H490">
        <v>19.100000000000001</v>
      </c>
      <c r="I490">
        <v>2.6</v>
      </c>
      <c r="J490">
        <v>4.5999999999999996</v>
      </c>
      <c r="K490">
        <v>0.57399999999999995</v>
      </c>
      <c r="L490">
        <v>0.6</v>
      </c>
      <c r="M490">
        <v>1.3</v>
      </c>
      <c r="N490">
        <v>0.44800000000000001</v>
      </c>
      <c r="O490">
        <v>2</v>
      </c>
      <c r="P490">
        <v>3.3</v>
      </c>
      <c r="Q490">
        <v>0.625</v>
      </c>
      <c r="R490">
        <v>0.63900000000000001</v>
      </c>
      <c r="S490">
        <v>1.1000000000000001</v>
      </c>
      <c r="T490">
        <v>1.3</v>
      </c>
      <c r="U490">
        <v>0.82799999999999996</v>
      </c>
      <c r="V490">
        <v>1.5</v>
      </c>
      <c r="W490">
        <v>2.7</v>
      </c>
      <c r="X490">
        <v>4.2</v>
      </c>
      <c r="Y490">
        <v>0.9</v>
      </c>
      <c r="Z490">
        <v>0.3</v>
      </c>
      <c r="AA490">
        <v>0.7</v>
      </c>
      <c r="AB490">
        <v>1</v>
      </c>
      <c r="AC490">
        <v>2.4</v>
      </c>
      <c r="AD490">
        <v>7</v>
      </c>
      <c r="AE490" t="str">
        <f>IF(OR(_nba2122[[#This Row],[G]]&gt;=58,nba2122_advanced[[#This Row],[MP]]&gt;=1000),"Y","N")</f>
        <v>N</v>
      </c>
      <c r="AF49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6.8014829490115662</v>
      </c>
    </row>
    <row r="491" spans="1:32" x14ac:dyDescent="0.35">
      <c r="A491">
        <v>490</v>
      </c>
      <c r="B491" s="1" t="s">
        <v>560</v>
      </c>
      <c r="C491" s="1" t="s">
        <v>41</v>
      </c>
      <c r="D491">
        <v>30</v>
      </c>
      <c r="E491" s="1" t="s">
        <v>42</v>
      </c>
      <c r="F491">
        <v>55</v>
      </c>
      <c r="G491">
        <v>13</v>
      </c>
      <c r="H491">
        <v>16.5</v>
      </c>
      <c r="I491">
        <v>1.3</v>
      </c>
      <c r="J491">
        <v>3.5</v>
      </c>
      <c r="K491">
        <v>0.377</v>
      </c>
      <c r="L491">
        <v>0.2</v>
      </c>
      <c r="M491">
        <v>1</v>
      </c>
      <c r="N491">
        <v>0.20799999999999999</v>
      </c>
      <c r="O491">
        <v>1.1000000000000001</v>
      </c>
      <c r="P491">
        <v>2.5</v>
      </c>
      <c r="Q491">
        <v>0.442</v>
      </c>
      <c r="R491">
        <v>0.40600000000000003</v>
      </c>
      <c r="S491">
        <v>0.8</v>
      </c>
      <c r="T491">
        <v>1</v>
      </c>
      <c r="U491">
        <v>0.79600000000000004</v>
      </c>
      <c r="V491">
        <v>0.5</v>
      </c>
      <c r="W491">
        <v>1.8</v>
      </c>
      <c r="X491">
        <v>2.2999999999999998</v>
      </c>
      <c r="Y491">
        <v>3.3</v>
      </c>
      <c r="Z491">
        <v>0.5</v>
      </c>
      <c r="AA491">
        <v>0.1</v>
      </c>
      <c r="AB491">
        <v>0.8</v>
      </c>
      <c r="AC491">
        <v>1.3</v>
      </c>
      <c r="AD491">
        <v>3.6</v>
      </c>
      <c r="AE491" t="str">
        <f>IF(OR(_nba2122[[#This Row],[G]]&gt;=58,nba2122_advanced[[#This Row],[MP]]&gt;=1000),"Y","N")</f>
        <v>N</v>
      </c>
      <c r="AF49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7.6176799240602353</v>
      </c>
    </row>
    <row r="492" spans="1:32" x14ac:dyDescent="0.35">
      <c r="A492">
        <v>491</v>
      </c>
      <c r="B492" s="1" t="s">
        <v>561</v>
      </c>
      <c r="C492" s="1" t="s">
        <v>41</v>
      </c>
      <c r="D492">
        <v>23</v>
      </c>
      <c r="E492" s="1" t="s">
        <v>65</v>
      </c>
      <c r="F492">
        <v>4</v>
      </c>
      <c r="G492">
        <v>0</v>
      </c>
      <c r="H492">
        <v>7.5</v>
      </c>
      <c r="I492">
        <v>0.3</v>
      </c>
      <c r="J492">
        <v>2.8</v>
      </c>
      <c r="K492">
        <v>9.0999999999999998E-2</v>
      </c>
      <c r="L492">
        <v>0.3</v>
      </c>
      <c r="M492">
        <v>1.5</v>
      </c>
      <c r="N492">
        <v>0.16700000000000001</v>
      </c>
      <c r="O492">
        <v>0</v>
      </c>
      <c r="P492">
        <v>1.3</v>
      </c>
      <c r="Q492">
        <v>0</v>
      </c>
      <c r="R492">
        <v>0.13600000000000001</v>
      </c>
      <c r="S492">
        <v>0.5</v>
      </c>
      <c r="T492">
        <v>0.5</v>
      </c>
      <c r="U492">
        <v>1</v>
      </c>
      <c r="V492">
        <v>0.5</v>
      </c>
      <c r="W492">
        <v>1.5</v>
      </c>
      <c r="X492">
        <v>2</v>
      </c>
      <c r="Y492">
        <v>0</v>
      </c>
      <c r="Z492">
        <v>0.3</v>
      </c>
      <c r="AA492">
        <v>0</v>
      </c>
      <c r="AB492">
        <v>0.3</v>
      </c>
      <c r="AC492">
        <v>0</v>
      </c>
      <c r="AD492">
        <v>1.3</v>
      </c>
      <c r="AE492" t="str">
        <f>IF(OR(_nba2122[[#This Row],[G]]&gt;=58,nba2122_advanced[[#This Row],[MP]]&gt;=1000),"Y","N")</f>
        <v>N</v>
      </c>
      <c r="AF49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12.756976489623423</v>
      </c>
    </row>
    <row r="493" spans="1:32" x14ac:dyDescent="0.35">
      <c r="A493">
        <v>492</v>
      </c>
      <c r="B493" s="1" t="s">
        <v>562</v>
      </c>
      <c r="C493" s="1" t="s">
        <v>51</v>
      </c>
      <c r="D493">
        <v>24</v>
      </c>
      <c r="E493" s="1" t="s">
        <v>58</v>
      </c>
      <c r="F493">
        <v>38</v>
      </c>
      <c r="G493">
        <v>1</v>
      </c>
      <c r="H493">
        <v>12.3</v>
      </c>
      <c r="I493">
        <v>1.4</v>
      </c>
      <c r="J493">
        <v>3.4</v>
      </c>
      <c r="K493">
        <v>0.41899999999999998</v>
      </c>
      <c r="L493">
        <v>0.7</v>
      </c>
      <c r="M493">
        <v>2.1</v>
      </c>
      <c r="N493">
        <v>0.32900000000000001</v>
      </c>
      <c r="O493">
        <v>0.7</v>
      </c>
      <c r="P493">
        <v>1.3</v>
      </c>
      <c r="Q493">
        <v>0.56000000000000005</v>
      </c>
      <c r="R493">
        <v>0.51900000000000002</v>
      </c>
      <c r="S493">
        <v>0.3</v>
      </c>
      <c r="T493">
        <v>0.4</v>
      </c>
      <c r="U493">
        <v>0.8</v>
      </c>
      <c r="V493">
        <v>0.4</v>
      </c>
      <c r="W493">
        <v>1.9</v>
      </c>
      <c r="X493">
        <v>2.2999999999999998</v>
      </c>
      <c r="Y493">
        <v>0.7</v>
      </c>
      <c r="Z493">
        <v>0.1</v>
      </c>
      <c r="AA493">
        <v>0.1</v>
      </c>
      <c r="AB493">
        <v>0.6</v>
      </c>
      <c r="AC493">
        <v>1.5</v>
      </c>
      <c r="AD493">
        <v>3.8</v>
      </c>
      <c r="AE493" t="str">
        <f>IF(OR(_nba2122[[#This Row],[G]]&gt;=58,nba2122_advanced[[#This Row],[MP]]&gt;=1000),"Y","N")</f>
        <v>N</v>
      </c>
      <c r="AF49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8.4353859211680895</v>
      </c>
    </row>
    <row r="494" spans="1:32" x14ac:dyDescent="0.35">
      <c r="A494">
        <v>493</v>
      </c>
      <c r="B494" s="2" t="s">
        <v>563</v>
      </c>
      <c r="C494" s="1" t="s">
        <v>41</v>
      </c>
      <c r="D494">
        <v>28</v>
      </c>
      <c r="E494" s="1" t="s">
        <v>42</v>
      </c>
      <c r="F494">
        <v>64</v>
      </c>
      <c r="G494">
        <v>29</v>
      </c>
      <c r="H494">
        <v>28.7</v>
      </c>
      <c r="I494">
        <v>4.9000000000000004</v>
      </c>
      <c r="J494">
        <v>11.3</v>
      </c>
      <c r="K494">
        <v>0.43099999999999999</v>
      </c>
      <c r="L494">
        <v>1.3</v>
      </c>
      <c r="M494">
        <v>3.9</v>
      </c>
      <c r="N494">
        <v>0.34399999999999997</v>
      </c>
      <c r="O494">
        <v>3.5</v>
      </c>
      <c r="P494">
        <v>7.4</v>
      </c>
      <c r="Q494">
        <v>0.47699999999999998</v>
      </c>
      <c r="R494">
        <v>0.49</v>
      </c>
      <c r="S494">
        <v>2.5</v>
      </c>
      <c r="T494">
        <v>2.9</v>
      </c>
      <c r="U494">
        <v>0.85299999999999998</v>
      </c>
      <c r="V494">
        <v>0.5</v>
      </c>
      <c r="W494">
        <v>2.8</v>
      </c>
      <c r="X494">
        <v>3.3</v>
      </c>
      <c r="Y494">
        <v>4.5999999999999996</v>
      </c>
      <c r="Z494">
        <v>0.8</v>
      </c>
      <c r="AA494">
        <v>0.1</v>
      </c>
      <c r="AB494">
        <v>2.2000000000000002</v>
      </c>
      <c r="AC494">
        <v>2.4</v>
      </c>
      <c r="AD494">
        <v>13.5</v>
      </c>
      <c r="AE494" t="str">
        <f>IF(OR(_nba2122[[#This Row],[G]]&gt;=58,nba2122_advanced[[#This Row],[MP]]&gt;=1000),"Y","N")</f>
        <v>Y</v>
      </c>
      <c r="AF49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5.3065966991649942</v>
      </c>
    </row>
    <row r="495" spans="1:32" x14ac:dyDescent="0.35">
      <c r="A495">
        <v>494</v>
      </c>
      <c r="B495" s="1" t="s">
        <v>564</v>
      </c>
      <c r="C495" s="1" t="s">
        <v>51</v>
      </c>
      <c r="D495">
        <v>25</v>
      </c>
      <c r="E495" s="1" t="s">
        <v>46</v>
      </c>
      <c r="F495">
        <v>2</v>
      </c>
      <c r="G495">
        <v>0</v>
      </c>
      <c r="H495">
        <v>5.5</v>
      </c>
      <c r="I495">
        <v>1.5</v>
      </c>
      <c r="J495">
        <v>3</v>
      </c>
      <c r="K495">
        <v>0.5</v>
      </c>
      <c r="L495">
        <v>0</v>
      </c>
      <c r="M495">
        <v>0.5</v>
      </c>
      <c r="N495">
        <v>0</v>
      </c>
      <c r="O495">
        <v>1.5</v>
      </c>
      <c r="P495">
        <v>2.5</v>
      </c>
      <c r="Q495">
        <v>0.6</v>
      </c>
      <c r="R495">
        <v>0.5</v>
      </c>
      <c r="S495">
        <v>0</v>
      </c>
      <c r="T495">
        <v>0</v>
      </c>
      <c r="V495">
        <v>0.5</v>
      </c>
      <c r="W495">
        <v>0.5</v>
      </c>
      <c r="X495">
        <v>1</v>
      </c>
      <c r="Y495">
        <v>0</v>
      </c>
      <c r="Z495">
        <v>0.5</v>
      </c>
      <c r="AA495">
        <v>0.5</v>
      </c>
      <c r="AB495">
        <v>0</v>
      </c>
      <c r="AC495">
        <v>1</v>
      </c>
      <c r="AD495">
        <v>3</v>
      </c>
      <c r="AE495" t="str">
        <f>IF(OR(_nba2122[[#This Row],[G]]&gt;=58,nba2122_advanced[[#This Row],[MP]]&gt;=1000),"Y","N")</f>
        <v>N</v>
      </c>
      <c r="AF49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16.275364478236206</v>
      </c>
    </row>
    <row r="496" spans="1:32" x14ac:dyDescent="0.35">
      <c r="A496">
        <v>495</v>
      </c>
      <c r="B496" s="1" t="s">
        <v>565</v>
      </c>
      <c r="C496" s="1" t="s">
        <v>41</v>
      </c>
      <c r="D496">
        <v>21</v>
      </c>
      <c r="E496" s="1" t="s">
        <v>93</v>
      </c>
      <c r="F496">
        <v>18</v>
      </c>
      <c r="G496">
        <v>0</v>
      </c>
      <c r="H496">
        <v>6.7</v>
      </c>
      <c r="I496">
        <v>1</v>
      </c>
      <c r="J496">
        <v>2.6</v>
      </c>
      <c r="K496">
        <v>0.39100000000000001</v>
      </c>
      <c r="L496">
        <v>0.3</v>
      </c>
      <c r="M496">
        <v>1.2</v>
      </c>
      <c r="N496">
        <v>0.28599999999999998</v>
      </c>
      <c r="O496">
        <v>0.7</v>
      </c>
      <c r="P496">
        <v>1.4</v>
      </c>
      <c r="Q496">
        <v>0.48</v>
      </c>
      <c r="R496">
        <v>0.45700000000000002</v>
      </c>
      <c r="S496">
        <v>0.4</v>
      </c>
      <c r="T496">
        <v>0.6</v>
      </c>
      <c r="U496">
        <v>0.7</v>
      </c>
      <c r="V496">
        <v>0.1</v>
      </c>
      <c r="W496">
        <v>0.8</v>
      </c>
      <c r="X496">
        <v>0.9</v>
      </c>
      <c r="Y496">
        <v>0.4</v>
      </c>
      <c r="Z496">
        <v>0.2</v>
      </c>
      <c r="AA496">
        <v>0.2</v>
      </c>
      <c r="AB496">
        <v>0.4</v>
      </c>
      <c r="AC496">
        <v>0.5</v>
      </c>
      <c r="AD496">
        <v>2.7</v>
      </c>
      <c r="AE496" t="str">
        <f>IF(OR(_nba2122[[#This Row],[G]]&gt;=58,nba2122_advanced[[#This Row],[MP]]&gt;=1000),"Y","N")</f>
        <v>N</v>
      </c>
      <c r="AF49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7.5453694867813637</v>
      </c>
    </row>
    <row r="497" spans="1:32" x14ac:dyDescent="0.35">
      <c r="A497">
        <v>496</v>
      </c>
      <c r="B497" s="1" t="s">
        <v>566</v>
      </c>
      <c r="C497" s="1" t="s">
        <v>41</v>
      </c>
      <c r="D497">
        <v>27</v>
      </c>
      <c r="E497" s="1" t="s">
        <v>61</v>
      </c>
      <c r="F497">
        <v>3</v>
      </c>
      <c r="G497">
        <v>0</v>
      </c>
      <c r="H497">
        <v>6.3</v>
      </c>
      <c r="I497">
        <v>0.3</v>
      </c>
      <c r="J497">
        <v>1.3</v>
      </c>
      <c r="K497">
        <v>0.25</v>
      </c>
      <c r="L497">
        <v>0.3</v>
      </c>
      <c r="M497">
        <v>0.7</v>
      </c>
      <c r="N497">
        <v>0.5</v>
      </c>
      <c r="O497">
        <v>0</v>
      </c>
      <c r="P497">
        <v>0.7</v>
      </c>
      <c r="Q497">
        <v>0</v>
      </c>
      <c r="R497">
        <v>0.375</v>
      </c>
      <c r="S497">
        <v>0.7</v>
      </c>
      <c r="T497">
        <v>1.3</v>
      </c>
      <c r="U497">
        <v>0.5</v>
      </c>
      <c r="V497">
        <v>0</v>
      </c>
      <c r="W497">
        <v>0.3</v>
      </c>
      <c r="X497">
        <v>0.3</v>
      </c>
      <c r="Y497">
        <v>0.3</v>
      </c>
      <c r="Z497">
        <v>0</v>
      </c>
      <c r="AA497">
        <v>0</v>
      </c>
      <c r="AB497">
        <v>0</v>
      </c>
      <c r="AC497">
        <v>0.3</v>
      </c>
      <c r="AD497">
        <v>1.7</v>
      </c>
      <c r="AE497" t="str">
        <f>IF(OR(_nba2122[[#This Row],[G]]&gt;=58,nba2122_advanced[[#This Row],[MP]]&gt;=1000),"Y","N")</f>
        <v>N</v>
      </c>
      <c r="AF49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16.609832638419089</v>
      </c>
    </row>
    <row r="498" spans="1:32" x14ac:dyDescent="0.35">
      <c r="A498">
        <v>497</v>
      </c>
      <c r="B498" s="1" t="s">
        <v>567</v>
      </c>
      <c r="C498" s="1" t="s">
        <v>31</v>
      </c>
      <c r="D498">
        <v>19</v>
      </c>
      <c r="E498" s="1" t="s">
        <v>170</v>
      </c>
      <c r="F498">
        <v>72</v>
      </c>
      <c r="G498">
        <v>13</v>
      </c>
      <c r="H498">
        <v>20.7</v>
      </c>
      <c r="I498">
        <v>3.5</v>
      </c>
      <c r="J498">
        <v>7.3</v>
      </c>
      <c r="K498">
        <v>0.47399999999999998</v>
      </c>
      <c r="L498">
        <v>0.4</v>
      </c>
      <c r="M498">
        <v>1.6</v>
      </c>
      <c r="N498">
        <v>0.248</v>
      </c>
      <c r="O498">
        <v>3.1</v>
      </c>
      <c r="P498">
        <v>5.7</v>
      </c>
      <c r="Q498">
        <v>0.53900000000000003</v>
      </c>
      <c r="R498">
        <v>0.502</v>
      </c>
      <c r="S498">
        <v>2.2999999999999998</v>
      </c>
      <c r="T498">
        <v>3.2</v>
      </c>
      <c r="U498">
        <v>0.71099999999999997</v>
      </c>
      <c r="V498">
        <v>1.9</v>
      </c>
      <c r="W498">
        <v>3.5</v>
      </c>
      <c r="X498">
        <v>5.5</v>
      </c>
      <c r="Y498">
        <v>2.6</v>
      </c>
      <c r="Z498">
        <v>0.8</v>
      </c>
      <c r="AA498">
        <v>0.9</v>
      </c>
      <c r="AB498">
        <v>2</v>
      </c>
      <c r="AC498">
        <v>3</v>
      </c>
      <c r="AD498">
        <v>9.6</v>
      </c>
      <c r="AE498" t="str">
        <f>IF(OR(_nba2122[[#This Row],[G]]&gt;=58,nba2122_advanced[[#This Row],[MP]]&gt;=1000),"Y","N")</f>
        <v>Y</v>
      </c>
      <c r="AF49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6.766152432489811</v>
      </c>
    </row>
    <row r="499" spans="1:32" x14ac:dyDescent="0.35">
      <c r="A499">
        <v>498</v>
      </c>
      <c r="B499" s="1" t="s">
        <v>568</v>
      </c>
      <c r="C499" s="1" t="s">
        <v>41</v>
      </c>
      <c r="D499">
        <v>23</v>
      </c>
      <c r="E499" s="1" t="s">
        <v>46</v>
      </c>
      <c r="F499">
        <v>11</v>
      </c>
      <c r="G499">
        <v>11</v>
      </c>
      <c r="H499">
        <v>28.7</v>
      </c>
      <c r="I499">
        <v>6.2</v>
      </c>
      <c r="J499">
        <v>13.7</v>
      </c>
      <c r="K499">
        <v>0.45</v>
      </c>
      <c r="L499">
        <v>1</v>
      </c>
      <c r="M499">
        <v>4.0999999999999996</v>
      </c>
      <c r="N499">
        <v>0.24399999999999999</v>
      </c>
      <c r="O499">
        <v>5.2</v>
      </c>
      <c r="P499">
        <v>9.6</v>
      </c>
      <c r="Q499">
        <v>0.53800000000000003</v>
      </c>
      <c r="R499">
        <v>0.48699999999999999</v>
      </c>
      <c r="S499">
        <v>2.6</v>
      </c>
      <c r="T499">
        <v>3.5</v>
      </c>
      <c r="U499">
        <v>0.74399999999999999</v>
      </c>
      <c r="V499">
        <v>1.2</v>
      </c>
      <c r="W499">
        <v>2.1</v>
      </c>
      <c r="X499">
        <v>3.3</v>
      </c>
      <c r="Y499">
        <v>2.1</v>
      </c>
      <c r="Z499">
        <v>0.9</v>
      </c>
      <c r="AA499">
        <v>0</v>
      </c>
      <c r="AB499">
        <v>2.8</v>
      </c>
      <c r="AC499">
        <v>2.2999999999999998</v>
      </c>
      <c r="AD499">
        <v>16</v>
      </c>
      <c r="AE499" t="str">
        <f>IF(OR(_nba2122[[#This Row],[G]]&gt;=58,nba2122_advanced[[#This Row],[MP]]&gt;=1000),"Y","N")</f>
        <v>N</v>
      </c>
      <c r="AF49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6.3307361444829686</v>
      </c>
    </row>
    <row r="500" spans="1:32" x14ac:dyDescent="0.35">
      <c r="A500">
        <v>499</v>
      </c>
      <c r="B500" s="1" t="s">
        <v>569</v>
      </c>
      <c r="C500" s="1" t="s">
        <v>41</v>
      </c>
      <c r="D500">
        <v>24</v>
      </c>
      <c r="E500" s="1" t="s">
        <v>68</v>
      </c>
      <c r="F500">
        <v>69</v>
      </c>
      <c r="G500">
        <v>14</v>
      </c>
      <c r="H500">
        <v>20.8</v>
      </c>
      <c r="I500">
        <v>2.8</v>
      </c>
      <c r="J500">
        <v>7</v>
      </c>
      <c r="K500">
        <v>0.39400000000000002</v>
      </c>
      <c r="L500">
        <v>1.8</v>
      </c>
      <c r="M500">
        <v>4.8</v>
      </c>
      <c r="N500">
        <v>0.36799999999999999</v>
      </c>
      <c r="O500">
        <v>1</v>
      </c>
      <c r="P500">
        <v>2.2000000000000002</v>
      </c>
      <c r="Q500">
        <v>0.45</v>
      </c>
      <c r="R500">
        <v>0.52100000000000002</v>
      </c>
      <c r="S500">
        <v>1</v>
      </c>
      <c r="T500">
        <v>1.2</v>
      </c>
      <c r="U500">
        <v>0.84</v>
      </c>
      <c r="V500">
        <v>0.2</v>
      </c>
      <c r="W500">
        <v>1.6</v>
      </c>
      <c r="X500">
        <v>1.8</v>
      </c>
      <c r="Y500">
        <v>1.6</v>
      </c>
      <c r="Z500">
        <v>0.4</v>
      </c>
      <c r="AA500">
        <v>0.1</v>
      </c>
      <c r="AB500">
        <v>0.6</v>
      </c>
      <c r="AC500">
        <v>1.3</v>
      </c>
      <c r="AD500">
        <v>8.3000000000000007</v>
      </c>
      <c r="AE500" t="str">
        <f>IF(OR(_nba2122[[#This Row],[G]]&gt;=58,nba2122_advanced[[#This Row],[MP]]&gt;=1000),"Y","N")</f>
        <v>Y</v>
      </c>
      <c r="AF50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7.8773799959789343</v>
      </c>
    </row>
    <row r="501" spans="1:32" x14ac:dyDescent="0.35">
      <c r="A501">
        <v>500</v>
      </c>
      <c r="B501" s="1" t="s">
        <v>570</v>
      </c>
      <c r="C501" s="1" t="s">
        <v>28</v>
      </c>
      <c r="D501">
        <v>20</v>
      </c>
      <c r="E501" s="1" t="s">
        <v>39</v>
      </c>
      <c r="F501">
        <v>32</v>
      </c>
      <c r="G501">
        <v>8</v>
      </c>
      <c r="H501">
        <v>12.2</v>
      </c>
      <c r="I501">
        <v>2.7</v>
      </c>
      <c r="J501">
        <v>4.7</v>
      </c>
      <c r="K501">
        <v>0.57699999999999996</v>
      </c>
      <c r="L501">
        <v>0.1</v>
      </c>
      <c r="M501">
        <v>0.2</v>
      </c>
      <c r="N501">
        <v>0.28599999999999998</v>
      </c>
      <c r="O501">
        <v>2.6</v>
      </c>
      <c r="P501">
        <v>4.4000000000000004</v>
      </c>
      <c r="Q501">
        <v>0.59199999999999997</v>
      </c>
      <c r="R501">
        <v>0.58399999999999996</v>
      </c>
      <c r="S501">
        <v>0.8</v>
      </c>
      <c r="T501">
        <v>1.3</v>
      </c>
      <c r="U501">
        <v>0.58499999999999996</v>
      </c>
      <c r="V501">
        <v>2.5</v>
      </c>
      <c r="W501">
        <v>2.5</v>
      </c>
      <c r="X501">
        <v>5</v>
      </c>
      <c r="Y501">
        <v>0.5</v>
      </c>
      <c r="Z501">
        <v>0.3</v>
      </c>
      <c r="AA501">
        <v>0.5</v>
      </c>
      <c r="AB501">
        <v>0.9</v>
      </c>
      <c r="AC501">
        <v>1.9</v>
      </c>
      <c r="AD501">
        <v>6.2</v>
      </c>
      <c r="AE501" t="str">
        <f>IF(OR(_nba2122[[#This Row],[G]]&gt;=58,nba2122_advanced[[#This Row],[MP]]&gt;=1000),"Y","N")</f>
        <v>N</v>
      </c>
      <c r="AF50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7.9209612003242222</v>
      </c>
    </row>
    <row r="502" spans="1:32" x14ac:dyDescent="0.35">
      <c r="A502">
        <v>501</v>
      </c>
      <c r="B502" s="1" t="s">
        <v>571</v>
      </c>
      <c r="C502" s="1" t="s">
        <v>28</v>
      </c>
      <c r="D502">
        <v>27</v>
      </c>
      <c r="E502" s="1" t="s">
        <v>32</v>
      </c>
      <c r="F502">
        <v>68</v>
      </c>
      <c r="G502">
        <v>68</v>
      </c>
      <c r="H502">
        <v>37.9</v>
      </c>
      <c r="I502">
        <v>8.8000000000000007</v>
      </c>
      <c r="J502">
        <v>17.8</v>
      </c>
      <c r="K502">
        <v>0.49399999999999999</v>
      </c>
      <c r="L502">
        <v>1.1000000000000001</v>
      </c>
      <c r="M502">
        <v>3.2</v>
      </c>
      <c r="N502">
        <v>0.34399999999999997</v>
      </c>
      <c r="O502">
        <v>7.7</v>
      </c>
      <c r="P502">
        <v>14.5</v>
      </c>
      <c r="Q502">
        <v>0.52700000000000002</v>
      </c>
      <c r="R502">
        <v>0.52500000000000002</v>
      </c>
      <c r="S502">
        <v>4.2</v>
      </c>
      <c r="T502">
        <v>5.6</v>
      </c>
      <c r="U502">
        <v>0.749</v>
      </c>
      <c r="V502">
        <v>1.9</v>
      </c>
      <c r="W502">
        <v>6.6</v>
      </c>
      <c r="X502">
        <v>8.5</v>
      </c>
      <c r="Y502">
        <v>5.3</v>
      </c>
      <c r="Z502">
        <v>1.3</v>
      </c>
      <c r="AA502">
        <v>0.6</v>
      </c>
      <c r="AB502">
        <v>2.7</v>
      </c>
      <c r="AC502">
        <v>3.3</v>
      </c>
      <c r="AD502">
        <v>22.8</v>
      </c>
      <c r="AE502" t="str">
        <f>IF(OR(_nba2122[[#This Row],[G]]&gt;=58,nba2122_advanced[[#This Row],[MP]]&gt;=1000),"Y","N")</f>
        <v>Y</v>
      </c>
      <c r="AF50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7.0524168380689707</v>
      </c>
    </row>
    <row r="503" spans="1:32" x14ac:dyDescent="0.35">
      <c r="A503">
        <v>502</v>
      </c>
      <c r="B503" s="1" t="s">
        <v>572</v>
      </c>
      <c r="C503" s="1" t="s">
        <v>28</v>
      </c>
      <c r="D503">
        <v>25</v>
      </c>
      <c r="E503" s="1" t="s">
        <v>42</v>
      </c>
      <c r="F503">
        <v>10</v>
      </c>
      <c r="G503">
        <v>0</v>
      </c>
      <c r="H503">
        <v>9.1</v>
      </c>
      <c r="I503">
        <v>0.8</v>
      </c>
      <c r="J503">
        <v>1.5</v>
      </c>
      <c r="K503">
        <v>0.53300000000000003</v>
      </c>
      <c r="L503">
        <v>0</v>
      </c>
      <c r="M503">
        <v>0</v>
      </c>
      <c r="O503">
        <v>0.8</v>
      </c>
      <c r="P503">
        <v>1.5</v>
      </c>
      <c r="Q503">
        <v>0.53300000000000003</v>
      </c>
      <c r="R503">
        <v>0.53300000000000003</v>
      </c>
      <c r="S503">
        <v>1</v>
      </c>
      <c r="T503">
        <v>1.2</v>
      </c>
      <c r="U503">
        <v>0.83299999999999996</v>
      </c>
      <c r="V503">
        <v>1.3</v>
      </c>
      <c r="W503">
        <v>2.2999999999999998</v>
      </c>
      <c r="X503">
        <v>3.6</v>
      </c>
      <c r="Y503">
        <v>0.7</v>
      </c>
      <c r="Z503">
        <v>0</v>
      </c>
      <c r="AA503">
        <v>0.1</v>
      </c>
      <c r="AB503">
        <v>0.8</v>
      </c>
      <c r="AC503">
        <v>2</v>
      </c>
      <c r="AD503">
        <v>2.6</v>
      </c>
      <c r="AE503" t="str">
        <f>IF(OR(_nba2122[[#This Row],[G]]&gt;=58,nba2122_advanced[[#This Row],[MP]]&gt;=1000),"Y","N")</f>
        <v>N</v>
      </c>
      <c r="AF50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13.506991626004043</v>
      </c>
    </row>
    <row r="504" spans="1:32" x14ac:dyDescent="0.35">
      <c r="A504">
        <v>503</v>
      </c>
      <c r="B504" s="1" t="s">
        <v>573</v>
      </c>
      <c r="C504" s="1" t="s">
        <v>31</v>
      </c>
      <c r="D504">
        <v>22</v>
      </c>
      <c r="E504" s="1" t="s">
        <v>75</v>
      </c>
      <c r="F504">
        <v>9</v>
      </c>
      <c r="G504">
        <v>0</v>
      </c>
      <c r="H504">
        <v>3.9</v>
      </c>
      <c r="I504">
        <v>0.4</v>
      </c>
      <c r="J504">
        <v>1.7</v>
      </c>
      <c r="K504">
        <v>0.26700000000000002</v>
      </c>
      <c r="L504">
        <v>0.1</v>
      </c>
      <c r="M504">
        <v>0.6</v>
      </c>
      <c r="N504">
        <v>0.2</v>
      </c>
      <c r="O504">
        <v>0.3</v>
      </c>
      <c r="P504">
        <v>1.1000000000000001</v>
      </c>
      <c r="Q504">
        <v>0.3</v>
      </c>
      <c r="R504">
        <v>0.3</v>
      </c>
      <c r="S504">
        <v>0.9</v>
      </c>
      <c r="T504">
        <v>1.2</v>
      </c>
      <c r="U504">
        <v>0.72699999999999998</v>
      </c>
      <c r="V504">
        <v>0.6</v>
      </c>
      <c r="W504">
        <v>0.6</v>
      </c>
      <c r="X504">
        <v>1.1000000000000001</v>
      </c>
      <c r="Y504">
        <v>0</v>
      </c>
      <c r="Z504">
        <v>0.1</v>
      </c>
      <c r="AA504">
        <v>0.1</v>
      </c>
      <c r="AB504">
        <v>0.2</v>
      </c>
      <c r="AC504">
        <v>0.7</v>
      </c>
      <c r="AD504">
        <v>1.9</v>
      </c>
      <c r="AE504" t="str">
        <f>IF(OR(_nba2122[[#This Row],[G]]&gt;=58,nba2122_advanced[[#This Row],[MP]]&gt;=1000),"Y","N")</f>
        <v>N</v>
      </c>
      <c r="AF50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12.196895081885225</v>
      </c>
    </row>
    <row r="505" spans="1:32" x14ac:dyDescent="0.35">
      <c r="A505">
        <v>504</v>
      </c>
      <c r="B505" s="1" t="s">
        <v>574</v>
      </c>
      <c r="C505" s="1" t="s">
        <v>41</v>
      </c>
      <c r="D505">
        <v>22</v>
      </c>
      <c r="E505" s="1" t="s">
        <v>114</v>
      </c>
      <c r="F505">
        <v>57</v>
      </c>
      <c r="G505">
        <v>30</v>
      </c>
      <c r="H505">
        <v>29.5</v>
      </c>
      <c r="I505">
        <v>6.2</v>
      </c>
      <c r="J505">
        <v>14</v>
      </c>
      <c r="K505">
        <v>0.443</v>
      </c>
      <c r="L505">
        <v>3.1</v>
      </c>
      <c r="M505">
        <v>7.8</v>
      </c>
      <c r="N505">
        <v>0.40500000000000003</v>
      </c>
      <c r="O505">
        <v>3.1</v>
      </c>
      <c r="P505">
        <v>6.2</v>
      </c>
      <c r="Q505">
        <v>0.49</v>
      </c>
      <c r="R505">
        <v>0.55500000000000005</v>
      </c>
      <c r="S505">
        <v>1.8</v>
      </c>
      <c r="T505">
        <v>2</v>
      </c>
      <c r="U505">
        <v>0.88800000000000001</v>
      </c>
      <c r="V505">
        <v>0.5</v>
      </c>
      <c r="W505">
        <v>2.2000000000000002</v>
      </c>
      <c r="X505">
        <v>2.6</v>
      </c>
      <c r="Y505">
        <v>3.9</v>
      </c>
      <c r="Z505">
        <v>0.5</v>
      </c>
      <c r="AA505">
        <v>0.1</v>
      </c>
      <c r="AB505">
        <v>2</v>
      </c>
      <c r="AC505">
        <v>1.9</v>
      </c>
      <c r="AD505">
        <v>17.3</v>
      </c>
      <c r="AE505" t="str">
        <f>IF(OR(_nba2122[[#This Row],[G]]&gt;=58,nba2122_advanced[[#This Row],[MP]]&gt;=1000),"Y","N")</f>
        <v>Y</v>
      </c>
      <c r="AF50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6.3755847439512179</v>
      </c>
    </row>
    <row r="506" spans="1:32" x14ac:dyDescent="0.35">
      <c r="A506">
        <v>505</v>
      </c>
      <c r="B506" s="1" t="s">
        <v>575</v>
      </c>
      <c r="C506" s="1" t="s">
        <v>48</v>
      </c>
      <c r="D506">
        <v>24</v>
      </c>
      <c r="E506" s="1" t="s">
        <v>96</v>
      </c>
      <c r="F506">
        <v>4</v>
      </c>
      <c r="G506">
        <v>4</v>
      </c>
      <c r="H506">
        <v>43.5</v>
      </c>
      <c r="I506">
        <v>4.8</v>
      </c>
      <c r="J506">
        <v>13</v>
      </c>
      <c r="K506">
        <v>0.36499999999999999</v>
      </c>
      <c r="L506">
        <v>0.3</v>
      </c>
      <c r="M506">
        <v>2</v>
      </c>
      <c r="N506">
        <v>0.125</v>
      </c>
      <c r="O506">
        <v>4.5</v>
      </c>
      <c r="P506">
        <v>11</v>
      </c>
      <c r="Q506">
        <v>0.40899999999999997</v>
      </c>
      <c r="R506">
        <v>0.375</v>
      </c>
      <c r="S506">
        <v>1.3</v>
      </c>
      <c r="T506">
        <v>1.3</v>
      </c>
      <c r="U506">
        <v>1</v>
      </c>
      <c r="V506">
        <v>0.5</v>
      </c>
      <c r="W506">
        <v>4.8</v>
      </c>
      <c r="X506">
        <v>5.3</v>
      </c>
      <c r="Y506">
        <v>7.5</v>
      </c>
      <c r="Z506">
        <v>1.3</v>
      </c>
      <c r="AA506">
        <v>1</v>
      </c>
      <c r="AB506">
        <v>2.5</v>
      </c>
      <c r="AC506">
        <v>3.8</v>
      </c>
      <c r="AD506">
        <v>11</v>
      </c>
      <c r="AE506" t="str">
        <f>IF(OR(_nba2122[[#This Row],[G]]&gt;=58,nba2122_advanced[[#This Row],[MP]]&gt;=1000),"Y","N")</f>
        <v>N</v>
      </c>
      <c r="AF50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9.8878638404477979</v>
      </c>
    </row>
    <row r="507" spans="1:32" x14ac:dyDescent="0.35">
      <c r="A507">
        <v>506</v>
      </c>
      <c r="B507" s="1" t="s">
        <v>576</v>
      </c>
      <c r="C507" s="1" t="s">
        <v>28</v>
      </c>
      <c r="D507">
        <v>23</v>
      </c>
      <c r="E507" s="1" t="s">
        <v>61</v>
      </c>
      <c r="F507">
        <v>41</v>
      </c>
      <c r="G507">
        <v>5</v>
      </c>
      <c r="H507">
        <v>13.5</v>
      </c>
      <c r="I507">
        <v>1</v>
      </c>
      <c r="J507">
        <v>1.3</v>
      </c>
      <c r="K507">
        <v>0.72199999999999998</v>
      </c>
      <c r="L507">
        <v>0</v>
      </c>
      <c r="M507">
        <v>0</v>
      </c>
      <c r="O507">
        <v>1</v>
      </c>
      <c r="P507">
        <v>1.3</v>
      </c>
      <c r="Q507">
        <v>0.72199999999999998</v>
      </c>
      <c r="R507">
        <v>0.72199999999999998</v>
      </c>
      <c r="S507">
        <v>0.3</v>
      </c>
      <c r="T507">
        <v>0.7</v>
      </c>
      <c r="U507">
        <v>0.41399999999999998</v>
      </c>
      <c r="V507">
        <v>1.5</v>
      </c>
      <c r="W507">
        <v>2.6</v>
      </c>
      <c r="X507">
        <v>4.0999999999999996</v>
      </c>
      <c r="Y507">
        <v>0.5</v>
      </c>
      <c r="Z507">
        <v>0.3</v>
      </c>
      <c r="AA507">
        <v>0.5</v>
      </c>
      <c r="AB507">
        <v>0.5</v>
      </c>
      <c r="AC507">
        <v>1.6</v>
      </c>
      <c r="AD507">
        <v>2.2000000000000002</v>
      </c>
      <c r="AE507" t="str">
        <f>IF(OR(_nba2122[[#This Row],[G]]&gt;=58,nba2122_advanced[[#This Row],[MP]]&gt;=1000),"Y","N")</f>
        <v>N</v>
      </c>
      <c r="AF50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12.429797794856443</v>
      </c>
    </row>
    <row r="508" spans="1:32" x14ac:dyDescent="0.35">
      <c r="A508">
        <v>507</v>
      </c>
      <c r="B508" s="1" t="s">
        <v>577</v>
      </c>
      <c r="C508" s="1" t="s">
        <v>41</v>
      </c>
      <c r="D508">
        <v>21</v>
      </c>
      <c r="E508" s="1" t="s">
        <v>105</v>
      </c>
      <c r="F508">
        <v>3</v>
      </c>
      <c r="G508">
        <v>0</v>
      </c>
      <c r="H508">
        <v>9</v>
      </c>
      <c r="I508">
        <v>0.3</v>
      </c>
      <c r="J508">
        <v>3.3</v>
      </c>
      <c r="K508">
        <v>0.1</v>
      </c>
      <c r="L508">
        <v>0.3</v>
      </c>
      <c r="M508">
        <v>2.2999999999999998</v>
      </c>
      <c r="N508">
        <v>0.14299999999999999</v>
      </c>
      <c r="O508">
        <v>0</v>
      </c>
      <c r="P508">
        <v>1</v>
      </c>
      <c r="Q508">
        <v>0</v>
      </c>
      <c r="R508">
        <v>0.15</v>
      </c>
      <c r="S508">
        <v>0</v>
      </c>
      <c r="T508">
        <v>0</v>
      </c>
      <c r="V508">
        <v>0</v>
      </c>
      <c r="W508">
        <v>2</v>
      </c>
      <c r="X508">
        <v>2</v>
      </c>
      <c r="Y508">
        <v>0.3</v>
      </c>
      <c r="Z508">
        <v>1</v>
      </c>
      <c r="AA508">
        <v>0.3</v>
      </c>
      <c r="AB508">
        <v>0</v>
      </c>
      <c r="AC508">
        <v>1.3</v>
      </c>
      <c r="AD508">
        <v>1</v>
      </c>
      <c r="AE508" t="str">
        <f>IF(OR(_nba2122[[#This Row],[G]]&gt;=58,nba2122_advanced[[#This Row],[MP]]&gt;=1000),"Y","N")</f>
        <v>N</v>
      </c>
      <c r="AF50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15.633815379975893</v>
      </c>
    </row>
    <row r="509" spans="1:32" x14ac:dyDescent="0.35">
      <c r="A509">
        <v>508</v>
      </c>
      <c r="B509" s="1" t="s">
        <v>578</v>
      </c>
      <c r="C509" s="1" t="s">
        <v>48</v>
      </c>
      <c r="D509">
        <v>22</v>
      </c>
      <c r="E509" s="1" t="s">
        <v>42</v>
      </c>
      <c r="F509">
        <v>17</v>
      </c>
      <c r="G509">
        <v>1</v>
      </c>
      <c r="H509">
        <v>11.8</v>
      </c>
      <c r="I509">
        <v>1.1000000000000001</v>
      </c>
      <c r="J509">
        <v>3.5</v>
      </c>
      <c r="K509">
        <v>0.317</v>
      </c>
      <c r="L509">
        <v>0.5</v>
      </c>
      <c r="M509">
        <v>1.6</v>
      </c>
      <c r="N509">
        <v>0.29599999999999999</v>
      </c>
      <c r="O509">
        <v>0.6</v>
      </c>
      <c r="P509">
        <v>1.9</v>
      </c>
      <c r="Q509">
        <v>0.33300000000000002</v>
      </c>
      <c r="R509">
        <v>0.38300000000000001</v>
      </c>
      <c r="S509">
        <v>0.3</v>
      </c>
      <c r="T509">
        <v>0.4</v>
      </c>
      <c r="U509">
        <v>0.83299999999999996</v>
      </c>
      <c r="V509">
        <v>0.3</v>
      </c>
      <c r="W509">
        <v>1.1000000000000001</v>
      </c>
      <c r="X509">
        <v>1.4</v>
      </c>
      <c r="Y509">
        <v>0.9</v>
      </c>
      <c r="Z509">
        <v>0.4</v>
      </c>
      <c r="AA509">
        <v>0.2</v>
      </c>
      <c r="AB509">
        <v>0.6</v>
      </c>
      <c r="AC509">
        <v>0.7</v>
      </c>
      <c r="AD509">
        <v>3</v>
      </c>
      <c r="AE509" t="str">
        <f>IF(OR(_nba2122[[#This Row],[G]]&gt;=58,nba2122_advanced[[#This Row],[MP]]&gt;=1000),"Y","N")</f>
        <v>N</v>
      </c>
      <c r="AF50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8.1039163609138569</v>
      </c>
    </row>
    <row r="510" spans="1:32" x14ac:dyDescent="0.35">
      <c r="A510">
        <v>509</v>
      </c>
      <c r="B510" s="1" t="s">
        <v>579</v>
      </c>
      <c r="C510" s="1" t="s">
        <v>48</v>
      </c>
      <c r="D510">
        <v>27</v>
      </c>
      <c r="E510" s="1" t="s">
        <v>140</v>
      </c>
      <c r="F510">
        <v>71</v>
      </c>
      <c r="G510">
        <v>71</v>
      </c>
      <c r="H510">
        <v>32.299999999999997</v>
      </c>
      <c r="I510">
        <v>4.2</v>
      </c>
      <c r="J510">
        <v>10.1</v>
      </c>
      <c r="K510">
        <v>0.41799999999999998</v>
      </c>
      <c r="L510">
        <v>1.7</v>
      </c>
      <c r="M510">
        <v>5.0999999999999996</v>
      </c>
      <c r="N510">
        <v>0.33100000000000002</v>
      </c>
      <c r="O510">
        <v>2.5</v>
      </c>
      <c r="P510">
        <v>5</v>
      </c>
      <c r="Q510">
        <v>0.50600000000000001</v>
      </c>
      <c r="R510">
        <v>0.501</v>
      </c>
      <c r="S510">
        <v>2</v>
      </c>
      <c r="T510">
        <v>2.5</v>
      </c>
      <c r="U510">
        <v>0.79300000000000004</v>
      </c>
      <c r="V510">
        <v>0.6</v>
      </c>
      <c r="W510">
        <v>3.2</v>
      </c>
      <c r="X510">
        <v>3.8</v>
      </c>
      <c r="Y510">
        <v>5.9</v>
      </c>
      <c r="Z510">
        <v>1.7</v>
      </c>
      <c r="AA510">
        <v>0.3</v>
      </c>
      <c r="AB510">
        <v>2.2000000000000002</v>
      </c>
      <c r="AC510">
        <v>2.2999999999999998</v>
      </c>
      <c r="AD510">
        <v>12.1</v>
      </c>
      <c r="AE510" t="str">
        <f>IF(OR(_nba2122[[#This Row],[G]]&gt;=58,nba2122_advanced[[#This Row],[MP]]&gt;=1000),"Y","N")</f>
        <v>Y</v>
      </c>
      <c r="AF51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6.7578254285424819</v>
      </c>
    </row>
    <row r="511" spans="1:32" x14ac:dyDescent="0.35">
      <c r="A511">
        <v>510</v>
      </c>
      <c r="B511" s="1" t="s">
        <v>580</v>
      </c>
      <c r="C511" s="1" t="s">
        <v>48</v>
      </c>
      <c r="D511">
        <v>24</v>
      </c>
      <c r="E511" s="1" t="s">
        <v>114</v>
      </c>
      <c r="F511">
        <v>37</v>
      </c>
      <c r="G511">
        <v>4</v>
      </c>
      <c r="H511">
        <v>17.2</v>
      </c>
      <c r="I511">
        <v>2.1</v>
      </c>
      <c r="J511">
        <v>5.0999999999999996</v>
      </c>
      <c r="K511">
        <v>0.41799999999999998</v>
      </c>
      <c r="L511">
        <v>0.2</v>
      </c>
      <c r="M511">
        <v>0.7</v>
      </c>
      <c r="N511">
        <v>0.222</v>
      </c>
      <c r="O511">
        <v>2</v>
      </c>
      <c r="P511">
        <v>4.4000000000000004</v>
      </c>
      <c r="Q511">
        <v>0.45100000000000001</v>
      </c>
      <c r="R511">
        <v>0.434</v>
      </c>
      <c r="S511">
        <v>1.1000000000000001</v>
      </c>
      <c r="T511">
        <v>1.7</v>
      </c>
      <c r="U511">
        <v>0.65600000000000003</v>
      </c>
      <c r="V511">
        <v>0.5</v>
      </c>
      <c r="W511">
        <v>1.8</v>
      </c>
      <c r="X511">
        <v>2.4</v>
      </c>
      <c r="Y511">
        <v>3.6</v>
      </c>
      <c r="Z511">
        <v>1.2</v>
      </c>
      <c r="AA511">
        <v>0.3</v>
      </c>
      <c r="AB511">
        <v>1.4</v>
      </c>
      <c r="AC511">
        <v>1.4</v>
      </c>
      <c r="AD511">
        <v>5.6</v>
      </c>
      <c r="AE511" t="str">
        <f>IF(OR(_nba2122[[#This Row],[G]]&gt;=58,nba2122_advanced[[#This Row],[MP]]&gt;=1000),"Y","N")</f>
        <v>N</v>
      </c>
      <c r="AF51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7.6553505532378558</v>
      </c>
    </row>
    <row r="512" spans="1:32" x14ac:dyDescent="0.35">
      <c r="A512">
        <v>511</v>
      </c>
      <c r="B512" s="1" t="s">
        <v>581</v>
      </c>
      <c r="C512" s="1" t="s">
        <v>48</v>
      </c>
      <c r="D512">
        <v>33</v>
      </c>
      <c r="E512" s="1" t="s">
        <v>42</v>
      </c>
      <c r="F512">
        <v>65</v>
      </c>
      <c r="G512">
        <v>1</v>
      </c>
      <c r="H512">
        <v>17.3</v>
      </c>
      <c r="I512">
        <v>2.8</v>
      </c>
      <c r="J512">
        <v>6.6</v>
      </c>
      <c r="K512">
        <v>0.43</v>
      </c>
      <c r="L512">
        <v>0.4</v>
      </c>
      <c r="M512">
        <v>1</v>
      </c>
      <c r="N512">
        <v>0.373</v>
      </c>
      <c r="O512">
        <v>2.5</v>
      </c>
      <c r="P512">
        <v>5.6</v>
      </c>
      <c r="Q512">
        <v>0.441</v>
      </c>
      <c r="R512">
        <v>0.45900000000000002</v>
      </c>
      <c r="S512">
        <v>0.2</v>
      </c>
      <c r="T512">
        <v>0.4</v>
      </c>
      <c r="U512">
        <v>0.625</v>
      </c>
      <c r="V512">
        <v>0.4</v>
      </c>
      <c r="W512">
        <v>1.8</v>
      </c>
      <c r="X512">
        <v>2.2000000000000002</v>
      </c>
      <c r="Y512">
        <v>3.8</v>
      </c>
      <c r="Z512">
        <v>0.7</v>
      </c>
      <c r="AA512">
        <v>0.4</v>
      </c>
      <c r="AB512">
        <v>1.2</v>
      </c>
      <c r="AC512">
        <v>1.2</v>
      </c>
      <c r="AD512">
        <v>6.3</v>
      </c>
      <c r="AE512" t="str">
        <f>IF(OR(_nba2122[[#This Row],[G]]&gt;=58,nba2122_advanced[[#This Row],[MP]]&gt;=1000),"Y","N")</f>
        <v>Y</v>
      </c>
      <c r="AF51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6.3812749188588072</v>
      </c>
    </row>
    <row r="513" spans="1:32" x14ac:dyDescent="0.35">
      <c r="A513">
        <v>512</v>
      </c>
      <c r="B513" s="1" t="s">
        <v>582</v>
      </c>
      <c r="C513" s="1" t="s">
        <v>28</v>
      </c>
      <c r="D513">
        <v>21</v>
      </c>
      <c r="E513" s="1" t="s">
        <v>42</v>
      </c>
      <c r="F513">
        <v>51</v>
      </c>
      <c r="G513">
        <v>8</v>
      </c>
      <c r="H513">
        <v>18.100000000000001</v>
      </c>
      <c r="I513">
        <v>3.5</v>
      </c>
      <c r="J513">
        <v>6.9</v>
      </c>
      <c r="K513">
        <v>0.503</v>
      </c>
      <c r="L513">
        <v>0.8</v>
      </c>
      <c r="M513">
        <v>2.4</v>
      </c>
      <c r="N513">
        <v>0.32800000000000001</v>
      </c>
      <c r="O513">
        <v>2.7</v>
      </c>
      <c r="P513">
        <v>4.5</v>
      </c>
      <c r="Q513">
        <v>0.59599999999999997</v>
      </c>
      <c r="R513">
        <v>0.56000000000000005</v>
      </c>
      <c r="S513">
        <v>1.5</v>
      </c>
      <c r="T513">
        <v>2</v>
      </c>
      <c r="U513">
        <v>0.76500000000000001</v>
      </c>
      <c r="V513">
        <v>2</v>
      </c>
      <c r="W513">
        <v>4</v>
      </c>
      <c r="X513">
        <v>6</v>
      </c>
      <c r="Y513">
        <v>0.5</v>
      </c>
      <c r="Z513">
        <v>0.3</v>
      </c>
      <c r="AA513">
        <v>0.8</v>
      </c>
      <c r="AB513">
        <v>0.8</v>
      </c>
      <c r="AC513">
        <v>1.9</v>
      </c>
      <c r="AD513">
        <v>9.1999999999999993</v>
      </c>
      <c r="AE513" t="str">
        <f>IF(OR(_nba2122[[#This Row],[G]]&gt;=58,nba2122_advanced[[#This Row],[MP]]&gt;=1000),"Y","N")</f>
        <v>N</v>
      </c>
      <c r="AF51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7.2911835219821786</v>
      </c>
    </row>
    <row r="514" spans="1:32" x14ac:dyDescent="0.35">
      <c r="A514">
        <v>513</v>
      </c>
      <c r="B514" s="1" t="s">
        <v>583</v>
      </c>
      <c r="C514" s="1" t="s">
        <v>51</v>
      </c>
      <c r="D514">
        <v>24</v>
      </c>
      <c r="E514" s="1" t="s">
        <v>42</v>
      </c>
      <c r="F514">
        <v>9</v>
      </c>
      <c r="G514">
        <v>0</v>
      </c>
      <c r="H514">
        <v>4.3</v>
      </c>
      <c r="I514">
        <v>0.2</v>
      </c>
      <c r="J514">
        <v>1.1000000000000001</v>
      </c>
      <c r="K514">
        <v>0.2</v>
      </c>
      <c r="L514">
        <v>0.1</v>
      </c>
      <c r="M514">
        <v>0.9</v>
      </c>
      <c r="N514">
        <v>0.125</v>
      </c>
      <c r="O514">
        <v>0.1</v>
      </c>
      <c r="P514">
        <v>0.2</v>
      </c>
      <c r="Q514">
        <v>0.5</v>
      </c>
      <c r="R514">
        <v>0.25</v>
      </c>
      <c r="S514">
        <v>0</v>
      </c>
      <c r="T514">
        <v>0</v>
      </c>
      <c r="V514">
        <v>0.2</v>
      </c>
      <c r="W514">
        <v>0.4</v>
      </c>
      <c r="X514">
        <v>0.7</v>
      </c>
      <c r="Y514">
        <v>0.1</v>
      </c>
      <c r="Z514">
        <v>0</v>
      </c>
      <c r="AA514">
        <v>0</v>
      </c>
      <c r="AB514">
        <v>0</v>
      </c>
      <c r="AC514">
        <v>0.2</v>
      </c>
      <c r="AD514">
        <v>0.6</v>
      </c>
      <c r="AE514" t="str">
        <f>IF(OR(_nba2122[[#This Row],[G]]&gt;=58,nba2122_advanced[[#This Row],[MP]]&gt;=1000),"Y","N")</f>
        <v>N</v>
      </c>
      <c r="AF51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16.827401098669434</v>
      </c>
    </row>
    <row r="515" spans="1:32" x14ac:dyDescent="0.35">
      <c r="A515">
        <v>514</v>
      </c>
      <c r="B515" s="1" t="s">
        <v>584</v>
      </c>
      <c r="C515" s="1" t="s">
        <v>41</v>
      </c>
      <c r="D515">
        <v>30</v>
      </c>
      <c r="E515" s="1" t="s">
        <v>42</v>
      </c>
      <c r="F515">
        <v>53</v>
      </c>
      <c r="G515">
        <v>12</v>
      </c>
      <c r="H515">
        <v>15.5</v>
      </c>
      <c r="I515">
        <v>1.3</v>
      </c>
      <c r="J515">
        <v>3.2</v>
      </c>
      <c r="K515">
        <v>0.40400000000000003</v>
      </c>
      <c r="L515">
        <v>0.8</v>
      </c>
      <c r="M515">
        <v>2.4</v>
      </c>
      <c r="N515">
        <v>0.35199999999999998</v>
      </c>
      <c r="O515">
        <v>0.5</v>
      </c>
      <c r="P515">
        <v>0.8</v>
      </c>
      <c r="Q515">
        <v>0.55800000000000005</v>
      </c>
      <c r="R515">
        <v>0.53500000000000003</v>
      </c>
      <c r="S515">
        <v>0.1</v>
      </c>
      <c r="T515">
        <v>0.1</v>
      </c>
      <c r="U515">
        <v>1</v>
      </c>
      <c r="V515">
        <v>0.3</v>
      </c>
      <c r="W515">
        <v>1.6</v>
      </c>
      <c r="X515">
        <v>1.9</v>
      </c>
      <c r="Y515">
        <v>0.5</v>
      </c>
      <c r="Z515">
        <v>0.3</v>
      </c>
      <c r="AA515">
        <v>0.2</v>
      </c>
      <c r="AB515">
        <v>0.4</v>
      </c>
      <c r="AC515">
        <v>1.3</v>
      </c>
      <c r="AD515">
        <v>3.5</v>
      </c>
      <c r="AE515" t="str">
        <f>IF(OR(_nba2122[[#This Row],[G]]&gt;=58,nba2122_advanced[[#This Row],[MP]]&gt;=1000),"Y","N")</f>
        <v>N</v>
      </c>
      <c r="AF51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9.722577928401936</v>
      </c>
    </row>
    <row r="516" spans="1:32" x14ac:dyDescent="0.35">
      <c r="A516">
        <v>515</v>
      </c>
      <c r="B516" s="1" t="s">
        <v>585</v>
      </c>
      <c r="C516" s="1" t="s">
        <v>41</v>
      </c>
      <c r="D516">
        <v>19</v>
      </c>
      <c r="E516" s="1" t="s">
        <v>89</v>
      </c>
      <c r="F516">
        <v>2</v>
      </c>
      <c r="G516">
        <v>0</v>
      </c>
      <c r="H516">
        <v>3</v>
      </c>
      <c r="I516">
        <v>0.5</v>
      </c>
      <c r="J516">
        <v>0.5</v>
      </c>
      <c r="K516">
        <v>1</v>
      </c>
      <c r="L516">
        <v>0</v>
      </c>
      <c r="M516">
        <v>0</v>
      </c>
      <c r="O516">
        <v>0.5</v>
      </c>
      <c r="P516">
        <v>0.5</v>
      </c>
      <c r="Q516">
        <v>1</v>
      </c>
      <c r="R516">
        <v>1</v>
      </c>
      <c r="S516">
        <v>0</v>
      </c>
      <c r="T516">
        <v>0</v>
      </c>
      <c r="V516">
        <v>0.5</v>
      </c>
      <c r="W516">
        <v>0.5</v>
      </c>
      <c r="X516">
        <v>1</v>
      </c>
      <c r="Y516">
        <v>0</v>
      </c>
      <c r="Z516">
        <v>0</v>
      </c>
      <c r="AA516">
        <v>1</v>
      </c>
      <c r="AB516">
        <v>0.5</v>
      </c>
      <c r="AC516">
        <v>0</v>
      </c>
      <c r="AD516">
        <v>1</v>
      </c>
      <c r="AE516" t="str">
        <f>IF(OR(_nba2122[[#This Row],[G]]&gt;=58,nba2122_advanced[[#This Row],[MP]]&gt;=1000),"Y","N")</f>
        <v>N</v>
      </c>
      <c r="AF51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35.176100001483739</v>
      </c>
    </row>
    <row r="517" spans="1:32" x14ac:dyDescent="0.35">
      <c r="A517">
        <v>516</v>
      </c>
      <c r="B517" s="1" t="s">
        <v>586</v>
      </c>
      <c r="C517" s="1" t="s">
        <v>41</v>
      </c>
      <c r="D517">
        <v>22</v>
      </c>
      <c r="E517" s="1" t="s">
        <v>105</v>
      </c>
      <c r="F517">
        <v>9</v>
      </c>
      <c r="G517">
        <v>1</v>
      </c>
      <c r="H517">
        <v>17.2</v>
      </c>
      <c r="I517">
        <v>2.1</v>
      </c>
      <c r="J517">
        <v>5.0999999999999996</v>
      </c>
      <c r="K517">
        <v>0.41299999999999998</v>
      </c>
      <c r="L517">
        <v>0.4</v>
      </c>
      <c r="M517">
        <v>1.9</v>
      </c>
      <c r="N517">
        <v>0.23499999999999999</v>
      </c>
      <c r="O517">
        <v>1.7</v>
      </c>
      <c r="P517">
        <v>3.2</v>
      </c>
      <c r="Q517">
        <v>0.51700000000000002</v>
      </c>
      <c r="R517">
        <v>0.45700000000000002</v>
      </c>
      <c r="S517">
        <v>1.1000000000000001</v>
      </c>
      <c r="T517">
        <v>1.1000000000000001</v>
      </c>
      <c r="U517">
        <v>1</v>
      </c>
      <c r="V517">
        <v>0.6</v>
      </c>
      <c r="W517">
        <v>1.6</v>
      </c>
      <c r="X517">
        <v>2.1</v>
      </c>
      <c r="Y517">
        <v>0.4</v>
      </c>
      <c r="Z517">
        <v>0.6</v>
      </c>
      <c r="AA517">
        <v>0.2</v>
      </c>
      <c r="AB517">
        <v>0.7</v>
      </c>
      <c r="AC517">
        <v>1.9</v>
      </c>
      <c r="AD517">
        <v>5.8</v>
      </c>
      <c r="AE517" t="str">
        <f>IF(OR(_nba2122[[#This Row],[G]]&gt;=58,nba2122_advanced[[#This Row],[MP]]&gt;=1000),"Y","N")</f>
        <v>N</v>
      </c>
      <c r="AF51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6.7026152390220926</v>
      </c>
    </row>
    <row r="518" spans="1:32" x14ac:dyDescent="0.35">
      <c r="A518">
        <v>517</v>
      </c>
      <c r="B518" s="1" t="s">
        <v>587</v>
      </c>
      <c r="C518" s="1" t="s">
        <v>41</v>
      </c>
      <c r="D518">
        <v>28</v>
      </c>
      <c r="E518" s="1" t="s">
        <v>42</v>
      </c>
      <c r="F518">
        <v>8</v>
      </c>
      <c r="G518">
        <v>0</v>
      </c>
      <c r="H518">
        <v>4.9000000000000004</v>
      </c>
      <c r="I518">
        <v>0.6</v>
      </c>
      <c r="J518">
        <v>1.8</v>
      </c>
      <c r="K518">
        <v>0.35699999999999998</v>
      </c>
      <c r="L518">
        <v>0.5</v>
      </c>
      <c r="M518">
        <v>1.3</v>
      </c>
      <c r="N518">
        <v>0.4</v>
      </c>
      <c r="O518">
        <v>0.1</v>
      </c>
      <c r="P518">
        <v>0.5</v>
      </c>
      <c r="Q518">
        <v>0.25</v>
      </c>
      <c r="R518">
        <v>0.5</v>
      </c>
      <c r="S518">
        <v>0.5</v>
      </c>
      <c r="T518">
        <v>0.8</v>
      </c>
      <c r="U518">
        <v>0.66700000000000004</v>
      </c>
      <c r="V518">
        <v>0.1</v>
      </c>
      <c r="W518">
        <v>0.3</v>
      </c>
      <c r="X518">
        <v>0.4</v>
      </c>
      <c r="Y518">
        <v>0.3</v>
      </c>
      <c r="Z518">
        <v>0</v>
      </c>
      <c r="AA518">
        <v>0</v>
      </c>
      <c r="AB518">
        <v>0.1</v>
      </c>
      <c r="AC518">
        <v>0.1</v>
      </c>
      <c r="AD518">
        <v>2.2999999999999998</v>
      </c>
      <c r="AE518" t="str">
        <f>IF(OR(_nba2122[[#This Row],[G]]&gt;=58,nba2122_advanced[[#This Row],[MP]]&gt;=1000),"Y","N")</f>
        <v>N</v>
      </c>
      <c r="AF51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12.502698304303163</v>
      </c>
    </row>
    <row r="519" spans="1:32" x14ac:dyDescent="0.35">
      <c r="A519">
        <v>518</v>
      </c>
      <c r="B519" s="2" t="s">
        <v>588</v>
      </c>
      <c r="C519" s="1" t="s">
        <v>41</v>
      </c>
      <c r="D519">
        <v>31</v>
      </c>
      <c r="E519" s="1" t="s">
        <v>42</v>
      </c>
      <c r="F519">
        <v>46</v>
      </c>
      <c r="G519">
        <v>1</v>
      </c>
      <c r="H519">
        <v>17.7</v>
      </c>
      <c r="I519">
        <v>3.2</v>
      </c>
      <c r="J519">
        <v>7</v>
      </c>
      <c r="K519">
        <v>0.45500000000000002</v>
      </c>
      <c r="L519">
        <v>0.6</v>
      </c>
      <c r="M519">
        <v>2</v>
      </c>
      <c r="N519">
        <v>0.3</v>
      </c>
      <c r="O519">
        <v>2.6</v>
      </c>
      <c r="P519">
        <v>5.0999999999999996</v>
      </c>
      <c r="Q519">
        <v>0.51500000000000001</v>
      </c>
      <c r="R519">
        <v>0.497</v>
      </c>
      <c r="S519">
        <v>1.4</v>
      </c>
      <c r="T519">
        <v>1.7</v>
      </c>
      <c r="U519">
        <v>0.78800000000000003</v>
      </c>
      <c r="V519">
        <v>0.3</v>
      </c>
      <c r="W519">
        <v>2.5</v>
      </c>
      <c r="X519">
        <v>2.8</v>
      </c>
      <c r="Y519">
        <v>3.6</v>
      </c>
      <c r="Z519">
        <v>0.5</v>
      </c>
      <c r="AA519">
        <v>0.1</v>
      </c>
      <c r="AB519">
        <v>1.6</v>
      </c>
      <c r="AC519">
        <v>2.1</v>
      </c>
      <c r="AD519">
        <v>8.3000000000000007</v>
      </c>
      <c r="AE519" t="str">
        <f>IF(OR(_nba2122[[#This Row],[G]]&gt;=58,nba2122_advanced[[#This Row],[MP]]&gt;=1000),"Y","N")</f>
        <v>N</v>
      </c>
      <c r="AF51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5.5211843036242456</v>
      </c>
    </row>
    <row r="520" spans="1:32" x14ac:dyDescent="0.35">
      <c r="A520">
        <v>519</v>
      </c>
      <c r="B520" s="1" t="s">
        <v>589</v>
      </c>
      <c r="C520" s="1" t="s">
        <v>28</v>
      </c>
      <c r="D520">
        <v>24</v>
      </c>
      <c r="E520" s="1" t="s">
        <v>46</v>
      </c>
      <c r="F520">
        <v>63</v>
      </c>
      <c r="G520">
        <v>13</v>
      </c>
      <c r="H520">
        <v>16.100000000000001</v>
      </c>
      <c r="I520">
        <v>2.5</v>
      </c>
      <c r="J520">
        <v>5.0999999999999996</v>
      </c>
      <c r="K520">
        <v>0.48899999999999999</v>
      </c>
      <c r="L520">
        <v>0.3</v>
      </c>
      <c r="M520">
        <v>1</v>
      </c>
      <c r="N520">
        <v>0.27700000000000002</v>
      </c>
      <c r="O520">
        <v>2.2000000000000002</v>
      </c>
      <c r="P520">
        <v>4</v>
      </c>
      <c r="Q520">
        <v>0.54300000000000004</v>
      </c>
      <c r="R520">
        <v>0.51700000000000002</v>
      </c>
      <c r="S520">
        <v>0.8</v>
      </c>
      <c r="T520">
        <v>1.2</v>
      </c>
      <c r="U520">
        <v>0.70699999999999996</v>
      </c>
      <c r="V520">
        <v>0.7</v>
      </c>
      <c r="W520">
        <v>1.9</v>
      </c>
      <c r="X520">
        <v>2.6</v>
      </c>
      <c r="Y520">
        <v>0.7</v>
      </c>
      <c r="Z520">
        <v>0.5</v>
      </c>
      <c r="AA520">
        <v>0.3</v>
      </c>
      <c r="AB520">
        <v>0.7</v>
      </c>
      <c r="AC520">
        <v>1.7</v>
      </c>
      <c r="AD520">
        <v>6.1</v>
      </c>
      <c r="AE520" t="str">
        <f>IF(OR(_nba2122[[#This Row],[G]]&gt;=58,nba2122_advanced[[#This Row],[MP]]&gt;=1000),"Y","N")</f>
        <v>Y</v>
      </c>
      <c r="AF52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5.5439134290031093</v>
      </c>
    </row>
    <row r="521" spans="1:32" x14ac:dyDescent="0.35">
      <c r="A521">
        <v>520</v>
      </c>
      <c r="B521" s="1" t="s">
        <v>590</v>
      </c>
      <c r="C521" s="1" t="s">
        <v>31</v>
      </c>
      <c r="D521">
        <v>20</v>
      </c>
      <c r="E521" s="1" t="s">
        <v>105</v>
      </c>
      <c r="F521">
        <v>71</v>
      </c>
      <c r="G521">
        <v>71</v>
      </c>
      <c r="H521">
        <v>25.6</v>
      </c>
      <c r="I521">
        <v>3.5</v>
      </c>
      <c r="J521">
        <v>6.9</v>
      </c>
      <c r="K521">
        <v>0.51</v>
      </c>
      <c r="L521">
        <v>0.2</v>
      </c>
      <c r="M521">
        <v>0.6</v>
      </c>
      <c r="N521">
        <v>0.32600000000000001</v>
      </c>
      <c r="O521">
        <v>3.3</v>
      </c>
      <c r="P521">
        <v>6.3</v>
      </c>
      <c r="Q521">
        <v>0.52900000000000003</v>
      </c>
      <c r="R521">
        <v>0.52600000000000002</v>
      </c>
      <c r="S521">
        <v>1</v>
      </c>
      <c r="T521">
        <v>1.5</v>
      </c>
      <c r="U521">
        <v>0.71799999999999997</v>
      </c>
      <c r="V521">
        <v>3.2</v>
      </c>
      <c r="W521">
        <v>5.5</v>
      </c>
      <c r="X521">
        <v>8.6999999999999993</v>
      </c>
      <c r="Y521">
        <v>1.2</v>
      </c>
      <c r="Z521">
        <v>0.3</v>
      </c>
      <c r="AA521">
        <v>1.1000000000000001</v>
      </c>
      <c r="AB521">
        <v>1.2</v>
      </c>
      <c r="AC521">
        <v>3</v>
      </c>
      <c r="AD521">
        <v>8.3000000000000007</v>
      </c>
      <c r="AE521" t="str">
        <f>IF(OR(_nba2122[[#This Row],[G]]&gt;=58,nba2122_advanced[[#This Row],[MP]]&gt;=1000),"Y","N")</f>
        <v>Y</v>
      </c>
      <c r="AF52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9.128477698966762</v>
      </c>
    </row>
    <row r="522" spans="1:32" x14ac:dyDescent="0.35">
      <c r="A522">
        <v>521</v>
      </c>
      <c r="B522" s="1" t="s">
        <v>591</v>
      </c>
      <c r="C522" s="1" t="s">
        <v>51</v>
      </c>
      <c r="D522">
        <v>25</v>
      </c>
      <c r="E522" s="1" t="s">
        <v>36</v>
      </c>
      <c r="F522">
        <v>68</v>
      </c>
      <c r="G522">
        <v>16</v>
      </c>
      <c r="H522">
        <v>23.3</v>
      </c>
      <c r="I522">
        <v>3.7</v>
      </c>
      <c r="J522">
        <v>8.3000000000000007</v>
      </c>
      <c r="K522">
        <v>0.441</v>
      </c>
      <c r="L522">
        <v>2.7</v>
      </c>
      <c r="M522">
        <v>6.5</v>
      </c>
      <c r="N522">
        <v>0.41</v>
      </c>
      <c r="O522">
        <v>1</v>
      </c>
      <c r="P522">
        <v>1.8</v>
      </c>
      <c r="Q522">
        <v>0.55700000000000005</v>
      </c>
      <c r="R522">
        <v>0.60199999999999998</v>
      </c>
      <c r="S522">
        <v>0.6</v>
      </c>
      <c r="T522">
        <v>0.8</v>
      </c>
      <c r="U522">
        <v>0.79200000000000004</v>
      </c>
      <c r="V522">
        <v>0.4</v>
      </c>
      <c r="W522">
        <v>2.6</v>
      </c>
      <c r="X522">
        <v>3</v>
      </c>
      <c r="Y522">
        <v>1.4</v>
      </c>
      <c r="Z522">
        <v>0.4</v>
      </c>
      <c r="AA522">
        <v>0.2</v>
      </c>
      <c r="AB522">
        <v>0.8</v>
      </c>
      <c r="AC522">
        <v>1.7</v>
      </c>
      <c r="AD522">
        <v>10.6</v>
      </c>
      <c r="AE522" t="str">
        <f>IF(OR(_nba2122[[#This Row],[G]]&gt;=58,nba2122_advanced[[#This Row],[MP]]&gt;=1000),"Y","N")</f>
        <v>Y</v>
      </c>
      <c r="AF52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6.6831128042935788</v>
      </c>
    </row>
    <row r="523" spans="1:32" x14ac:dyDescent="0.35">
      <c r="A523">
        <v>522</v>
      </c>
      <c r="B523" s="1" t="s">
        <v>592</v>
      </c>
      <c r="C523" s="1" t="s">
        <v>48</v>
      </c>
      <c r="D523">
        <v>20</v>
      </c>
      <c r="E523" s="1" t="s">
        <v>58</v>
      </c>
      <c r="F523">
        <v>48</v>
      </c>
      <c r="G523">
        <v>45</v>
      </c>
      <c r="H523">
        <v>27.2</v>
      </c>
      <c r="I523">
        <v>4.0999999999999996</v>
      </c>
      <c r="J523">
        <v>11.4</v>
      </c>
      <c r="K523">
        <v>0.36099999999999999</v>
      </c>
      <c r="L523">
        <v>0.9</v>
      </c>
      <c r="M523">
        <v>4.0999999999999996</v>
      </c>
      <c r="N523">
        <v>0.214</v>
      </c>
      <c r="O523">
        <v>3.3</v>
      </c>
      <c r="P523">
        <v>7.3</v>
      </c>
      <c r="Q523">
        <v>0.443</v>
      </c>
      <c r="R523">
        <v>0.4</v>
      </c>
      <c r="S523">
        <v>2.6</v>
      </c>
      <c r="T523">
        <v>3.4</v>
      </c>
      <c r="U523">
        <v>0.77300000000000002</v>
      </c>
      <c r="V523">
        <v>0.5</v>
      </c>
      <c r="W523">
        <v>3</v>
      </c>
      <c r="X523">
        <v>3.6</v>
      </c>
      <c r="Y523">
        <v>4.4000000000000004</v>
      </c>
      <c r="Z523">
        <v>1.2</v>
      </c>
      <c r="AA523">
        <v>0.4</v>
      </c>
      <c r="AB523">
        <v>3</v>
      </c>
      <c r="AC523">
        <v>3</v>
      </c>
      <c r="AD523">
        <v>11.8</v>
      </c>
      <c r="AE523" t="str">
        <f>IF(OR(_nba2122[[#This Row],[G]]&gt;=58,nba2122_advanced[[#This Row],[MP]]&gt;=1000),"Y","N")</f>
        <v>Y</v>
      </c>
      <c r="AF52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7.0555776283003055</v>
      </c>
    </row>
    <row r="524" spans="1:32" x14ac:dyDescent="0.35">
      <c r="A524">
        <v>523</v>
      </c>
      <c r="B524" s="1" t="s">
        <v>593</v>
      </c>
      <c r="C524" s="1" t="s">
        <v>41</v>
      </c>
      <c r="D524">
        <v>28</v>
      </c>
      <c r="E524" s="1" t="s">
        <v>65</v>
      </c>
      <c r="F524">
        <v>3</v>
      </c>
      <c r="G524">
        <v>0</v>
      </c>
      <c r="H524">
        <v>6.3</v>
      </c>
      <c r="I524">
        <v>1</v>
      </c>
      <c r="J524">
        <v>1.3</v>
      </c>
      <c r="K524">
        <v>0.75</v>
      </c>
      <c r="L524">
        <v>0</v>
      </c>
      <c r="M524">
        <v>0.3</v>
      </c>
      <c r="N524">
        <v>0</v>
      </c>
      <c r="O524">
        <v>1</v>
      </c>
      <c r="P524">
        <v>1</v>
      </c>
      <c r="Q524">
        <v>1</v>
      </c>
      <c r="R524">
        <v>0.75</v>
      </c>
      <c r="S524">
        <v>0</v>
      </c>
      <c r="T524">
        <v>0</v>
      </c>
      <c r="V524">
        <v>0</v>
      </c>
      <c r="W524">
        <v>0</v>
      </c>
      <c r="X524">
        <v>0</v>
      </c>
      <c r="Y524">
        <v>0.3</v>
      </c>
      <c r="Z524">
        <v>1.3</v>
      </c>
      <c r="AA524">
        <v>0</v>
      </c>
      <c r="AB524">
        <v>0.3</v>
      </c>
      <c r="AC524">
        <v>2.2999999999999998</v>
      </c>
      <c r="AD524">
        <v>2</v>
      </c>
      <c r="AE524" t="str">
        <f>IF(OR(_nba2122[[#This Row],[G]]&gt;=58,nba2122_advanced[[#This Row],[MP]]&gt;=1000),"Y","N")</f>
        <v>N</v>
      </c>
      <c r="AF52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18.871919698312073</v>
      </c>
    </row>
    <row r="525" spans="1:32" x14ac:dyDescent="0.35">
      <c r="A525">
        <v>524</v>
      </c>
      <c r="B525" s="1" t="s">
        <v>594</v>
      </c>
      <c r="C525" s="1" t="s">
        <v>48</v>
      </c>
      <c r="D525">
        <v>28</v>
      </c>
      <c r="E525" s="1" t="s">
        <v>108</v>
      </c>
      <c r="F525">
        <v>32</v>
      </c>
      <c r="G525">
        <v>11</v>
      </c>
      <c r="H525">
        <v>17.7</v>
      </c>
      <c r="I525">
        <v>2.2000000000000002</v>
      </c>
      <c r="J525">
        <v>5.9</v>
      </c>
      <c r="K525">
        <v>0.36299999999999999</v>
      </c>
      <c r="L525">
        <v>0.8</v>
      </c>
      <c r="M525">
        <v>2.8</v>
      </c>
      <c r="N525">
        <v>0.3</v>
      </c>
      <c r="O525">
        <v>1.3</v>
      </c>
      <c r="P525">
        <v>3.1</v>
      </c>
      <c r="Q525">
        <v>0.42</v>
      </c>
      <c r="R525">
        <v>0.434</v>
      </c>
      <c r="S525">
        <v>0.5</v>
      </c>
      <c r="T525">
        <v>0.5</v>
      </c>
      <c r="U525">
        <v>0.88200000000000001</v>
      </c>
      <c r="V525">
        <v>0.3</v>
      </c>
      <c r="W525">
        <v>1.2</v>
      </c>
      <c r="X525">
        <v>1.4</v>
      </c>
      <c r="Y525">
        <v>1.9</v>
      </c>
      <c r="Z525">
        <v>0.4</v>
      </c>
      <c r="AA525">
        <v>0.1</v>
      </c>
      <c r="AB525">
        <v>1</v>
      </c>
      <c r="AC525">
        <v>1.6</v>
      </c>
      <c r="AD525">
        <v>5.6</v>
      </c>
      <c r="AE525" t="str">
        <f>IF(OR(_nba2122[[#This Row],[G]]&gt;=58,nba2122_advanced[[#This Row],[MP]]&gt;=1000),"Y","N")</f>
        <v>N</v>
      </c>
      <c r="AF52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7.5712007986930621</v>
      </c>
    </row>
    <row r="526" spans="1:32" x14ac:dyDescent="0.35">
      <c r="A526">
        <v>525</v>
      </c>
      <c r="B526" s="1" t="s">
        <v>595</v>
      </c>
      <c r="C526" s="1" t="s">
        <v>51</v>
      </c>
      <c r="D526">
        <v>26</v>
      </c>
      <c r="E526" s="1" t="s">
        <v>170</v>
      </c>
      <c r="F526">
        <v>78</v>
      </c>
      <c r="G526">
        <v>77</v>
      </c>
      <c r="H526">
        <v>26.4</v>
      </c>
      <c r="I526">
        <v>4.7</v>
      </c>
      <c r="J526">
        <v>9.3000000000000007</v>
      </c>
      <c r="K526">
        <v>0.498</v>
      </c>
      <c r="L526">
        <v>0.8</v>
      </c>
      <c r="M526">
        <v>2.6</v>
      </c>
      <c r="N526">
        <v>0.312</v>
      </c>
      <c r="O526">
        <v>3.8</v>
      </c>
      <c r="P526">
        <v>6.8</v>
      </c>
      <c r="Q526">
        <v>0.56899999999999995</v>
      </c>
      <c r="R526">
        <v>0.54100000000000004</v>
      </c>
      <c r="S526">
        <v>1.7</v>
      </c>
      <c r="T526">
        <v>2.4</v>
      </c>
      <c r="U526">
        <v>0.70699999999999996</v>
      </c>
      <c r="V526">
        <v>1.7</v>
      </c>
      <c r="W526">
        <v>3.7</v>
      </c>
      <c r="X526">
        <v>5.4</v>
      </c>
      <c r="Y526">
        <v>2.8</v>
      </c>
      <c r="Z526">
        <v>0.9</v>
      </c>
      <c r="AA526">
        <v>0.5</v>
      </c>
      <c r="AB526">
        <v>1.8</v>
      </c>
      <c r="AC526">
        <v>3.7</v>
      </c>
      <c r="AD526">
        <v>11.8</v>
      </c>
      <c r="AE526" t="str">
        <f>IF(OR(_nba2122[[#This Row],[G]]&gt;=58,nba2122_advanced[[#This Row],[MP]]&gt;=1000),"Y","N")</f>
        <v>Y</v>
      </c>
      <c r="AF52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2.5772562011802447</v>
      </c>
    </row>
    <row r="527" spans="1:32" x14ac:dyDescent="0.35">
      <c r="A527">
        <v>526</v>
      </c>
      <c r="B527" s="1" t="s">
        <v>596</v>
      </c>
      <c r="C527" s="1" t="s">
        <v>51</v>
      </c>
      <c r="D527">
        <v>23</v>
      </c>
      <c r="E527" s="1" t="s">
        <v>140</v>
      </c>
      <c r="F527">
        <v>76</v>
      </c>
      <c r="G527">
        <v>76</v>
      </c>
      <c r="H527">
        <v>35.9</v>
      </c>
      <c r="I527">
        <v>9.3000000000000007</v>
      </c>
      <c r="J527">
        <v>20.6</v>
      </c>
      <c r="K527">
        <v>0.45300000000000001</v>
      </c>
      <c r="L527">
        <v>3</v>
      </c>
      <c r="M527">
        <v>8.6</v>
      </c>
      <c r="N527">
        <v>0.35299999999999998</v>
      </c>
      <c r="O527">
        <v>6.3</v>
      </c>
      <c r="P527">
        <v>12</v>
      </c>
      <c r="Q527">
        <v>0.52400000000000002</v>
      </c>
      <c r="R527">
        <v>0.52600000000000002</v>
      </c>
      <c r="S527">
        <v>5.3</v>
      </c>
      <c r="T527">
        <v>6.2</v>
      </c>
      <c r="U527">
        <v>0.85299999999999998</v>
      </c>
      <c r="V527">
        <v>1.1000000000000001</v>
      </c>
      <c r="W527">
        <v>6.9</v>
      </c>
      <c r="X527">
        <v>8</v>
      </c>
      <c r="Y527">
        <v>4.4000000000000004</v>
      </c>
      <c r="Z527">
        <v>1</v>
      </c>
      <c r="AA527">
        <v>0.6</v>
      </c>
      <c r="AB527">
        <v>2.9</v>
      </c>
      <c r="AC527">
        <v>2.2999999999999998</v>
      </c>
      <c r="AD527">
        <v>26.9</v>
      </c>
      <c r="AE527" t="str">
        <f>IF(OR(_nba2122[[#This Row],[G]]&gt;=58,nba2122_advanced[[#This Row],[MP]]&gt;=1000),"Y","N")</f>
        <v>Y</v>
      </c>
      <c r="AF52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6.0706611491623832</v>
      </c>
    </row>
    <row r="528" spans="1:32" x14ac:dyDescent="0.35">
      <c r="A528">
        <v>527</v>
      </c>
      <c r="B528" s="1" t="s">
        <v>597</v>
      </c>
      <c r="C528" s="1" t="s">
        <v>41</v>
      </c>
      <c r="D528">
        <v>22</v>
      </c>
      <c r="E528" s="1" t="s">
        <v>108</v>
      </c>
      <c r="F528">
        <v>33</v>
      </c>
      <c r="G528">
        <v>7</v>
      </c>
      <c r="H528">
        <v>21.6</v>
      </c>
      <c r="I528">
        <v>4.0999999999999996</v>
      </c>
      <c r="J528">
        <v>6.7</v>
      </c>
      <c r="K528">
        <v>0.61399999999999999</v>
      </c>
      <c r="L528">
        <v>0.4</v>
      </c>
      <c r="M528">
        <v>1.2</v>
      </c>
      <c r="N528">
        <v>0.316</v>
      </c>
      <c r="O528">
        <v>3.7</v>
      </c>
      <c r="P528">
        <v>5.5</v>
      </c>
      <c r="Q528">
        <v>0.67600000000000005</v>
      </c>
      <c r="R528">
        <v>0.64100000000000001</v>
      </c>
      <c r="S528">
        <v>1.1000000000000001</v>
      </c>
      <c r="T528">
        <v>1.5</v>
      </c>
      <c r="U528">
        <v>0.70599999999999996</v>
      </c>
      <c r="V528">
        <v>2.9</v>
      </c>
      <c r="W528">
        <v>2.2999999999999998</v>
      </c>
      <c r="X528">
        <v>5.2</v>
      </c>
      <c r="Y528">
        <v>1.2</v>
      </c>
      <c r="Z528">
        <v>0.4</v>
      </c>
      <c r="AA528">
        <v>0.2</v>
      </c>
      <c r="AB528">
        <v>0.7</v>
      </c>
      <c r="AC528">
        <v>1.8</v>
      </c>
      <c r="AD528">
        <v>9.6</v>
      </c>
      <c r="AE528" t="str">
        <f>IF(OR(_nba2122[[#This Row],[G]]&gt;=58,nba2122_advanced[[#This Row],[MP]]&gt;=1000),"Y","N")</f>
        <v>N</v>
      </c>
      <c r="AF52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6.2891614437204133</v>
      </c>
    </row>
    <row r="529" spans="1:32" x14ac:dyDescent="0.35">
      <c r="A529">
        <v>528</v>
      </c>
      <c r="B529" s="1" t="s">
        <v>598</v>
      </c>
      <c r="C529" s="1" t="s">
        <v>41</v>
      </c>
      <c r="D529">
        <v>35</v>
      </c>
      <c r="E529" s="1" t="s">
        <v>49</v>
      </c>
      <c r="F529">
        <v>59</v>
      </c>
      <c r="G529">
        <v>16</v>
      </c>
      <c r="H529">
        <v>18.600000000000001</v>
      </c>
      <c r="I529">
        <v>1.9</v>
      </c>
      <c r="J529">
        <v>5</v>
      </c>
      <c r="K529">
        <v>0.376</v>
      </c>
      <c r="L529">
        <v>1</v>
      </c>
      <c r="M529">
        <v>3.1</v>
      </c>
      <c r="N529">
        <v>0.31900000000000001</v>
      </c>
      <c r="O529">
        <v>0.9</v>
      </c>
      <c r="P529">
        <v>1.9</v>
      </c>
      <c r="Q529">
        <v>0.47299999999999998</v>
      </c>
      <c r="R529">
        <v>0.47599999999999998</v>
      </c>
      <c r="S529">
        <v>0.5</v>
      </c>
      <c r="T529">
        <v>0.7</v>
      </c>
      <c r="U529">
        <v>0.68300000000000005</v>
      </c>
      <c r="V529">
        <v>0.5</v>
      </c>
      <c r="W529">
        <v>1.9</v>
      </c>
      <c r="X529">
        <v>2.4</v>
      </c>
      <c r="Y529">
        <v>1.3</v>
      </c>
      <c r="Z529">
        <v>0.7</v>
      </c>
      <c r="AA529">
        <v>0.4</v>
      </c>
      <c r="AB529">
        <v>0.7</v>
      </c>
      <c r="AC529">
        <v>1.4</v>
      </c>
      <c r="AD529">
        <v>5.2</v>
      </c>
      <c r="AE529" t="str">
        <f>IF(OR(_nba2122[[#This Row],[G]]&gt;=58,nba2122_advanced[[#This Row],[MP]]&gt;=1000),"Y","N")</f>
        <v>Y</v>
      </c>
      <c r="AF52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6.1912933265968313</v>
      </c>
    </row>
    <row r="530" spans="1:32" x14ac:dyDescent="0.35">
      <c r="A530">
        <v>529</v>
      </c>
      <c r="B530" s="1" t="s">
        <v>599</v>
      </c>
      <c r="C530" s="1" t="s">
        <v>28</v>
      </c>
      <c r="D530">
        <v>25</v>
      </c>
      <c r="E530" s="1" t="s">
        <v>68</v>
      </c>
      <c r="F530">
        <v>3</v>
      </c>
      <c r="G530">
        <v>0</v>
      </c>
      <c r="H530">
        <v>6</v>
      </c>
      <c r="I530">
        <v>0</v>
      </c>
      <c r="J530">
        <v>1.7</v>
      </c>
      <c r="K530">
        <v>0</v>
      </c>
      <c r="L530">
        <v>0</v>
      </c>
      <c r="M530">
        <v>0</v>
      </c>
      <c r="O530">
        <v>0</v>
      </c>
      <c r="P530">
        <v>1.7</v>
      </c>
      <c r="Q530">
        <v>0</v>
      </c>
      <c r="R530">
        <v>0</v>
      </c>
      <c r="S530">
        <v>0</v>
      </c>
      <c r="T530">
        <v>0</v>
      </c>
      <c r="V530">
        <v>2.7</v>
      </c>
      <c r="W530">
        <v>2.2999999999999998</v>
      </c>
      <c r="X530">
        <v>5</v>
      </c>
      <c r="Y530">
        <v>0.7</v>
      </c>
      <c r="Z530">
        <v>0.3</v>
      </c>
      <c r="AA530">
        <v>0</v>
      </c>
      <c r="AB530">
        <v>1.7</v>
      </c>
      <c r="AC530">
        <v>1.3</v>
      </c>
      <c r="AD530">
        <v>0</v>
      </c>
      <c r="AE530" t="str">
        <f>IF(OR(_nba2122[[#This Row],[G]]&gt;=58,nba2122_advanced[[#This Row],[MP]]&gt;=1000),"Y","N")</f>
        <v>N</v>
      </c>
      <c r="AF53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19.870224177443664</v>
      </c>
    </row>
    <row r="531" spans="1:32" x14ac:dyDescent="0.35">
      <c r="A531">
        <v>530</v>
      </c>
      <c r="B531" s="1" t="s">
        <v>600</v>
      </c>
      <c r="C531" s="1" t="s">
        <v>48</v>
      </c>
      <c r="D531">
        <v>21</v>
      </c>
      <c r="E531" s="1" t="s">
        <v>34</v>
      </c>
      <c r="F531">
        <v>2</v>
      </c>
      <c r="G531">
        <v>0</v>
      </c>
      <c r="H531">
        <v>1.5</v>
      </c>
      <c r="I531">
        <v>0.5</v>
      </c>
      <c r="J531">
        <v>0.5</v>
      </c>
      <c r="K531">
        <v>1</v>
      </c>
      <c r="L531">
        <v>0</v>
      </c>
      <c r="M531">
        <v>0</v>
      </c>
      <c r="O531">
        <v>0.5</v>
      </c>
      <c r="P531">
        <v>0.5</v>
      </c>
      <c r="Q531">
        <v>1</v>
      </c>
      <c r="R531">
        <v>1</v>
      </c>
      <c r="S531">
        <v>0</v>
      </c>
      <c r="T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0.5</v>
      </c>
      <c r="AD531">
        <v>1</v>
      </c>
      <c r="AE531" t="str">
        <f>IF(OR(_nba2122[[#This Row],[G]]&gt;=58,nba2122_advanced[[#This Row],[MP]]&gt;=1000),"Y","N")</f>
        <v>N</v>
      </c>
      <c r="AF53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18.208251749353213</v>
      </c>
    </row>
    <row r="532" spans="1:32" x14ac:dyDescent="0.35">
      <c r="A532">
        <v>531</v>
      </c>
      <c r="B532" s="1" t="s">
        <v>601</v>
      </c>
      <c r="C532" s="1" t="s">
        <v>31</v>
      </c>
      <c r="D532">
        <v>24</v>
      </c>
      <c r="E532" s="1" t="s">
        <v>34</v>
      </c>
      <c r="F532">
        <v>3</v>
      </c>
      <c r="G532">
        <v>0</v>
      </c>
      <c r="H532">
        <v>2.7</v>
      </c>
      <c r="I532">
        <v>0</v>
      </c>
      <c r="J532">
        <v>0.3</v>
      </c>
      <c r="K532">
        <v>0</v>
      </c>
      <c r="L532">
        <v>0</v>
      </c>
      <c r="M532">
        <v>0</v>
      </c>
      <c r="O532">
        <v>0</v>
      </c>
      <c r="P532">
        <v>0.3</v>
      </c>
      <c r="Q532">
        <v>0</v>
      </c>
      <c r="R532">
        <v>0</v>
      </c>
      <c r="S532">
        <v>0</v>
      </c>
      <c r="T532">
        <v>0.7</v>
      </c>
      <c r="U532">
        <v>0</v>
      </c>
      <c r="V532">
        <v>0</v>
      </c>
      <c r="W532">
        <v>0.7</v>
      </c>
      <c r="X532">
        <v>0.7</v>
      </c>
      <c r="Y532">
        <v>0.3</v>
      </c>
      <c r="Z532">
        <v>0.3</v>
      </c>
      <c r="AA532">
        <v>0</v>
      </c>
      <c r="AB532">
        <v>0</v>
      </c>
      <c r="AC532">
        <v>0.3</v>
      </c>
      <c r="AD532">
        <v>0</v>
      </c>
      <c r="AE532" t="str">
        <f>IF(OR(_nba2122[[#This Row],[G]]&gt;=58,nba2122_advanced[[#This Row],[MP]]&gt;=1000),"Y","N")</f>
        <v>N</v>
      </c>
      <c r="AF53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25.028345274955395</v>
      </c>
    </row>
    <row r="533" spans="1:32" x14ac:dyDescent="0.35">
      <c r="A533">
        <v>532</v>
      </c>
      <c r="B533" s="1" t="s">
        <v>602</v>
      </c>
      <c r="C533" s="1" t="s">
        <v>31</v>
      </c>
      <c r="D533">
        <v>29</v>
      </c>
      <c r="E533" s="1" t="s">
        <v>42</v>
      </c>
      <c r="F533">
        <v>47</v>
      </c>
      <c r="G533">
        <v>27</v>
      </c>
      <c r="H533">
        <v>20.8</v>
      </c>
      <c r="I533">
        <v>3.2</v>
      </c>
      <c r="J533">
        <v>6.2</v>
      </c>
      <c r="K533">
        <v>0.51900000000000002</v>
      </c>
      <c r="L533">
        <v>0.7</v>
      </c>
      <c r="M533">
        <v>2.2999999999999998</v>
      </c>
      <c r="N533">
        <v>0.308</v>
      </c>
      <c r="O533">
        <v>2.5</v>
      </c>
      <c r="P533">
        <v>3.9</v>
      </c>
      <c r="Q533">
        <v>0.64100000000000001</v>
      </c>
      <c r="R533">
        <v>0.57599999999999996</v>
      </c>
      <c r="S533">
        <v>1</v>
      </c>
      <c r="T533">
        <v>1.5</v>
      </c>
      <c r="U533">
        <v>0.68100000000000005</v>
      </c>
      <c r="V533">
        <v>1.3</v>
      </c>
      <c r="W533">
        <v>3.6</v>
      </c>
      <c r="X533">
        <v>4.9000000000000004</v>
      </c>
      <c r="Y533">
        <v>0.9</v>
      </c>
      <c r="Z533">
        <v>0.4</v>
      </c>
      <c r="AA533">
        <v>0.7</v>
      </c>
      <c r="AB533">
        <v>1</v>
      </c>
      <c r="AC533">
        <v>2.4</v>
      </c>
      <c r="AD533">
        <v>8.1999999999999993</v>
      </c>
      <c r="AE533" t="str">
        <f>IF(OR(_nba2122[[#This Row],[G]]&gt;=58,nba2122_advanced[[#This Row],[MP]]&gt;=1000),"Y","N")</f>
        <v>N</v>
      </c>
      <c r="AF53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5.194377657129599</v>
      </c>
    </row>
    <row r="534" spans="1:32" x14ac:dyDescent="0.35">
      <c r="A534">
        <v>533</v>
      </c>
      <c r="B534" s="1" t="s">
        <v>603</v>
      </c>
      <c r="C534" s="1" t="s">
        <v>41</v>
      </c>
      <c r="D534">
        <v>25</v>
      </c>
      <c r="E534" s="1" t="s">
        <v>140</v>
      </c>
      <c r="F534">
        <v>12</v>
      </c>
      <c r="G534">
        <v>0</v>
      </c>
      <c r="H534">
        <v>5</v>
      </c>
      <c r="I534">
        <v>0.7</v>
      </c>
      <c r="J534">
        <v>1.5</v>
      </c>
      <c r="K534">
        <v>0.44400000000000001</v>
      </c>
      <c r="L534">
        <v>0.2</v>
      </c>
      <c r="M534">
        <v>0.8</v>
      </c>
      <c r="N534">
        <v>0.222</v>
      </c>
      <c r="O534">
        <v>0.5</v>
      </c>
      <c r="P534">
        <v>0.8</v>
      </c>
      <c r="Q534">
        <v>0.66700000000000004</v>
      </c>
      <c r="R534">
        <v>0.5</v>
      </c>
      <c r="S534">
        <v>0.3</v>
      </c>
      <c r="T534">
        <v>0.4</v>
      </c>
      <c r="U534">
        <v>0.6</v>
      </c>
      <c r="V534">
        <v>0.2</v>
      </c>
      <c r="W534">
        <v>0.7</v>
      </c>
      <c r="X534">
        <v>0.8</v>
      </c>
      <c r="Y534">
        <v>0.9</v>
      </c>
      <c r="Z534">
        <v>0.1</v>
      </c>
      <c r="AA534">
        <v>0.1</v>
      </c>
      <c r="AB534">
        <v>0.5</v>
      </c>
      <c r="AC534">
        <v>0.6</v>
      </c>
      <c r="AD534">
        <v>1.8</v>
      </c>
      <c r="AE534" t="str">
        <f>IF(OR(_nba2122[[#This Row],[G]]&gt;=58,nba2122_advanced[[#This Row],[MP]]&gt;=1000),"Y","N")</f>
        <v>N</v>
      </c>
      <c r="AF53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9.3044301005268899</v>
      </c>
    </row>
    <row r="535" spans="1:32" x14ac:dyDescent="0.35">
      <c r="A535">
        <v>534</v>
      </c>
      <c r="B535" s="1" t="s">
        <v>604</v>
      </c>
      <c r="C535" s="1" t="s">
        <v>41</v>
      </c>
      <c r="D535">
        <v>20</v>
      </c>
      <c r="E535" s="1" t="s">
        <v>39</v>
      </c>
      <c r="F535">
        <v>67</v>
      </c>
      <c r="G535">
        <v>2</v>
      </c>
      <c r="H535">
        <v>17.600000000000001</v>
      </c>
      <c r="I535">
        <v>3.3</v>
      </c>
      <c r="J535">
        <v>7.5</v>
      </c>
      <c r="K535">
        <v>0.433</v>
      </c>
      <c r="L535">
        <v>0.7</v>
      </c>
      <c r="M535">
        <v>2.6</v>
      </c>
      <c r="N535">
        <v>0.27</v>
      </c>
      <c r="O535">
        <v>2.6</v>
      </c>
      <c r="P535">
        <v>4.9000000000000004</v>
      </c>
      <c r="Q535">
        <v>0.52</v>
      </c>
      <c r="R535">
        <v>0.48</v>
      </c>
      <c r="S535">
        <v>1.3</v>
      </c>
      <c r="T535">
        <v>1.6</v>
      </c>
      <c r="U535">
        <v>0.82899999999999996</v>
      </c>
      <c r="V535">
        <v>0.2</v>
      </c>
      <c r="W535">
        <v>2.2000000000000002</v>
      </c>
      <c r="X535">
        <v>2.4</v>
      </c>
      <c r="Y535">
        <v>1.2</v>
      </c>
      <c r="Z535">
        <v>0.5</v>
      </c>
      <c r="AA535">
        <v>0.1</v>
      </c>
      <c r="AB535">
        <v>0.8</v>
      </c>
      <c r="AC535">
        <v>1</v>
      </c>
      <c r="AD535">
        <v>8.5</v>
      </c>
      <c r="AE535" t="str">
        <f>IF(OR(_nba2122[[#This Row],[G]]&gt;=58,nba2122_advanced[[#This Row],[MP]]&gt;=1000),"Y","N")</f>
        <v>Y</v>
      </c>
      <c r="AF53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6.2876214711052576</v>
      </c>
    </row>
    <row r="536" spans="1:32" x14ac:dyDescent="0.35">
      <c r="A536">
        <v>535</v>
      </c>
      <c r="B536" s="1" t="s">
        <v>605</v>
      </c>
      <c r="C536" s="1" t="s">
        <v>48</v>
      </c>
      <c r="D536">
        <v>32</v>
      </c>
      <c r="E536" s="1" t="s">
        <v>42</v>
      </c>
      <c r="F536">
        <v>22</v>
      </c>
      <c r="G536">
        <v>1</v>
      </c>
      <c r="H536">
        <v>15.1</v>
      </c>
      <c r="I536">
        <v>3</v>
      </c>
      <c r="J536">
        <v>7.6</v>
      </c>
      <c r="K536">
        <v>0.40100000000000002</v>
      </c>
      <c r="L536">
        <v>1.3</v>
      </c>
      <c r="M536">
        <v>3.8</v>
      </c>
      <c r="N536">
        <v>0.33700000000000002</v>
      </c>
      <c r="O536">
        <v>1.8</v>
      </c>
      <c r="P536">
        <v>3.8</v>
      </c>
      <c r="Q536">
        <v>0.46400000000000002</v>
      </c>
      <c r="R536">
        <v>0.48499999999999999</v>
      </c>
      <c r="S536">
        <v>1</v>
      </c>
      <c r="T536">
        <v>1.2</v>
      </c>
      <c r="U536">
        <v>0.84599999999999997</v>
      </c>
      <c r="V536">
        <v>0.2</v>
      </c>
      <c r="W536">
        <v>1.1000000000000001</v>
      </c>
      <c r="X536">
        <v>1.3</v>
      </c>
      <c r="Y536">
        <v>1.5</v>
      </c>
      <c r="Z536">
        <v>0.3</v>
      </c>
      <c r="AA536">
        <v>0.2</v>
      </c>
      <c r="AB536">
        <v>0.7</v>
      </c>
      <c r="AC536">
        <v>1.5</v>
      </c>
      <c r="AD536">
        <v>8.4</v>
      </c>
      <c r="AE536" t="str">
        <f>IF(OR(_nba2122[[#This Row],[G]]&gt;=58,nba2122_advanced[[#This Row],[MP]]&gt;=1000),"Y","N")</f>
        <v>N</v>
      </c>
      <c r="AF53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6.4815590369246854</v>
      </c>
    </row>
    <row r="537" spans="1:32" x14ac:dyDescent="0.35">
      <c r="A537">
        <v>536</v>
      </c>
      <c r="B537" s="1" t="s">
        <v>606</v>
      </c>
      <c r="C537" s="1" t="s">
        <v>41</v>
      </c>
      <c r="D537">
        <v>27</v>
      </c>
      <c r="E537" s="1" t="s">
        <v>75</v>
      </c>
      <c r="F537">
        <v>40</v>
      </c>
      <c r="G537">
        <v>0</v>
      </c>
      <c r="H537">
        <v>11.5</v>
      </c>
      <c r="I537">
        <v>1.4</v>
      </c>
      <c r="J537">
        <v>3.4</v>
      </c>
      <c r="K537">
        <v>0.41</v>
      </c>
      <c r="L537">
        <v>0.9</v>
      </c>
      <c r="M537">
        <v>2.2999999999999998</v>
      </c>
      <c r="N537">
        <v>0.38500000000000001</v>
      </c>
      <c r="O537">
        <v>0.5</v>
      </c>
      <c r="P537">
        <v>1.1000000000000001</v>
      </c>
      <c r="Q537">
        <v>0.46500000000000002</v>
      </c>
      <c r="R537">
        <v>0.54100000000000004</v>
      </c>
      <c r="S537">
        <v>0.4</v>
      </c>
      <c r="T537">
        <v>0.5</v>
      </c>
      <c r="U537">
        <v>0.8</v>
      </c>
      <c r="V537">
        <v>0.1</v>
      </c>
      <c r="W537">
        <v>1.2</v>
      </c>
      <c r="X537">
        <v>1.3</v>
      </c>
      <c r="Y537">
        <v>0.5</v>
      </c>
      <c r="Z537">
        <v>0.2</v>
      </c>
      <c r="AA537">
        <v>0.1</v>
      </c>
      <c r="AB537">
        <v>0.2</v>
      </c>
      <c r="AC537">
        <v>0.5</v>
      </c>
      <c r="AD537">
        <v>4</v>
      </c>
      <c r="AE537" t="str">
        <f>IF(OR(_nba2122[[#This Row],[G]]&gt;=58,nba2122_advanced[[#This Row],[MP]]&gt;=1000),"Y","N")</f>
        <v>N</v>
      </c>
      <c r="AF53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10.009070490444847</v>
      </c>
    </row>
    <row r="538" spans="1:32" x14ac:dyDescent="0.35">
      <c r="A538">
        <v>537</v>
      </c>
      <c r="B538" s="1" t="s">
        <v>607</v>
      </c>
      <c r="C538" s="1" t="s">
        <v>41</v>
      </c>
      <c r="D538">
        <v>31</v>
      </c>
      <c r="E538" s="1" t="s">
        <v>111</v>
      </c>
      <c r="F538">
        <v>32</v>
      </c>
      <c r="G538">
        <v>32</v>
      </c>
      <c r="H538">
        <v>29.4</v>
      </c>
      <c r="I538">
        <v>7.7</v>
      </c>
      <c r="J538">
        <v>17.899999999999999</v>
      </c>
      <c r="K538">
        <v>0.42899999999999999</v>
      </c>
      <c r="L538">
        <v>3.6</v>
      </c>
      <c r="M538">
        <v>9.3000000000000007</v>
      </c>
      <c r="N538">
        <v>0.38500000000000001</v>
      </c>
      <c r="O538">
        <v>4.0999999999999996</v>
      </c>
      <c r="P538">
        <v>8.6999999999999993</v>
      </c>
      <c r="Q538">
        <v>0.47699999999999998</v>
      </c>
      <c r="R538">
        <v>0.52900000000000003</v>
      </c>
      <c r="S538">
        <v>1.4</v>
      </c>
      <c r="T538">
        <v>1.6</v>
      </c>
      <c r="U538">
        <v>0.90200000000000002</v>
      </c>
      <c r="V538">
        <v>0.5</v>
      </c>
      <c r="W538">
        <v>3.4</v>
      </c>
      <c r="X538">
        <v>3.9</v>
      </c>
      <c r="Y538">
        <v>2.8</v>
      </c>
      <c r="Z538">
        <v>0.5</v>
      </c>
      <c r="AA538">
        <v>0.5</v>
      </c>
      <c r="AB538">
        <v>1.3</v>
      </c>
      <c r="AC538">
        <v>1.7</v>
      </c>
      <c r="AD538">
        <v>20.399999999999999</v>
      </c>
      <c r="AE538" t="str">
        <f>IF(OR(_nba2122[[#This Row],[G]]&gt;=58,nba2122_advanced[[#This Row],[MP]]&gt;=1000),"Y","N")</f>
        <v>N</v>
      </c>
      <c r="AF53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4.6676074606030165</v>
      </c>
    </row>
    <row r="539" spans="1:32" x14ac:dyDescent="0.35">
      <c r="A539">
        <v>538</v>
      </c>
      <c r="B539" s="1" t="s">
        <v>608</v>
      </c>
      <c r="C539" s="1" t="s">
        <v>28</v>
      </c>
      <c r="D539">
        <v>30</v>
      </c>
      <c r="E539" s="1" t="s">
        <v>42</v>
      </c>
      <c r="F539">
        <v>57</v>
      </c>
      <c r="G539">
        <v>6</v>
      </c>
      <c r="H539">
        <v>15.7</v>
      </c>
      <c r="I539">
        <v>2.5</v>
      </c>
      <c r="J539">
        <v>4.7</v>
      </c>
      <c r="K539">
        <v>0.52800000000000002</v>
      </c>
      <c r="L539">
        <v>0</v>
      </c>
      <c r="M539">
        <v>0.1</v>
      </c>
      <c r="N539">
        <v>0.33300000000000002</v>
      </c>
      <c r="O539">
        <v>2.5</v>
      </c>
      <c r="P539">
        <v>4.5999999999999996</v>
      </c>
      <c r="Q539">
        <v>0.53</v>
      </c>
      <c r="R539">
        <v>0.53</v>
      </c>
      <c r="S539">
        <v>1.1000000000000001</v>
      </c>
      <c r="T539">
        <v>2</v>
      </c>
      <c r="U539">
        <v>0.52600000000000002</v>
      </c>
      <c r="V539">
        <v>2.1</v>
      </c>
      <c r="W539">
        <v>2.9</v>
      </c>
      <c r="X539">
        <v>5.0999999999999996</v>
      </c>
      <c r="Y539">
        <v>0.6</v>
      </c>
      <c r="Z539">
        <v>0.4</v>
      </c>
      <c r="AA539">
        <v>0.4</v>
      </c>
      <c r="AB539">
        <v>0.8</v>
      </c>
      <c r="AC539">
        <v>1.7</v>
      </c>
      <c r="AD539">
        <v>6</v>
      </c>
      <c r="AE539" t="str">
        <f>IF(OR(_nba2122[[#This Row],[G]]&gt;=58,nba2122_advanced[[#This Row],[MP]]&gt;=1000),"Y","N")</f>
        <v>N</v>
      </c>
      <c r="AF53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7.0251999826847591</v>
      </c>
    </row>
    <row r="540" spans="1:32" x14ac:dyDescent="0.35">
      <c r="A540">
        <v>539</v>
      </c>
      <c r="B540" s="1" t="s">
        <v>609</v>
      </c>
      <c r="C540" s="1" t="s">
        <v>28</v>
      </c>
      <c r="D540">
        <v>19</v>
      </c>
      <c r="E540" s="1" t="s">
        <v>73</v>
      </c>
      <c r="F540">
        <v>33</v>
      </c>
      <c r="G540">
        <v>0</v>
      </c>
      <c r="H540">
        <v>7.9</v>
      </c>
      <c r="I540">
        <v>0.7</v>
      </c>
      <c r="J540">
        <v>1.7</v>
      </c>
      <c r="K540">
        <v>0.436</v>
      </c>
      <c r="L540">
        <v>0.2</v>
      </c>
      <c r="M540">
        <v>0.8</v>
      </c>
      <c r="N540">
        <v>0.25900000000000001</v>
      </c>
      <c r="O540">
        <v>0.5</v>
      </c>
      <c r="P540">
        <v>0.8</v>
      </c>
      <c r="Q540">
        <v>0.60699999999999998</v>
      </c>
      <c r="R540">
        <v>0.5</v>
      </c>
      <c r="S540">
        <v>0.4</v>
      </c>
      <c r="T540">
        <v>0.6</v>
      </c>
      <c r="U540">
        <v>0.6</v>
      </c>
      <c r="V540">
        <v>0.3</v>
      </c>
      <c r="W540">
        <v>1</v>
      </c>
      <c r="X540">
        <v>1.3</v>
      </c>
      <c r="Y540">
        <v>0.6</v>
      </c>
      <c r="Z540">
        <v>0.2</v>
      </c>
      <c r="AA540">
        <v>0.3</v>
      </c>
      <c r="AB540">
        <v>0.3</v>
      </c>
      <c r="AC540">
        <v>0.8</v>
      </c>
      <c r="AD540">
        <v>2</v>
      </c>
      <c r="AE540" t="str">
        <f>IF(OR(_nba2122[[#This Row],[G]]&gt;=58,nba2122_advanced[[#This Row],[MP]]&gt;=1000),"Y","N")</f>
        <v>N</v>
      </c>
      <c r="AF54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9.0175831535599436</v>
      </c>
    </row>
    <row r="541" spans="1:32" x14ac:dyDescent="0.35">
      <c r="A541">
        <v>540</v>
      </c>
      <c r="B541" s="1" t="s">
        <v>610</v>
      </c>
      <c r="C541" s="1" t="s">
        <v>41</v>
      </c>
      <c r="D541">
        <v>24</v>
      </c>
      <c r="E541" s="1" t="s">
        <v>89</v>
      </c>
      <c r="F541">
        <v>66</v>
      </c>
      <c r="G541">
        <v>50</v>
      </c>
      <c r="H541">
        <v>25.5</v>
      </c>
      <c r="I541">
        <v>2.2999999999999998</v>
      </c>
      <c r="J541">
        <v>4.5</v>
      </c>
      <c r="K541">
        <v>0.5</v>
      </c>
      <c r="L541">
        <v>0.7</v>
      </c>
      <c r="M541">
        <v>2.2000000000000002</v>
      </c>
      <c r="N541">
        <v>0.313</v>
      </c>
      <c r="O541">
        <v>1.6</v>
      </c>
      <c r="P541">
        <v>2.4</v>
      </c>
      <c r="Q541">
        <v>0.67300000000000004</v>
      </c>
      <c r="R541">
        <v>0.57499999999999996</v>
      </c>
      <c r="S541">
        <v>0.5</v>
      </c>
      <c r="T541">
        <v>0.7</v>
      </c>
      <c r="U541">
        <v>0.79100000000000004</v>
      </c>
      <c r="V541">
        <v>0.6</v>
      </c>
      <c r="W541">
        <v>1.7</v>
      </c>
      <c r="X541">
        <v>2.2999999999999998</v>
      </c>
      <c r="Y541">
        <v>1.1000000000000001</v>
      </c>
      <c r="Z541">
        <v>1.7</v>
      </c>
      <c r="AA541">
        <v>1.1000000000000001</v>
      </c>
      <c r="AB541">
        <v>0.6</v>
      </c>
      <c r="AC541">
        <v>2.4</v>
      </c>
      <c r="AD541">
        <v>5.7</v>
      </c>
      <c r="AE541" t="str">
        <f>IF(OR(_nba2122[[#This Row],[G]]&gt;=58,nba2122_advanced[[#This Row],[MP]]&gt;=1000),"Y","N")</f>
        <v>Y</v>
      </c>
      <c r="AF54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9.7724933361132855</v>
      </c>
    </row>
    <row r="542" spans="1:32" x14ac:dyDescent="0.35">
      <c r="A542">
        <v>541</v>
      </c>
      <c r="B542" s="1" t="s">
        <v>611</v>
      </c>
      <c r="C542" s="1" t="s">
        <v>31</v>
      </c>
      <c r="D542">
        <v>23</v>
      </c>
      <c r="E542" s="1" t="s">
        <v>34</v>
      </c>
      <c r="F542">
        <v>36</v>
      </c>
      <c r="G542">
        <v>3</v>
      </c>
      <c r="H542">
        <v>12.8</v>
      </c>
      <c r="I542">
        <v>1.2</v>
      </c>
      <c r="J542">
        <v>3.5</v>
      </c>
      <c r="K542">
        <v>0.33900000000000002</v>
      </c>
      <c r="L542">
        <v>0.8</v>
      </c>
      <c r="M542">
        <v>2.4</v>
      </c>
      <c r="N542">
        <v>0.314</v>
      </c>
      <c r="O542">
        <v>0.4</v>
      </c>
      <c r="P542">
        <v>1.1000000000000001</v>
      </c>
      <c r="Q542">
        <v>0.39</v>
      </c>
      <c r="R542">
        <v>0.44500000000000001</v>
      </c>
      <c r="S542">
        <v>0.1</v>
      </c>
      <c r="T542">
        <v>0.2</v>
      </c>
      <c r="U542">
        <v>0.625</v>
      </c>
      <c r="V542">
        <v>0.6</v>
      </c>
      <c r="W542">
        <v>1.1000000000000001</v>
      </c>
      <c r="X542">
        <v>1.7</v>
      </c>
      <c r="Y542">
        <v>0.6</v>
      </c>
      <c r="Z542">
        <v>0.6</v>
      </c>
      <c r="AA542">
        <v>0.4</v>
      </c>
      <c r="AB542">
        <v>0.4</v>
      </c>
      <c r="AC542">
        <v>1.6</v>
      </c>
      <c r="AD542">
        <v>3.3</v>
      </c>
      <c r="AE542" t="str">
        <f>IF(OR(_nba2122[[#This Row],[G]]&gt;=58,nba2122_advanced[[#This Row],[MP]]&gt;=1000),"Y","N")</f>
        <v>N</v>
      </c>
      <c r="AF54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9.0439133330643315</v>
      </c>
    </row>
    <row r="543" spans="1:32" x14ac:dyDescent="0.35">
      <c r="A543">
        <v>542</v>
      </c>
      <c r="B543" s="1" t="s">
        <v>612</v>
      </c>
      <c r="C543" s="1" t="s">
        <v>28</v>
      </c>
      <c r="D543">
        <v>23</v>
      </c>
      <c r="E543" s="1" t="s">
        <v>34</v>
      </c>
      <c r="F543">
        <v>53</v>
      </c>
      <c r="G543">
        <v>2</v>
      </c>
      <c r="H543">
        <v>13.2</v>
      </c>
      <c r="I543">
        <v>1.8</v>
      </c>
      <c r="J543">
        <v>4.0999999999999996</v>
      </c>
      <c r="K543">
        <v>0.45400000000000001</v>
      </c>
      <c r="L543">
        <v>0.2</v>
      </c>
      <c r="M543">
        <v>0.9</v>
      </c>
      <c r="N543">
        <v>0.20399999999999999</v>
      </c>
      <c r="O543">
        <v>1.7</v>
      </c>
      <c r="P543">
        <v>3.2</v>
      </c>
      <c r="Q543">
        <v>0.52700000000000002</v>
      </c>
      <c r="R543">
        <v>0.47699999999999998</v>
      </c>
      <c r="S543">
        <v>0.9</v>
      </c>
      <c r="T543">
        <v>1.3</v>
      </c>
      <c r="U543">
        <v>0.64800000000000002</v>
      </c>
      <c r="V543">
        <v>1.2</v>
      </c>
      <c r="W543">
        <v>1.8</v>
      </c>
      <c r="X543">
        <v>3</v>
      </c>
      <c r="Y543">
        <v>1.2</v>
      </c>
      <c r="Z543">
        <v>0.9</v>
      </c>
      <c r="AA543">
        <v>0.3</v>
      </c>
      <c r="AB543">
        <v>0.6</v>
      </c>
      <c r="AC543">
        <v>1.2</v>
      </c>
      <c r="AD543">
        <v>4.8</v>
      </c>
      <c r="AE543" t="str">
        <f>IF(OR(_nba2122[[#This Row],[G]]&gt;=58,nba2122_advanced[[#This Row],[MP]]&gt;=1000),"Y","N")</f>
        <v>N</v>
      </c>
      <c r="AF54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6.4140307539849273</v>
      </c>
    </row>
    <row r="544" spans="1:32" x14ac:dyDescent="0.35">
      <c r="A544">
        <v>543</v>
      </c>
      <c r="B544" s="1" t="s">
        <v>613</v>
      </c>
      <c r="C544" s="1" t="s">
        <v>28</v>
      </c>
      <c r="D544">
        <v>20</v>
      </c>
      <c r="E544" s="1" t="s">
        <v>65</v>
      </c>
      <c r="F544">
        <v>12</v>
      </c>
      <c r="G544">
        <v>0</v>
      </c>
      <c r="H544">
        <v>6.2</v>
      </c>
      <c r="I544">
        <v>0.6</v>
      </c>
      <c r="J544">
        <v>2.2000000000000002</v>
      </c>
      <c r="K544">
        <v>0.26900000000000002</v>
      </c>
      <c r="L544">
        <v>0.3</v>
      </c>
      <c r="M544">
        <v>1.3</v>
      </c>
      <c r="N544">
        <v>0.25</v>
      </c>
      <c r="O544">
        <v>0.3</v>
      </c>
      <c r="P544">
        <v>0.8</v>
      </c>
      <c r="Q544">
        <v>0.3</v>
      </c>
      <c r="R544">
        <v>0.34599999999999997</v>
      </c>
      <c r="S544">
        <v>0.2</v>
      </c>
      <c r="T544">
        <v>0.5</v>
      </c>
      <c r="U544">
        <v>0.33300000000000002</v>
      </c>
      <c r="V544">
        <v>0.3</v>
      </c>
      <c r="W544">
        <v>0.8</v>
      </c>
      <c r="X544">
        <v>1</v>
      </c>
      <c r="Y544">
        <v>0.3</v>
      </c>
      <c r="Z544">
        <v>0.3</v>
      </c>
      <c r="AA544">
        <v>0.2</v>
      </c>
      <c r="AB544">
        <v>0.3</v>
      </c>
      <c r="AC544">
        <v>0.3</v>
      </c>
      <c r="AD544">
        <v>1.7</v>
      </c>
      <c r="AE544" t="str">
        <f>IF(OR(_nba2122[[#This Row],[G]]&gt;=58,nba2122_advanced[[#This Row],[MP]]&gt;=1000),"Y","N")</f>
        <v>N</v>
      </c>
      <c r="AF54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10.14297066902294</v>
      </c>
    </row>
    <row r="545" spans="1:32" x14ac:dyDescent="0.35">
      <c r="A545">
        <v>544</v>
      </c>
      <c r="B545" s="1" t="s">
        <v>614</v>
      </c>
      <c r="C545" s="1" t="s">
        <v>28</v>
      </c>
      <c r="D545">
        <v>23</v>
      </c>
      <c r="E545" s="1" t="s">
        <v>61</v>
      </c>
      <c r="F545">
        <v>72</v>
      </c>
      <c r="G545">
        <v>10</v>
      </c>
      <c r="H545">
        <v>17.100000000000001</v>
      </c>
      <c r="I545">
        <v>3.5</v>
      </c>
      <c r="J545">
        <v>6.6</v>
      </c>
      <c r="K545">
        <v>0.53100000000000003</v>
      </c>
      <c r="L545">
        <v>0.7</v>
      </c>
      <c r="M545">
        <v>2.2999999999999998</v>
      </c>
      <c r="N545">
        <v>0.308</v>
      </c>
      <c r="O545">
        <v>2.8</v>
      </c>
      <c r="P545">
        <v>4.2</v>
      </c>
      <c r="Q545">
        <v>0.65500000000000003</v>
      </c>
      <c r="R545">
        <v>0.58599999999999997</v>
      </c>
      <c r="S545">
        <v>1.3</v>
      </c>
      <c r="T545">
        <v>1.7</v>
      </c>
      <c r="U545">
        <v>0.75800000000000001</v>
      </c>
      <c r="V545">
        <v>1</v>
      </c>
      <c r="W545">
        <v>2.8</v>
      </c>
      <c r="X545">
        <v>3.7</v>
      </c>
      <c r="Y545">
        <v>1.1000000000000001</v>
      </c>
      <c r="Z545">
        <v>0.3</v>
      </c>
      <c r="AA545">
        <v>0.5</v>
      </c>
      <c r="AB545">
        <v>0.8</v>
      </c>
      <c r="AC545">
        <v>1.4</v>
      </c>
      <c r="AD545">
        <v>9</v>
      </c>
      <c r="AE545" t="str">
        <f>IF(OR(_nba2122[[#This Row],[G]]&gt;=58,nba2122_advanced[[#This Row],[MP]]&gt;=1000),"Y","N")</f>
        <v>Y</v>
      </c>
      <c r="AF54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4.8455391745679872</v>
      </c>
    </row>
    <row r="546" spans="1:32" x14ac:dyDescent="0.35">
      <c r="A546">
        <v>545</v>
      </c>
      <c r="B546" s="1" t="s">
        <v>615</v>
      </c>
      <c r="C546" s="1" t="s">
        <v>51</v>
      </c>
      <c r="D546">
        <v>28</v>
      </c>
      <c r="E546" s="1" t="s">
        <v>111</v>
      </c>
      <c r="F546">
        <v>73</v>
      </c>
      <c r="G546">
        <v>6</v>
      </c>
      <c r="H546">
        <v>13.6</v>
      </c>
      <c r="I546">
        <v>1.6</v>
      </c>
      <c r="J546">
        <v>3.2</v>
      </c>
      <c r="K546">
        <v>0.48899999999999999</v>
      </c>
      <c r="L546">
        <v>0.4</v>
      </c>
      <c r="M546">
        <v>1.2</v>
      </c>
      <c r="N546">
        <v>0.32200000000000001</v>
      </c>
      <c r="O546">
        <v>1.2</v>
      </c>
      <c r="P546">
        <v>2</v>
      </c>
      <c r="Q546">
        <v>0.58799999999999997</v>
      </c>
      <c r="R546">
        <v>0.54900000000000004</v>
      </c>
      <c r="S546">
        <v>0.5</v>
      </c>
      <c r="T546">
        <v>1</v>
      </c>
      <c r="U546">
        <v>0.57099999999999995</v>
      </c>
      <c r="V546">
        <v>0.4</v>
      </c>
      <c r="W546">
        <v>2</v>
      </c>
      <c r="X546">
        <v>2.4</v>
      </c>
      <c r="Y546">
        <v>1.7</v>
      </c>
      <c r="Z546">
        <v>0.7</v>
      </c>
      <c r="AA546">
        <v>0.2</v>
      </c>
      <c r="AB546">
        <v>0.9</v>
      </c>
      <c r="AC546">
        <v>1.6</v>
      </c>
      <c r="AD546">
        <v>4.0999999999999996</v>
      </c>
      <c r="AE546" t="str">
        <f>IF(OR(_nba2122[[#This Row],[G]]&gt;=58,nba2122_advanced[[#This Row],[MP]]&gt;=1000),"Y","N")</f>
        <v>Y</v>
      </c>
      <c r="AF54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5.7783368051930566</v>
      </c>
    </row>
    <row r="547" spans="1:32" x14ac:dyDescent="0.35">
      <c r="A547">
        <v>546</v>
      </c>
      <c r="B547" s="1" t="s">
        <v>616</v>
      </c>
      <c r="C547" s="1" t="s">
        <v>31</v>
      </c>
      <c r="D547">
        <v>26</v>
      </c>
      <c r="E547" s="1" t="s">
        <v>99</v>
      </c>
      <c r="F547">
        <v>74</v>
      </c>
      <c r="G547">
        <v>74</v>
      </c>
      <c r="H547">
        <v>33.5</v>
      </c>
      <c r="I547">
        <v>8.6999999999999993</v>
      </c>
      <c r="J547">
        <v>16.399999999999999</v>
      </c>
      <c r="K547">
        <v>0.52900000000000003</v>
      </c>
      <c r="L547">
        <v>2</v>
      </c>
      <c r="M547">
        <v>4.9000000000000004</v>
      </c>
      <c r="N547">
        <v>0.41</v>
      </c>
      <c r="O547">
        <v>6.6</v>
      </c>
      <c r="P547">
        <v>11.5</v>
      </c>
      <c r="Q547">
        <v>0.57999999999999996</v>
      </c>
      <c r="R547">
        <v>0.59099999999999997</v>
      </c>
      <c r="S547">
        <v>5.2</v>
      </c>
      <c r="T547">
        <v>6.3</v>
      </c>
      <c r="U547">
        <v>0.82199999999999995</v>
      </c>
      <c r="V547">
        <v>2.6</v>
      </c>
      <c r="W547">
        <v>7.2</v>
      </c>
      <c r="X547">
        <v>9.8000000000000007</v>
      </c>
      <c r="Y547">
        <v>3.6</v>
      </c>
      <c r="Z547">
        <v>1</v>
      </c>
      <c r="AA547">
        <v>1.1000000000000001</v>
      </c>
      <c r="AB547">
        <v>3.1</v>
      </c>
      <c r="AC547">
        <v>3.6</v>
      </c>
      <c r="AD547">
        <v>24.6</v>
      </c>
      <c r="AE547" t="str">
        <f>IF(OR(_nba2122[[#This Row],[G]]&gt;=58,nba2122_advanced[[#This Row],[MP]]&gt;=1000),"Y","N")</f>
        <v>Y</v>
      </c>
      <c r="AF54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9.4957292090783127</v>
      </c>
    </row>
    <row r="548" spans="1:32" x14ac:dyDescent="0.35">
      <c r="A548">
        <v>547</v>
      </c>
      <c r="B548" s="1" t="s">
        <v>617</v>
      </c>
      <c r="C548" s="1" t="s">
        <v>41</v>
      </c>
      <c r="D548">
        <v>23</v>
      </c>
      <c r="E548" s="1" t="s">
        <v>32</v>
      </c>
      <c r="F548">
        <v>70</v>
      </c>
      <c r="G548">
        <v>69</v>
      </c>
      <c r="H548">
        <v>35</v>
      </c>
      <c r="I548">
        <v>6.4</v>
      </c>
      <c r="J548">
        <v>15.5</v>
      </c>
      <c r="K548">
        <v>0.41399999999999998</v>
      </c>
      <c r="L548">
        <v>3</v>
      </c>
      <c r="M548">
        <v>7.8</v>
      </c>
      <c r="N548">
        <v>0.38300000000000001</v>
      </c>
      <c r="O548">
        <v>3.4</v>
      </c>
      <c r="P548">
        <v>7.7</v>
      </c>
      <c r="Q548">
        <v>0.44500000000000001</v>
      </c>
      <c r="R548">
        <v>0.51100000000000001</v>
      </c>
      <c r="S548">
        <v>2.5</v>
      </c>
      <c r="T548">
        <v>2.9</v>
      </c>
      <c r="U548">
        <v>0.85299999999999998</v>
      </c>
      <c r="V548">
        <v>0.4</v>
      </c>
      <c r="W548">
        <v>2.4</v>
      </c>
      <c r="X548">
        <v>2.7</v>
      </c>
      <c r="Y548">
        <v>2</v>
      </c>
      <c r="Z548">
        <v>1.7</v>
      </c>
      <c r="AA548">
        <v>0.3</v>
      </c>
      <c r="AB548">
        <v>1</v>
      </c>
      <c r="AC548">
        <v>2.1</v>
      </c>
      <c r="AD548">
        <v>18.3</v>
      </c>
      <c r="AE548" t="str">
        <f>IF(OR(_nba2122[[#This Row],[G]]&gt;=58,nba2122_advanced[[#This Row],[MP]]&gt;=1000),"Y","N")</f>
        <v>Y</v>
      </c>
      <c r="AF54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6.5649254214381738</v>
      </c>
    </row>
    <row r="549" spans="1:32" x14ac:dyDescent="0.35">
      <c r="A549">
        <v>548</v>
      </c>
      <c r="B549" s="1" t="s">
        <v>618</v>
      </c>
      <c r="C549" s="1" t="s">
        <v>28</v>
      </c>
      <c r="D549">
        <v>36</v>
      </c>
      <c r="E549" s="1" t="s">
        <v>36</v>
      </c>
      <c r="F549">
        <v>71</v>
      </c>
      <c r="G549">
        <v>70</v>
      </c>
      <c r="H549">
        <v>27.9</v>
      </c>
      <c r="I549">
        <v>2.9</v>
      </c>
      <c r="J549">
        <v>6</v>
      </c>
      <c r="K549">
        <v>0.48399999999999999</v>
      </c>
      <c r="L549">
        <v>1.1000000000000001</v>
      </c>
      <c r="M549">
        <v>2.7</v>
      </c>
      <c r="N549">
        <v>0.41499999999999998</v>
      </c>
      <c r="O549">
        <v>1.8</v>
      </c>
      <c r="P549">
        <v>3.3</v>
      </c>
      <c r="Q549">
        <v>0.54</v>
      </c>
      <c r="R549">
        <v>0.57699999999999996</v>
      </c>
      <c r="S549">
        <v>0.6</v>
      </c>
      <c r="T549">
        <v>0.9</v>
      </c>
      <c r="U549">
        <v>0.73799999999999999</v>
      </c>
      <c r="V549">
        <v>1.4</v>
      </c>
      <c r="W549">
        <v>4</v>
      </c>
      <c r="X549">
        <v>5.5</v>
      </c>
      <c r="Y549">
        <v>2.1</v>
      </c>
      <c r="Z549">
        <v>0.8</v>
      </c>
      <c r="AA549">
        <v>0.2</v>
      </c>
      <c r="AB549">
        <v>0.9</v>
      </c>
      <c r="AC549">
        <v>2.2999999999999998</v>
      </c>
      <c r="AD549">
        <v>7.6</v>
      </c>
      <c r="AE549" t="str">
        <f>IF(OR(_nba2122[[#This Row],[G]]&gt;=58,nba2122_advanced[[#This Row],[MP]]&gt;=1000),"Y","N")</f>
        <v>Y</v>
      </c>
      <c r="AF54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4.5925029401385382</v>
      </c>
    </row>
    <row r="550" spans="1:32" x14ac:dyDescent="0.35">
      <c r="A550">
        <v>549</v>
      </c>
      <c r="B550" s="1" t="s">
        <v>619</v>
      </c>
      <c r="C550" s="1" t="s">
        <v>41</v>
      </c>
      <c r="D550">
        <v>24</v>
      </c>
      <c r="E550" s="1" t="s">
        <v>42</v>
      </c>
      <c r="F550">
        <v>5</v>
      </c>
      <c r="G550">
        <v>0</v>
      </c>
      <c r="H550">
        <v>14.2</v>
      </c>
      <c r="I550">
        <v>1.2</v>
      </c>
      <c r="J550">
        <v>1.8</v>
      </c>
      <c r="K550">
        <v>0.66700000000000004</v>
      </c>
      <c r="L550">
        <v>0.8</v>
      </c>
      <c r="M550">
        <v>1</v>
      </c>
      <c r="N550">
        <v>0.8</v>
      </c>
      <c r="O550">
        <v>0.4</v>
      </c>
      <c r="P550">
        <v>0.8</v>
      </c>
      <c r="Q550">
        <v>0.5</v>
      </c>
      <c r="R550">
        <v>0.88900000000000001</v>
      </c>
      <c r="S550">
        <v>1</v>
      </c>
      <c r="T550">
        <v>1.4</v>
      </c>
      <c r="U550">
        <v>0.71399999999999997</v>
      </c>
      <c r="V550">
        <v>0.6</v>
      </c>
      <c r="W550">
        <v>1</v>
      </c>
      <c r="X550">
        <v>1.6</v>
      </c>
      <c r="Y550">
        <v>2</v>
      </c>
      <c r="Z550">
        <v>0.8</v>
      </c>
      <c r="AA550">
        <v>0</v>
      </c>
      <c r="AB550">
        <v>0.2</v>
      </c>
      <c r="AC550">
        <v>1</v>
      </c>
      <c r="AD550">
        <v>4.2</v>
      </c>
      <c r="AE550" t="str">
        <f>IF(OR(_nba2122[[#This Row],[G]]&gt;=58,nba2122_advanced[[#This Row],[MP]]&gt;=1000),"Y","N")</f>
        <v>N</v>
      </c>
      <c r="AF55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12.294254949276981</v>
      </c>
    </row>
    <row r="551" spans="1:32" x14ac:dyDescent="0.35">
      <c r="A551">
        <v>550</v>
      </c>
      <c r="B551" s="1" t="s">
        <v>620</v>
      </c>
      <c r="C551" s="1" t="s">
        <v>31</v>
      </c>
      <c r="D551">
        <v>25</v>
      </c>
      <c r="E551" s="1" t="s">
        <v>108</v>
      </c>
      <c r="F551">
        <v>42</v>
      </c>
      <c r="G551">
        <v>42</v>
      </c>
      <c r="H551">
        <v>29.4</v>
      </c>
      <c r="I551">
        <v>4.8</v>
      </c>
      <c r="J551">
        <v>9.4</v>
      </c>
      <c r="K551">
        <v>0.50900000000000001</v>
      </c>
      <c r="L551">
        <v>1.5</v>
      </c>
      <c r="M551">
        <v>4.4000000000000004</v>
      </c>
      <c r="N551">
        <v>0.33300000000000002</v>
      </c>
      <c r="O551">
        <v>3.3</v>
      </c>
      <c r="P551">
        <v>5</v>
      </c>
      <c r="Q551">
        <v>0.66200000000000003</v>
      </c>
      <c r="R551">
        <v>0.58699999999999997</v>
      </c>
      <c r="S551">
        <v>1.9</v>
      </c>
      <c r="T551">
        <v>2.5</v>
      </c>
      <c r="U551">
        <v>0.752</v>
      </c>
      <c r="V551">
        <v>1.5</v>
      </c>
      <c r="W551">
        <v>5.5</v>
      </c>
      <c r="X551">
        <v>7.1</v>
      </c>
      <c r="Y551">
        <v>1</v>
      </c>
      <c r="Z551">
        <v>0.7</v>
      </c>
      <c r="AA551">
        <v>2.8</v>
      </c>
      <c r="AB551">
        <v>1.3</v>
      </c>
      <c r="AC551">
        <v>2.8</v>
      </c>
      <c r="AD551">
        <v>12.9</v>
      </c>
      <c r="AE551" t="str">
        <f>IF(OR(_nba2122[[#This Row],[G]]&gt;=58,nba2122_advanced[[#This Row],[MP]]&gt;=1000),"Y","N")</f>
        <v>Y</v>
      </c>
      <c r="AF55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12.144904864046724</v>
      </c>
    </row>
    <row r="552" spans="1:32" x14ac:dyDescent="0.35">
      <c r="A552">
        <v>551</v>
      </c>
      <c r="B552" s="1" t="s">
        <v>621</v>
      </c>
      <c r="C552" s="1" t="s">
        <v>31</v>
      </c>
      <c r="D552">
        <v>29</v>
      </c>
      <c r="E552" s="1" t="s">
        <v>49</v>
      </c>
      <c r="F552">
        <v>74</v>
      </c>
      <c r="G552">
        <v>74</v>
      </c>
      <c r="H552">
        <v>30.3</v>
      </c>
      <c r="I552">
        <v>6.9</v>
      </c>
      <c r="J552">
        <v>12.7</v>
      </c>
      <c r="K552">
        <v>0.54400000000000004</v>
      </c>
      <c r="L552">
        <v>0.8</v>
      </c>
      <c r="M552">
        <v>2.1</v>
      </c>
      <c r="N552">
        <v>0.36099999999999999</v>
      </c>
      <c r="O552">
        <v>6.1</v>
      </c>
      <c r="P552">
        <v>10.5</v>
      </c>
      <c r="Q552">
        <v>0.58099999999999996</v>
      </c>
      <c r="R552">
        <v>0.57399999999999995</v>
      </c>
      <c r="S552">
        <v>3.2</v>
      </c>
      <c r="T552">
        <v>3.9</v>
      </c>
      <c r="U552">
        <v>0.82</v>
      </c>
      <c r="V552">
        <v>3.1</v>
      </c>
      <c r="W552">
        <v>8.3000000000000007</v>
      </c>
      <c r="X552">
        <v>11.4</v>
      </c>
      <c r="Y552">
        <v>2.6</v>
      </c>
      <c r="Z552">
        <v>0.6</v>
      </c>
      <c r="AA552">
        <v>0.8</v>
      </c>
      <c r="AB552">
        <v>2.4</v>
      </c>
      <c r="AC552">
        <v>3.3</v>
      </c>
      <c r="AD552">
        <v>17.8</v>
      </c>
      <c r="AE552" t="str">
        <f>IF(OR(_nba2122[[#This Row],[G]]&gt;=58,nba2122_advanced[[#This Row],[MP]]&gt;=1000),"Y","N")</f>
        <v>Y</v>
      </c>
      <c r="AF55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7.9664342058813391</v>
      </c>
    </row>
    <row r="553" spans="1:32" x14ac:dyDescent="0.35">
      <c r="A553">
        <v>552</v>
      </c>
      <c r="B553" s="1" t="s">
        <v>622</v>
      </c>
      <c r="C553" s="1" t="s">
        <v>41</v>
      </c>
      <c r="D553">
        <v>28</v>
      </c>
      <c r="E553" s="1" t="s">
        <v>42</v>
      </c>
      <c r="F553">
        <v>24</v>
      </c>
      <c r="G553">
        <v>0</v>
      </c>
      <c r="H553">
        <v>9.3000000000000007</v>
      </c>
      <c r="I553">
        <v>1</v>
      </c>
      <c r="J553">
        <v>2.8</v>
      </c>
      <c r="K553">
        <v>0.379</v>
      </c>
      <c r="L553">
        <v>0.8</v>
      </c>
      <c r="M553">
        <v>2</v>
      </c>
      <c r="N553">
        <v>0.40400000000000003</v>
      </c>
      <c r="O553">
        <v>0.3</v>
      </c>
      <c r="P553">
        <v>0.8</v>
      </c>
      <c r="Q553">
        <v>0.316</v>
      </c>
      <c r="R553">
        <v>0.52300000000000002</v>
      </c>
      <c r="S553">
        <v>0</v>
      </c>
      <c r="T553">
        <v>0</v>
      </c>
      <c r="V553">
        <v>0.4</v>
      </c>
      <c r="W553">
        <v>1.4</v>
      </c>
      <c r="X553">
        <v>1.8</v>
      </c>
      <c r="Y553">
        <v>0.5</v>
      </c>
      <c r="Z553">
        <v>0.3</v>
      </c>
      <c r="AA553">
        <v>0</v>
      </c>
      <c r="AB553">
        <v>0.5</v>
      </c>
      <c r="AC553">
        <v>0.8</v>
      </c>
      <c r="AD553">
        <v>2.9</v>
      </c>
      <c r="AE553" t="str">
        <f>IF(OR(_nba2122[[#This Row],[G]]&gt;=58,nba2122_advanced[[#This Row],[MP]]&gt;=1000),"Y","N")</f>
        <v>N</v>
      </c>
      <c r="AF55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11.068116587826083</v>
      </c>
    </row>
    <row r="554" spans="1:32" x14ac:dyDescent="0.35">
      <c r="A554">
        <v>553</v>
      </c>
      <c r="B554" s="1" t="s">
        <v>623</v>
      </c>
      <c r="C554" s="1" t="s">
        <v>28</v>
      </c>
      <c r="D554">
        <v>22</v>
      </c>
      <c r="E554" s="1" t="s">
        <v>99</v>
      </c>
      <c r="F554">
        <v>74</v>
      </c>
      <c r="G554">
        <v>67</v>
      </c>
      <c r="H554">
        <v>25.4</v>
      </c>
      <c r="I554">
        <v>2.9</v>
      </c>
      <c r="J554">
        <v>4.9000000000000004</v>
      </c>
      <c r="K554">
        <v>0.58699999999999997</v>
      </c>
      <c r="L554">
        <v>0</v>
      </c>
      <c r="M554">
        <v>0.2</v>
      </c>
      <c r="N554">
        <v>0.14299999999999999</v>
      </c>
      <c r="O554">
        <v>2.8</v>
      </c>
      <c r="P554">
        <v>4.7</v>
      </c>
      <c r="Q554">
        <v>0.60499999999999998</v>
      </c>
      <c r="R554">
        <v>0.59</v>
      </c>
      <c r="S554">
        <v>1.2</v>
      </c>
      <c r="T554">
        <v>1.8</v>
      </c>
      <c r="U554">
        <v>0.65600000000000003</v>
      </c>
      <c r="V554">
        <v>2.9</v>
      </c>
      <c r="W554">
        <v>5.5</v>
      </c>
      <c r="X554">
        <v>8.4</v>
      </c>
      <c r="Y554">
        <v>1.3</v>
      </c>
      <c r="Z554">
        <v>1.3</v>
      </c>
      <c r="AA554">
        <v>0.6</v>
      </c>
      <c r="AB554">
        <v>1</v>
      </c>
      <c r="AC554">
        <v>2.4</v>
      </c>
      <c r="AD554">
        <v>6.9</v>
      </c>
      <c r="AE554" t="str">
        <f>IF(OR(_nba2122[[#This Row],[G]]&gt;=58,nba2122_advanced[[#This Row],[MP]]&gt;=1000),"Y","N")</f>
        <v>Y</v>
      </c>
      <c r="AF55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8.4581426752814366</v>
      </c>
    </row>
    <row r="555" spans="1:32" x14ac:dyDescent="0.35">
      <c r="A555">
        <v>554</v>
      </c>
      <c r="B555" s="1" t="s">
        <v>624</v>
      </c>
      <c r="C555" s="1" t="s">
        <v>48</v>
      </c>
      <c r="D555">
        <v>27</v>
      </c>
      <c r="E555" s="1" t="s">
        <v>32</v>
      </c>
      <c r="F555">
        <v>65</v>
      </c>
      <c r="G555">
        <v>65</v>
      </c>
      <c r="H555">
        <v>37.9</v>
      </c>
      <c r="I555">
        <v>6.8</v>
      </c>
      <c r="J555">
        <v>16.899999999999999</v>
      </c>
      <c r="K555">
        <v>0.40300000000000002</v>
      </c>
      <c r="L555">
        <v>3.7</v>
      </c>
      <c r="M555">
        <v>9.9</v>
      </c>
      <c r="N555">
        <v>0.377</v>
      </c>
      <c r="O555">
        <v>3.1</v>
      </c>
      <c r="P555">
        <v>7</v>
      </c>
      <c r="Q555">
        <v>0.44</v>
      </c>
      <c r="R555">
        <v>0.51300000000000001</v>
      </c>
      <c r="S555">
        <v>3</v>
      </c>
      <c r="T555">
        <v>3.4</v>
      </c>
      <c r="U555">
        <v>0.874</v>
      </c>
      <c r="V555">
        <v>0.7</v>
      </c>
      <c r="W555">
        <v>3.8</v>
      </c>
      <c r="X555">
        <v>4.4000000000000004</v>
      </c>
      <c r="Y555">
        <v>6.7</v>
      </c>
      <c r="Z555">
        <v>1.7</v>
      </c>
      <c r="AA555">
        <v>0.5</v>
      </c>
      <c r="AB555">
        <v>2.6</v>
      </c>
      <c r="AC555">
        <v>2.5</v>
      </c>
      <c r="AD555">
        <v>20.3</v>
      </c>
      <c r="AE555" t="str">
        <f>IF(OR(_nba2122[[#This Row],[G]]&gt;=58,nba2122_advanced[[#This Row],[MP]]&gt;=1000),"Y","N")</f>
        <v>Y</v>
      </c>
      <c r="AF55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7.217432755855123</v>
      </c>
    </row>
    <row r="556" spans="1:32" x14ac:dyDescent="0.35">
      <c r="A556">
        <v>555</v>
      </c>
      <c r="B556" s="1" t="s">
        <v>625</v>
      </c>
      <c r="C556" s="1" t="s">
        <v>51</v>
      </c>
      <c r="D556">
        <v>21</v>
      </c>
      <c r="E556" s="1" t="s">
        <v>91</v>
      </c>
      <c r="F556">
        <v>71</v>
      </c>
      <c r="G556">
        <v>32</v>
      </c>
      <c r="H556">
        <v>27.3</v>
      </c>
      <c r="I556">
        <v>4.5999999999999996</v>
      </c>
      <c r="J556">
        <v>10.8</v>
      </c>
      <c r="K556">
        <v>0.42699999999999999</v>
      </c>
      <c r="L556">
        <v>1.9</v>
      </c>
      <c r="M556">
        <v>5.4</v>
      </c>
      <c r="N556">
        <v>0.36099999999999999</v>
      </c>
      <c r="O556">
        <v>2.7</v>
      </c>
      <c r="P556">
        <v>5.4</v>
      </c>
      <c r="Q556">
        <v>0.49199999999999999</v>
      </c>
      <c r="R556">
        <v>0.51600000000000001</v>
      </c>
      <c r="S556">
        <v>1.2</v>
      </c>
      <c r="T556">
        <v>1.4</v>
      </c>
      <c r="U556">
        <v>0.83799999999999997</v>
      </c>
      <c r="V556">
        <v>0.6</v>
      </c>
      <c r="W556">
        <v>3.7</v>
      </c>
      <c r="X556">
        <v>4.3</v>
      </c>
      <c r="Y556">
        <v>1.9</v>
      </c>
      <c r="Z556">
        <v>1.1000000000000001</v>
      </c>
      <c r="AA556">
        <v>0.6</v>
      </c>
      <c r="AB556">
        <v>0.8</v>
      </c>
      <c r="AC556">
        <v>2</v>
      </c>
      <c r="AD556">
        <v>12.3</v>
      </c>
      <c r="AE556" t="str">
        <f>IF(OR(_nba2122[[#This Row],[G]]&gt;=58,nba2122_advanced[[#This Row],[MP]]&gt;=1000),"Y","N")</f>
        <v>Y</v>
      </c>
      <c r="AF55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3.7385568460476466</v>
      </c>
    </row>
    <row r="557" spans="1:32" x14ac:dyDescent="0.35">
      <c r="A557">
        <v>556</v>
      </c>
      <c r="B557" s="1" t="s">
        <v>626</v>
      </c>
      <c r="C557" s="1" t="s">
        <v>48</v>
      </c>
      <c r="D557">
        <v>25</v>
      </c>
      <c r="E557" s="1" t="s">
        <v>36</v>
      </c>
      <c r="F557">
        <v>68</v>
      </c>
      <c r="G557">
        <v>27</v>
      </c>
      <c r="H557">
        <v>23.4</v>
      </c>
      <c r="I557">
        <v>3.1</v>
      </c>
      <c r="J557">
        <v>7.5</v>
      </c>
      <c r="K557">
        <v>0.41699999999999998</v>
      </c>
      <c r="L557">
        <v>1.8</v>
      </c>
      <c r="M557">
        <v>4.8</v>
      </c>
      <c r="N557">
        <v>0.36799999999999999</v>
      </c>
      <c r="O557">
        <v>1.4</v>
      </c>
      <c r="P557">
        <v>2.8</v>
      </c>
      <c r="Q557">
        <v>0.5</v>
      </c>
      <c r="R557">
        <v>0.53300000000000003</v>
      </c>
      <c r="S557">
        <v>0.6</v>
      </c>
      <c r="T557">
        <v>0.8</v>
      </c>
      <c r="U557">
        <v>0.81499999999999995</v>
      </c>
      <c r="V557">
        <v>0.3</v>
      </c>
      <c r="W557">
        <v>1.5</v>
      </c>
      <c r="X557">
        <v>1.9</v>
      </c>
      <c r="Y557">
        <v>3.1</v>
      </c>
      <c r="Z557">
        <v>0.9</v>
      </c>
      <c r="AA557">
        <v>0.2</v>
      </c>
      <c r="AB557">
        <v>1.4</v>
      </c>
      <c r="AC557">
        <v>2.2999999999999998</v>
      </c>
      <c r="AD557">
        <v>8.6999999999999993</v>
      </c>
      <c r="AE557" t="str">
        <f>IF(OR(_nba2122[[#This Row],[G]]&gt;=58,nba2122_advanced[[#This Row],[MP]]&gt;=1000),"Y","N")</f>
        <v>Y</v>
      </c>
      <c r="AF55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5.5782254809844263</v>
      </c>
    </row>
    <row r="558" spans="1:32" x14ac:dyDescent="0.35">
      <c r="A558">
        <v>557</v>
      </c>
      <c r="B558" s="1" t="s">
        <v>627</v>
      </c>
      <c r="C558" s="1" t="s">
        <v>31</v>
      </c>
      <c r="D558">
        <v>31</v>
      </c>
      <c r="E558" s="1" t="s">
        <v>75</v>
      </c>
      <c r="F558">
        <v>73</v>
      </c>
      <c r="G558">
        <v>73</v>
      </c>
      <c r="H558">
        <v>33.1</v>
      </c>
      <c r="I558">
        <v>7.5</v>
      </c>
      <c r="J558">
        <v>15.8</v>
      </c>
      <c r="K558">
        <v>0.47299999999999998</v>
      </c>
      <c r="L558">
        <v>1.4</v>
      </c>
      <c r="M558">
        <v>4.5</v>
      </c>
      <c r="N558">
        <v>0.314</v>
      </c>
      <c r="O558">
        <v>6.1</v>
      </c>
      <c r="P558">
        <v>11.3</v>
      </c>
      <c r="Q558">
        <v>0.53700000000000003</v>
      </c>
      <c r="R558">
        <v>0.51800000000000002</v>
      </c>
      <c r="S558">
        <v>1.3</v>
      </c>
      <c r="T558">
        <v>1.7</v>
      </c>
      <c r="U558">
        <v>0.76</v>
      </c>
      <c r="V558">
        <v>1.9</v>
      </c>
      <c r="W558">
        <v>9.1</v>
      </c>
      <c r="X558">
        <v>11</v>
      </c>
      <c r="Y558">
        <v>3.2</v>
      </c>
      <c r="Z558">
        <v>1</v>
      </c>
      <c r="AA558">
        <v>1</v>
      </c>
      <c r="AB558">
        <v>1.9</v>
      </c>
      <c r="AC558">
        <v>2.5</v>
      </c>
      <c r="AD558">
        <v>17.600000000000001</v>
      </c>
      <c r="AE558" t="str">
        <f>IF(OR(_nba2122[[#This Row],[G]]&gt;=58,nba2122_advanced[[#This Row],[MP]]&gt;=1000),"Y","N")</f>
        <v>Y</v>
      </c>
      <c r="AF55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6.5200135518130402</v>
      </c>
    </row>
    <row r="559" spans="1:32" x14ac:dyDescent="0.35">
      <c r="A559">
        <v>558</v>
      </c>
      <c r="B559" s="1" t="s">
        <v>628</v>
      </c>
      <c r="C559" s="1" t="s">
        <v>28</v>
      </c>
      <c r="D559">
        <v>25</v>
      </c>
      <c r="E559" s="1" t="s">
        <v>46</v>
      </c>
      <c r="F559">
        <v>51</v>
      </c>
      <c r="G559">
        <v>28</v>
      </c>
      <c r="H559">
        <v>19.2</v>
      </c>
      <c r="I559">
        <v>1.9</v>
      </c>
      <c r="J559">
        <v>4.3</v>
      </c>
      <c r="K559">
        <v>0.45600000000000002</v>
      </c>
      <c r="L559">
        <v>1</v>
      </c>
      <c r="M559">
        <v>2.8</v>
      </c>
      <c r="N559">
        <v>0.35899999999999999</v>
      </c>
      <c r="O559">
        <v>0.9</v>
      </c>
      <c r="P559">
        <v>1.5</v>
      </c>
      <c r="Q559">
        <v>0.64</v>
      </c>
      <c r="R559">
        <v>0.57399999999999995</v>
      </c>
      <c r="S559">
        <v>0.4</v>
      </c>
      <c r="T559">
        <v>0.6</v>
      </c>
      <c r="U559">
        <v>0.66700000000000004</v>
      </c>
      <c r="V559">
        <v>0.6</v>
      </c>
      <c r="W559">
        <v>2.2999999999999998</v>
      </c>
      <c r="X559">
        <v>2.9</v>
      </c>
      <c r="Y559">
        <v>1</v>
      </c>
      <c r="Z559">
        <v>0.6</v>
      </c>
      <c r="AA559">
        <v>0.1</v>
      </c>
      <c r="AB559">
        <v>0.3</v>
      </c>
      <c r="AC559">
        <v>1.7</v>
      </c>
      <c r="AD559">
        <v>5.3</v>
      </c>
      <c r="AE559" t="str">
        <f>IF(OR(_nba2122[[#This Row],[G]]&gt;=58,nba2122_advanced[[#This Row],[MP]]&gt;=1000),"Y","N")</f>
        <v>N</v>
      </c>
      <c r="AF55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7.5535570616204231</v>
      </c>
    </row>
    <row r="560" spans="1:32" x14ac:dyDescent="0.35">
      <c r="A560">
        <v>559</v>
      </c>
      <c r="B560" s="1" t="s">
        <v>629</v>
      </c>
      <c r="C560" s="1" t="s">
        <v>51</v>
      </c>
      <c r="D560">
        <v>20</v>
      </c>
      <c r="E560" s="1" t="s">
        <v>58</v>
      </c>
      <c r="F560">
        <v>79</v>
      </c>
      <c r="G560">
        <v>79</v>
      </c>
      <c r="H560">
        <v>30.7</v>
      </c>
      <c r="I560">
        <v>5.8</v>
      </c>
      <c r="J560">
        <v>12.3</v>
      </c>
      <c r="K560">
        <v>0.46800000000000003</v>
      </c>
      <c r="L560">
        <v>1.2</v>
      </c>
      <c r="M560">
        <v>3.4</v>
      </c>
      <c r="N560">
        <v>0.35399999999999998</v>
      </c>
      <c r="O560">
        <v>4.5999999999999996</v>
      </c>
      <c r="P560">
        <v>8.9</v>
      </c>
      <c r="Q560">
        <v>0.51100000000000001</v>
      </c>
      <c r="R560">
        <v>0.51700000000000002</v>
      </c>
      <c r="S560">
        <v>2.4</v>
      </c>
      <c r="T560">
        <v>2.8</v>
      </c>
      <c r="U560">
        <v>0.86299999999999999</v>
      </c>
      <c r="V560">
        <v>1.1000000000000001</v>
      </c>
      <c r="W560">
        <v>3.4</v>
      </c>
      <c r="X560">
        <v>4.5</v>
      </c>
      <c r="Y560">
        <v>2.9</v>
      </c>
      <c r="Z560">
        <v>0.9</v>
      </c>
      <c r="AA560">
        <v>0.4</v>
      </c>
      <c r="AB560">
        <v>1.5</v>
      </c>
      <c r="AC560">
        <v>2.1</v>
      </c>
      <c r="AD560">
        <v>15.2</v>
      </c>
      <c r="AE560" t="str">
        <f>IF(OR(_nba2122[[#This Row],[G]]&gt;=58,nba2122_advanced[[#This Row],[MP]]&gt;=1000),"Y","N")</f>
        <v>Y</v>
      </c>
      <c r="AF56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1.9986105005144819</v>
      </c>
    </row>
    <row r="561" spans="1:32" x14ac:dyDescent="0.35">
      <c r="A561">
        <v>560</v>
      </c>
      <c r="B561" s="1" t="s">
        <v>630</v>
      </c>
      <c r="C561" s="1" t="s">
        <v>31</v>
      </c>
      <c r="D561">
        <v>24</v>
      </c>
      <c r="E561" s="1" t="s">
        <v>58</v>
      </c>
      <c r="F561">
        <v>63</v>
      </c>
      <c r="G561">
        <v>3</v>
      </c>
      <c r="H561">
        <v>15.2</v>
      </c>
      <c r="I561">
        <v>3.1</v>
      </c>
      <c r="J561">
        <v>6.3</v>
      </c>
      <c r="K561">
        <v>0.497</v>
      </c>
      <c r="L561">
        <v>1</v>
      </c>
      <c r="M561">
        <v>3.2</v>
      </c>
      <c r="N561">
        <v>0.32800000000000001</v>
      </c>
      <c r="O561">
        <v>2.1</v>
      </c>
      <c r="P561">
        <v>3.1</v>
      </c>
      <c r="Q561">
        <v>0.67200000000000004</v>
      </c>
      <c r="R561">
        <v>0.58099999999999996</v>
      </c>
      <c r="S561">
        <v>1.7</v>
      </c>
      <c r="T561">
        <v>2</v>
      </c>
      <c r="U561">
        <v>0.80600000000000005</v>
      </c>
      <c r="V561">
        <v>0.7</v>
      </c>
      <c r="W561">
        <v>3</v>
      </c>
      <c r="X561">
        <v>3.7</v>
      </c>
      <c r="Y561">
        <v>1.4</v>
      </c>
      <c r="Z561">
        <v>0.3</v>
      </c>
      <c r="AA561">
        <v>0.2</v>
      </c>
      <c r="AB561">
        <v>0.9</v>
      </c>
      <c r="AC561">
        <v>2</v>
      </c>
      <c r="AD561">
        <v>9</v>
      </c>
      <c r="AE561" t="str">
        <f>IF(OR(_nba2122[[#This Row],[G]]&gt;=58,nba2122_advanced[[#This Row],[MP]]&gt;=1000),"Y","N")</f>
        <v>Y</v>
      </c>
      <c r="AF56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4.9328856707354687</v>
      </c>
    </row>
    <row r="562" spans="1:32" x14ac:dyDescent="0.35">
      <c r="A562">
        <v>561</v>
      </c>
      <c r="B562" s="1" t="s">
        <v>631</v>
      </c>
      <c r="C562" s="1" t="s">
        <v>28</v>
      </c>
      <c r="D562">
        <v>27</v>
      </c>
      <c r="E562" s="1" t="s">
        <v>68</v>
      </c>
      <c r="F562">
        <v>45</v>
      </c>
      <c r="G562">
        <v>0</v>
      </c>
      <c r="H562">
        <v>8</v>
      </c>
      <c r="I562">
        <v>0.9</v>
      </c>
      <c r="J562">
        <v>2.2999999999999998</v>
      </c>
      <c r="K562">
        <v>0.39400000000000002</v>
      </c>
      <c r="L562">
        <v>0.4</v>
      </c>
      <c r="M562">
        <v>1.3</v>
      </c>
      <c r="N562">
        <v>0.32200000000000001</v>
      </c>
      <c r="O562">
        <v>0.5</v>
      </c>
      <c r="P562">
        <v>1</v>
      </c>
      <c r="Q562">
        <v>0.48899999999999999</v>
      </c>
      <c r="R562">
        <v>0.48599999999999999</v>
      </c>
      <c r="S562">
        <v>0.2</v>
      </c>
      <c r="T562">
        <v>0.3</v>
      </c>
      <c r="U562">
        <v>0.58299999999999996</v>
      </c>
      <c r="V562">
        <v>0.6</v>
      </c>
      <c r="W562">
        <v>0.6</v>
      </c>
      <c r="X562">
        <v>1.2</v>
      </c>
      <c r="Y562">
        <v>0.3</v>
      </c>
      <c r="Z562">
        <v>0.4</v>
      </c>
      <c r="AA562">
        <v>0.1</v>
      </c>
      <c r="AB562">
        <v>0.3</v>
      </c>
      <c r="AC562">
        <v>1.1000000000000001</v>
      </c>
      <c r="AD562">
        <v>2.4</v>
      </c>
      <c r="AE562" t="str">
        <f>IF(OR(_nba2122[[#This Row],[G]]&gt;=58,nba2122_advanced[[#This Row],[MP]]&gt;=1000),"Y","N")</f>
        <v>N</v>
      </c>
      <c r="AF56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9.112191523860794</v>
      </c>
    </row>
    <row r="563" spans="1:32" x14ac:dyDescent="0.35">
      <c r="A563">
        <v>562</v>
      </c>
      <c r="B563" s="1" t="s">
        <v>632</v>
      </c>
      <c r="C563" s="1" t="s">
        <v>48</v>
      </c>
      <c r="D563">
        <v>31</v>
      </c>
      <c r="E563" s="1" t="s">
        <v>61</v>
      </c>
      <c r="F563">
        <v>37</v>
      </c>
      <c r="G563">
        <v>37</v>
      </c>
      <c r="H563">
        <v>25.6</v>
      </c>
      <c r="I563">
        <v>4</v>
      </c>
      <c r="J563">
        <v>10</v>
      </c>
      <c r="K563">
        <v>0.40300000000000002</v>
      </c>
      <c r="L563">
        <v>2</v>
      </c>
      <c r="M563">
        <v>5.4</v>
      </c>
      <c r="N563">
        <v>0.36699999999999999</v>
      </c>
      <c r="O563">
        <v>2.1</v>
      </c>
      <c r="P563">
        <v>4.5999999999999996</v>
      </c>
      <c r="Q563">
        <v>0.44400000000000001</v>
      </c>
      <c r="R563">
        <v>0.501</v>
      </c>
      <c r="S563">
        <v>1.6</v>
      </c>
      <c r="T563">
        <v>1.9</v>
      </c>
      <c r="U563">
        <v>0.84499999999999997</v>
      </c>
      <c r="V563">
        <v>0.4</v>
      </c>
      <c r="W563">
        <v>2.6</v>
      </c>
      <c r="X563">
        <v>3</v>
      </c>
      <c r="Y563">
        <v>3.5</v>
      </c>
      <c r="Z563">
        <v>0.7</v>
      </c>
      <c r="AA563">
        <v>0.2</v>
      </c>
      <c r="AB563">
        <v>1.3</v>
      </c>
      <c r="AC563">
        <v>1</v>
      </c>
      <c r="AD563">
        <v>11.6</v>
      </c>
      <c r="AE563" t="str">
        <f>IF(OR(_nba2122[[#This Row],[G]]&gt;=58,nba2122_advanced[[#This Row],[MP]]&gt;=1000),"Y","N")</f>
        <v>N</v>
      </c>
      <c r="AF56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4.6973389203585381</v>
      </c>
    </row>
    <row r="564" spans="1:32" x14ac:dyDescent="0.35">
      <c r="A564">
        <v>563</v>
      </c>
      <c r="B564" s="1" t="s">
        <v>633</v>
      </c>
      <c r="C564" s="1" t="s">
        <v>41</v>
      </c>
      <c r="D564">
        <v>23</v>
      </c>
      <c r="E564" s="1" t="s">
        <v>91</v>
      </c>
      <c r="F564">
        <v>70</v>
      </c>
      <c r="G564">
        <v>6</v>
      </c>
      <c r="H564">
        <v>23</v>
      </c>
      <c r="I564">
        <v>4.4000000000000004</v>
      </c>
      <c r="J564">
        <v>10.9</v>
      </c>
      <c r="K564">
        <v>0.40699999999999997</v>
      </c>
      <c r="L564">
        <v>1.6</v>
      </c>
      <c r="M564">
        <v>5</v>
      </c>
      <c r="N564">
        <v>0.314</v>
      </c>
      <c r="O564">
        <v>2.9</v>
      </c>
      <c r="P564">
        <v>5.9</v>
      </c>
      <c r="Q564">
        <v>0.48699999999999999</v>
      </c>
      <c r="R564">
        <v>0.48</v>
      </c>
      <c r="S564">
        <v>1.7</v>
      </c>
      <c r="T564">
        <v>2.1</v>
      </c>
      <c r="U564">
        <v>0.78400000000000003</v>
      </c>
      <c r="V564">
        <v>0.3</v>
      </c>
      <c r="W564">
        <v>2.2999999999999998</v>
      </c>
      <c r="X564">
        <v>2.6</v>
      </c>
      <c r="Y564">
        <v>2.2000000000000002</v>
      </c>
      <c r="Z564">
        <v>0.6</v>
      </c>
      <c r="AA564">
        <v>0.3</v>
      </c>
      <c r="AB564">
        <v>1</v>
      </c>
      <c r="AC564">
        <v>1.4</v>
      </c>
      <c r="AD564">
        <v>12.1</v>
      </c>
      <c r="AE564" t="str">
        <f>IF(OR(_nba2122[[#This Row],[G]]&gt;=58,nba2122_advanced[[#This Row],[MP]]&gt;=1000),"Y","N")</f>
        <v>Y</v>
      </c>
      <c r="AF56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4.6386645451173694</v>
      </c>
    </row>
    <row r="565" spans="1:32" x14ac:dyDescent="0.35">
      <c r="A565">
        <v>564</v>
      </c>
      <c r="B565" s="1" t="s">
        <v>634</v>
      </c>
      <c r="C565" s="1" t="s">
        <v>41</v>
      </c>
      <c r="D565">
        <v>23</v>
      </c>
      <c r="E565" s="1" t="s">
        <v>68</v>
      </c>
      <c r="F565">
        <v>2</v>
      </c>
      <c r="G565">
        <v>0</v>
      </c>
      <c r="H565">
        <v>4</v>
      </c>
      <c r="I565">
        <v>0</v>
      </c>
      <c r="J565">
        <v>2</v>
      </c>
      <c r="K565">
        <v>0</v>
      </c>
      <c r="L565">
        <v>0</v>
      </c>
      <c r="M565">
        <v>1</v>
      </c>
      <c r="N565">
        <v>0</v>
      </c>
      <c r="O565">
        <v>0</v>
      </c>
      <c r="P565">
        <v>1</v>
      </c>
      <c r="Q565">
        <v>0</v>
      </c>
      <c r="R565">
        <v>0</v>
      </c>
      <c r="S565">
        <v>0</v>
      </c>
      <c r="T565">
        <v>0</v>
      </c>
      <c r="V565">
        <v>0</v>
      </c>
      <c r="W565">
        <v>0.5</v>
      </c>
      <c r="X565">
        <v>0.5</v>
      </c>
      <c r="Y565">
        <v>0.5</v>
      </c>
      <c r="Z565">
        <v>1</v>
      </c>
      <c r="AA565">
        <v>0</v>
      </c>
      <c r="AB565">
        <v>0</v>
      </c>
      <c r="AC565">
        <v>0.5</v>
      </c>
      <c r="AD565">
        <v>0</v>
      </c>
      <c r="AE565" t="str">
        <f>IF(OR(_nba2122[[#This Row],[G]]&gt;=58,nba2122_advanced[[#This Row],[MP]]&gt;=1000),"Y","N")</f>
        <v>N</v>
      </c>
      <c r="AF56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21.359018223043236</v>
      </c>
    </row>
    <row r="566" spans="1:32" x14ac:dyDescent="0.35">
      <c r="A566">
        <v>565</v>
      </c>
      <c r="B566" s="1" t="s">
        <v>635</v>
      </c>
      <c r="C566" s="1" t="s">
        <v>41</v>
      </c>
      <c r="D566">
        <v>27</v>
      </c>
      <c r="E566" s="1" t="s">
        <v>49</v>
      </c>
      <c r="F566">
        <v>6</v>
      </c>
      <c r="G566">
        <v>0</v>
      </c>
      <c r="H566">
        <v>12.5</v>
      </c>
      <c r="I566">
        <v>1.2</v>
      </c>
      <c r="J566">
        <v>3.3</v>
      </c>
      <c r="K566">
        <v>0.35</v>
      </c>
      <c r="L566">
        <v>0.3</v>
      </c>
      <c r="M566">
        <v>1.3</v>
      </c>
      <c r="N566">
        <v>0.25</v>
      </c>
      <c r="O566">
        <v>0.8</v>
      </c>
      <c r="P566">
        <v>2</v>
      </c>
      <c r="Q566">
        <v>0.41699999999999998</v>
      </c>
      <c r="R566">
        <v>0.4</v>
      </c>
      <c r="S566">
        <v>0.2</v>
      </c>
      <c r="T566">
        <v>0.8</v>
      </c>
      <c r="U566">
        <v>0.2</v>
      </c>
      <c r="V566">
        <v>0</v>
      </c>
      <c r="W566">
        <v>1.3</v>
      </c>
      <c r="X566">
        <v>1.3</v>
      </c>
      <c r="Y566">
        <v>0.2</v>
      </c>
      <c r="Z566">
        <v>0.5</v>
      </c>
      <c r="AA566">
        <v>0.2</v>
      </c>
      <c r="AB566">
        <v>0.3</v>
      </c>
      <c r="AC566">
        <v>1.2</v>
      </c>
      <c r="AD566">
        <v>2.8</v>
      </c>
      <c r="AE566" t="str">
        <f>IF(OR(_nba2122[[#This Row],[G]]&gt;=58,nba2122_advanced[[#This Row],[MP]]&gt;=1000),"Y","N")</f>
        <v>N</v>
      </c>
      <c r="AF56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9.568928372667175</v>
      </c>
    </row>
    <row r="567" spans="1:32" x14ac:dyDescent="0.35">
      <c r="A567">
        <v>566</v>
      </c>
      <c r="B567" s="1" t="s">
        <v>636</v>
      </c>
      <c r="C567" s="1" t="s">
        <v>48</v>
      </c>
      <c r="D567">
        <v>26</v>
      </c>
      <c r="E567" s="1" t="s">
        <v>105</v>
      </c>
      <c r="F567">
        <v>3</v>
      </c>
      <c r="G567">
        <v>3</v>
      </c>
      <c r="H567">
        <v>36</v>
      </c>
      <c r="I567">
        <v>2</v>
      </c>
      <c r="J567">
        <v>8.6999999999999993</v>
      </c>
      <c r="K567">
        <v>0.23100000000000001</v>
      </c>
      <c r="L567">
        <v>1</v>
      </c>
      <c r="M567">
        <v>4.3</v>
      </c>
      <c r="N567">
        <v>0.23100000000000001</v>
      </c>
      <c r="O567">
        <v>1</v>
      </c>
      <c r="P567">
        <v>4.3</v>
      </c>
      <c r="Q567">
        <v>0.23100000000000001</v>
      </c>
      <c r="R567">
        <v>0.28799999999999998</v>
      </c>
      <c r="S567">
        <v>1.3</v>
      </c>
      <c r="T567">
        <v>1.3</v>
      </c>
      <c r="U567">
        <v>1</v>
      </c>
      <c r="V567">
        <v>0.7</v>
      </c>
      <c r="W567">
        <v>2.7</v>
      </c>
      <c r="X567">
        <v>3.3</v>
      </c>
      <c r="Y567">
        <v>7</v>
      </c>
      <c r="Z567">
        <v>2.2999999999999998</v>
      </c>
      <c r="AA567">
        <v>1.3</v>
      </c>
      <c r="AB567">
        <v>3.7</v>
      </c>
      <c r="AC567">
        <v>2.7</v>
      </c>
      <c r="AD567">
        <v>6.3</v>
      </c>
      <c r="AE567" t="str">
        <f>IF(OR(_nba2122[[#This Row],[G]]&gt;=58,nba2122_advanced[[#This Row],[MP]]&gt;=1000),"Y","N")</f>
        <v>N</v>
      </c>
      <c r="AF56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14.919894076364063</v>
      </c>
    </row>
    <row r="568" spans="1:32" x14ac:dyDescent="0.35">
      <c r="A568">
        <v>567</v>
      </c>
      <c r="B568" s="1" t="s">
        <v>637</v>
      </c>
      <c r="C568" s="1" t="s">
        <v>48</v>
      </c>
      <c r="D568">
        <v>32</v>
      </c>
      <c r="E568" s="1" t="s">
        <v>42</v>
      </c>
      <c r="F568">
        <v>23</v>
      </c>
      <c r="G568">
        <v>2</v>
      </c>
      <c r="H568">
        <v>13.9</v>
      </c>
      <c r="I568">
        <v>1.2</v>
      </c>
      <c r="J568">
        <v>3.3</v>
      </c>
      <c r="K568">
        <v>0.36399999999999999</v>
      </c>
      <c r="L568">
        <v>0.2</v>
      </c>
      <c r="M568">
        <v>0.7</v>
      </c>
      <c r="N568">
        <v>0.23499999999999999</v>
      </c>
      <c r="O568">
        <v>1</v>
      </c>
      <c r="P568">
        <v>2.6</v>
      </c>
      <c r="Q568">
        <v>0.4</v>
      </c>
      <c r="R568">
        <v>0.39</v>
      </c>
      <c r="S568">
        <v>1</v>
      </c>
      <c r="T568">
        <v>1.1000000000000001</v>
      </c>
      <c r="U568">
        <v>0.92</v>
      </c>
      <c r="V568">
        <v>0.3</v>
      </c>
      <c r="W568">
        <v>1.4</v>
      </c>
      <c r="X568">
        <v>1.7</v>
      </c>
      <c r="Y568">
        <v>2.4</v>
      </c>
      <c r="Z568">
        <v>0.3</v>
      </c>
      <c r="AA568">
        <v>0.3</v>
      </c>
      <c r="AB568">
        <v>1</v>
      </c>
      <c r="AC568">
        <v>2</v>
      </c>
      <c r="AD568">
        <v>3.6</v>
      </c>
      <c r="AE568" t="str">
        <f>IF(OR(_nba2122[[#This Row],[G]]&gt;=58,nba2122_advanced[[#This Row],[MP]]&gt;=1000),"Y","N")</f>
        <v>N</v>
      </c>
      <c r="AF56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7.2721032127520724</v>
      </c>
    </row>
    <row r="569" spans="1:32" x14ac:dyDescent="0.35">
      <c r="A569">
        <v>568</v>
      </c>
      <c r="B569" s="1" t="s">
        <v>638</v>
      </c>
      <c r="C569" s="1" t="s">
        <v>48</v>
      </c>
      <c r="D569">
        <v>21</v>
      </c>
      <c r="E569" s="1" t="s">
        <v>108</v>
      </c>
      <c r="F569">
        <v>48</v>
      </c>
      <c r="G569">
        <v>7</v>
      </c>
      <c r="H569">
        <v>20.2</v>
      </c>
      <c r="I569">
        <v>3.6</v>
      </c>
      <c r="J569">
        <v>8.9</v>
      </c>
      <c r="K569">
        <v>0.40500000000000003</v>
      </c>
      <c r="L569">
        <v>1.7</v>
      </c>
      <c r="M569">
        <v>4.5</v>
      </c>
      <c r="N569">
        <v>0.377</v>
      </c>
      <c r="O569">
        <v>1.9</v>
      </c>
      <c r="P569">
        <v>4.4000000000000004</v>
      </c>
      <c r="Q569">
        <v>0.434</v>
      </c>
      <c r="R569">
        <v>0.5</v>
      </c>
      <c r="S569">
        <v>1</v>
      </c>
      <c r="T569">
        <v>1.3</v>
      </c>
      <c r="U569">
        <v>0.754</v>
      </c>
      <c r="V569">
        <v>0.1</v>
      </c>
      <c r="W569">
        <v>1.6</v>
      </c>
      <c r="X569">
        <v>1.7</v>
      </c>
      <c r="Y569">
        <v>1.8</v>
      </c>
      <c r="Z569">
        <v>0.5</v>
      </c>
      <c r="AA569">
        <v>0.1</v>
      </c>
      <c r="AB569">
        <v>1.2</v>
      </c>
      <c r="AC569">
        <v>1.4</v>
      </c>
      <c r="AD569">
        <v>9.9</v>
      </c>
      <c r="AE569" t="str">
        <f>IF(OR(_nba2122[[#This Row],[G]]&gt;=58,nba2122_advanced[[#This Row],[MP]]&gt;=1000),"Y","N")</f>
        <v>N</v>
      </c>
      <c r="AF56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6.1254278906806139</v>
      </c>
    </row>
    <row r="570" spans="1:32" x14ac:dyDescent="0.35">
      <c r="A570">
        <v>569</v>
      </c>
      <c r="B570" s="1" t="s">
        <v>639</v>
      </c>
      <c r="C570" s="1" t="s">
        <v>28</v>
      </c>
      <c r="D570">
        <v>23</v>
      </c>
      <c r="E570" s="1" t="s">
        <v>73</v>
      </c>
      <c r="F570">
        <v>65</v>
      </c>
      <c r="G570">
        <v>28</v>
      </c>
      <c r="H570">
        <v>27.2</v>
      </c>
      <c r="I570">
        <v>3.8</v>
      </c>
      <c r="J570">
        <v>8.1999999999999993</v>
      </c>
      <c r="K570">
        <v>0.47</v>
      </c>
      <c r="L570">
        <v>1.7</v>
      </c>
      <c r="M570">
        <v>4.5999999999999996</v>
      </c>
      <c r="N570">
        <v>0.36499999999999999</v>
      </c>
      <c r="O570">
        <v>2.2000000000000002</v>
      </c>
      <c r="P570">
        <v>3.6</v>
      </c>
      <c r="Q570">
        <v>0.60599999999999998</v>
      </c>
      <c r="R570">
        <v>0.57299999999999995</v>
      </c>
      <c r="S570">
        <v>0.9</v>
      </c>
      <c r="T570">
        <v>1.2</v>
      </c>
      <c r="U570">
        <v>0.71599999999999997</v>
      </c>
      <c r="V570">
        <v>1.3</v>
      </c>
      <c r="W570">
        <v>3.9</v>
      </c>
      <c r="X570">
        <v>5.2</v>
      </c>
      <c r="Y570">
        <v>2.2999999999999998</v>
      </c>
      <c r="Z570">
        <v>0.9</v>
      </c>
      <c r="AA570">
        <v>0.9</v>
      </c>
      <c r="AB570">
        <v>1.3</v>
      </c>
      <c r="AC570">
        <v>2.2999999999999998</v>
      </c>
      <c r="AD570">
        <v>10.3</v>
      </c>
      <c r="AE570" t="str">
        <f>IF(OR(_nba2122[[#This Row],[G]]&gt;=58,nba2122_advanced[[#This Row],[MP]]&gt;=1000),"Y","N")</f>
        <v>Y</v>
      </c>
      <c r="AF57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4.0626689423381439</v>
      </c>
    </row>
    <row r="571" spans="1:32" x14ac:dyDescent="0.35">
      <c r="A571">
        <v>570</v>
      </c>
      <c r="B571" s="1" t="s">
        <v>640</v>
      </c>
      <c r="C571" s="1" t="s">
        <v>51</v>
      </c>
      <c r="D571">
        <v>27</v>
      </c>
      <c r="E571" s="1" t="s">
        <v>32</v>
      </c>
      <c r="F571">
        <v>38</v>
      </c>
      <c r="G571">
        <v>4</v>
      </c>
      <c r="H571">
        <v>11.7</v>
      </c>
      <c r="I571">
        <v>1.5</v>
      </c>
      <c r="J571">
        <v>3.6</v>
      </c>
      <c r="K571">
        <v>0.40600000000000003</v>
      </c>
      <c r="L571">
        <v>0.7</v>
      </c>
      <c r="M571">
        <v>2.1</v>
      </c>
      <c r="N571">
        <v>0.34200000000000003</v>
      </c>
      <c r="O571">
        <v>0.8</v>
      </c>
      <c r="P571">
        <v>1.6</v>
      </c>
      <c r="Q571">
        <v>0.49199999999999999</v>
      </c>
      <c r="R571">
        <v>0.504</v>
      </c>
      <c r="S571">
        <v>0.6</v>
      </c>
      <c r="T571">
        <v>1.1000000000000001</v>
      </c>
      <c r="U571">
        <v>0.6</v>
      </c>
      <c r="V571">
        <v>0.5</v>
      </c>
      <c r="W571">
        <v>1.9</v>
      </c>
      <c r="X571">
        <v>2.4</v>
      </c>
      <c r="Y571">
        <v>0.6</v>
      </c>
      <c r="Z571">
        <v>0.3</v>
      </c>
      <c r="AA571">
        <v>0.4</v>
      </c>
      <c r="AB571">
        <v>0.5</v>
      </c>
      <c r="AC571">
        <v>1</v>
      </c>
      <c r="AD571">
        <v>4.3</v>
      </c>
      <c r="AE571" t="str">
        <f>IF(OR(_nba2122[[#This Row],[G]]&gt;=58,nba2122_advanced[[#This Row],[MP]]&gt;=1000),"Y","N")</f>
        <v>N</v>
      </c>
      <c r="AF57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7.4229886962441096</v>
      </c>
    </row>
    <row r="572" spans="1:32" x14ac:dyDescent="0.35">
      <c r="A572">
        <v>571</v>
      </c>
      <c r="B572" s="1" t="s">
        <v>641</v>
      </c>
      <c r="C572" s="1" t="s">
        <v>41</v>
      </c>
      <c r="D572">
        <v>24</v>
      </c>
      <c r="E572" s="1" t="s">
        <v>96</v>
      </c>
      <c r="F572">
        <v>25</v>
      </c>
      <c r="G572">
        <v>1</v>
      </c>
      <c r="H572">
        <v>18.600000000000001</v>
      </c>
      <c r="I572">
        <v>2.8</v>
      </c>
      <c r="J572">
        <v>7</v>
      </c>
      <c r="K572">
        <v>0.40600000000000003</v>
      </c>
      <c r="L572">
        <v>2.1</v>
      </c>
      <c r="M572">
        <v>5.8</v>
      </c>
      <c r="N572">
        <v>0.36299999999999999</v>
      </c>
      <c r="O572">
        <v>0.7</v>
      </c>
      <c r="P572">
        <v>1.2</v>
      </c>
      <c r="Q572">
        <v>0.621</v>
      </c>
      <c r="R572">
        <v>0.55700000000000005</v>
      </c>
      <c r="S572">
        <v>0.2</v>
      </c>
      <c r="T572">
        <v>0.2</v>
      </c>
      <c r="U572">
        <v>0.8</v>
      </c>
      <c r="V572">
        <v>0.2</v>
      </c>
      <c r="W572">
        <v>2.7</v>
      </c>
      <c r="X572">
        <v>2.9</v>
      </c>
      <c r="Y572">
        <v>1</v>
      </c>
      <c r="Z572">
        <v>0.8</v>
      </c>
      <c r="AA572">
        <v>0.3</v>
      </c>
      <c r="AB572">
        <v>0.4</v>
      </c>
      <c r="AC572">
        <v>1.2</v>
      </c>
      <c r="AD572">
        <v>8</v>
      </c>
      <c r="AE572" t="str">
        <f>IF(OR(_nba2122[[#This Row],[G]]&gt;=58,nba2122_advanced[[#This Row],[MP]]&gt;=1000),"Y","N")</f>
        <v>N</v>
      </c>
      <c r="AF57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6.9811882700767685</v>
      </c>
    </row>
    <row r="573" spans="1:32" x14ac:dyDescent="0.35">
      <c r="A573">
        <v>572</v>
      </c>
      <c r="B573" s="1" t="s">
        <v>642</v>
      </c>
      <c r="C573" s="1" t="s">
        <v>48</v>
      </c>
      <c r="D573">
        <v>24</v>
      </c>
      <c r="E573" s="1" t="s">
        <v>42</v>
      </c>
      <c r="F573">
        <v>3</v>
      </c>
      <c r="G573">
        <v>0</v>
      </c>
      <c r="H573">
        <v>16.7</v>
      </c>
      <c r="I573">
        <v>1.3</v>
      </c>
      <c r="J573">
        <v>4.7</v>
      </c>
      <c r="K573">
        <v>0.28599999999999998</v>
      </c>
      <c r="L573">
        <v>0.7</v>
      </c>
      <c r="M573">
        <v>3</v>
      </c>
      <c r="N573">
        <v>0.222</v>
      </c>
      <c r="O573">
        <v>0.7</v>
      </c>
      <c r="P573">
        <v>1.7</v>
      </c>
      <c r="Q573">
        <v>0.4</v>
      </c>
      <c r="R573">
        <v>0.35699999999999998</v>
      </c>
      <c r="S573">
        <v>0</v>
      </c>
      <c r="T573">
        <v>0</v>
      </c>
      <c r="V573">
        <v>0</v>
      </c>
      <c r="W573">
        <v>1.3</v>
      </c>
      <c r="X573">
        <v>1.3</v>
      </c>
      <c r="Y573">
        <v>2.2999999999999998</v>
      </c>
      <c r="Z573">
        <v>1.7</v>
      </c>
      <c r="AA573">
        <v>0</v>
      </c>
      <c r="AB573">
        <v>1.3</v>
      </c>
      <c r="AC573">
        <v>1.3</v>
      </c>
      <c r="AD573">
        <v>3.3</v>
      </c>
      <c r="AE573" t="str">
        <f>IF(OR(_nba2122[[#This Row],[G]]&gt;=58,nba2122_advanced[[#This Row],[MP]]&gt;=1000),"Y","N")</f>
        <v>N</v>
      </c>
      <c r="AF57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13.629889468464313</v>
      </c>
    </row>
    <row r="574" spans="1:32" x14ac:dyDescent="0.35">
      <c r="A574">
        <v>573</v>
      </c>
      <c r="B574" s="1" t="s">
        <v>643</v>
      </c>
      <c r="C574" s="1" t="s">
        <v>51</v>
      </c>
      <c r="D574">
        <v>21</v>
      </c>
      <c r="E574" s="1" t="s">
        <v>114</v>
      </c>
      <c r="F574">
        <v>48</v>
      </c>
      <c r="G574">
        <v>10</v>
      </c>
      <c r="H574">
        <v>18.100000000000001</v>
      </c>
      <c r="I574">
        <v>3</v>
      </c>
      <c r="J574">
        <v>5.6</v>
      </c>
      <c r="K574">
        <v>0.53200000000000003</v>
      </c>
      <c r="L574">
        <v>0.2</v>
      </c>
      <c r="M574">
        <v>0.8</v>
      </c>
      <c r="N574">
        <v>0.23699999999999999</v>
      </c>
      <c r="O574">
        <v>2.8</v>
      </c>
      <c r="P574">
        <v>4.8</v>
      </c>
      <c r="Q574">
        <v>0.58099999999999996</v>
      </c>
      <c r="R574">
        <v>0.54900000000000004</v>
      </c>
      <c r="S574">
        <v>1.5</v>
      </c>
      <c r="T574">
        <v>2</v>
      </c>
      <c r="U574">
        <v>0.755</v>
      </c>
      <c r="V574">
        <v>1.2</v>
      </c>
      <c r="W574">
        <v>3</v>
      </c>
      <c r="X574">
        <v>4.0999999999999996</v>
      </c>
      <c r="Y574">
        <v>1.7</v>
      </c>
      <c r="Z574">
        <v>0.5</v>
      </c>
      <c r="AA574">
        <v>0.6</v>
      </c>
      <c r="AB574">
        <v>0.9</v>
      </c>
      <c r="AC574">
        <v>2.4</v>
      </c>
      <c r="AD574">
        <v>7.6</v>
      </c>
      <c r="AE574" t="str">
        <f>IF(OR(_nba2122[[#This Row],[G]]&gt;=58,nba2122_advanced[[#This Row],[MP]]&gt;=1000),"Y","N")</f>
        <v>N</v>
      </c>
      <c r="AF57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5.1592927200108791</v>
      </c>
    </row>
    <row r="575" spans="1:32" x14ac:dyDescent="0.35">
      <c r="A575">
        <v>574</v>
      </c>
      <c r="B575" s="1" t="s">
        <v>644</v>
      </c>
      <c r="C575" s="1" t="s">
        <v>51</v>
      </c>
      <c r="D575">
        <v>27</v>
      </c>
      <c r="E575" s="1" t="s">
        <v>96</v>
      </c>
      <c r="F575">
        <v>9</v>
      </c>
      <c r="G575">
        <v>3</v>
      </c>
      <c r="H575">
        <v>17.3</v>
      </c>
      <c r="I575">
        <v>1.3</v>
      </c>
      <c r="J575">
        <v>3.9</v>
      </c>
      <c r="K575">
        <v>0.34300000000000003</v>
      </c>
      <c r="L575">
        <v>0.7</v>
      </c>
      <c r="M575">
        <v>2.9</v>
      </c>
      <c r="N575">
        <v>0.23100000000000001</v>
      </c>
      <c r="O575">
        <v>0.7</v>
      </c>
      <c r="P575">
        <v>1</v>
      </c>
      <c r="Q575">
        <v>0.66700000000000004</v>
      </c>
      <c r="R575">
        <v>0.42899999999999999</v>
      </c>
      <c r="S575">
        <v>0.1</v>
      </c>
      <c r="T575">
        <v>0.2</v>
      </c>
      <c r="U575">
        <v>0.5</v>
      </c>
      <c r="V575">
        <v>0.3</v>
      </c>
      <c r="W575">
        <v>2.7</v>
      </c>
      <c r="X575">
        <v>3</v>
      </c>
      <c r="Y575">
        <v>0.9</v>
      </c>
      <c r="Z575">
        <v>0.3</v>
      </c>
      <c r="AA575">
        <v>0.3</v>
      </c>
      <c r="AB575">
        <v>0.4</v>
      </c>
      <c r="AC575">
        <v>1.1000000000000001</v>
      </c>
      <c r="AD575">
        <v>3.4</v>
      </c>
      <c r="AE575" t="str">
        <f>IF(OR(_nba2122[[#This Row],[G]]&gt;=58,nba2122_advanced[[#This Row],[MP]]&gt;=1000),"Y","N")</f>
        <v>N</v>
      </c>
      <c r="AF57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9.1724864658518488</v>
      </c>
    </row>
    <row r="576" spans="1:32" x14ac:dyDescent="0.35">
      <c r="A576">
        <v>575</v>
      </c>
      <c r="B576" s="1" t="s">
        <v>645</v>
      </c>
      <c r="C576" s="1" t="s">
        <v>41</v>
      </c>
      <c r="D576">
        <v>25</v>
      </c>
      <c r="E576" s="1" t="s">
        <v>111</v>
      </c>
      <c r="F576">
        <v>11</v>
      </c>
      <c r="G576">
        <v>0</v>
      </c>
      <c r="H576">
        <v>6.6</v>
      </c>
      <c r="I576">
        <v>1.1000000000000001</v>
      </c>
      <c r="J576">
        <v>1.9</v>
      </c>
      <c r="K576">
        <v>0.57099999999999995</v>
      </c>
      <c r="L576">
        <v>0.1</v>
      </c>
      <c r="M576">
        <v>0.5</v>
      </c>
      <c r="N576">
        <v>0.2</v>
      </c>
      <c r="O576">
        <v>1</v>
      </c>
      <c r="P576">
        <v>1.5</v>
      </c>
      <c r="Q576">
        <v>0.68799999999999994</v>
      </c>
      <c r="R576">
        <v>0.59499999999999997</v>
      </c>
      <c r="S576">
        <v>0.5</v>
      </c>
      <c r="T576">
        <v>0.5</v>
      </c>
      <c r="U576">
        <v>1</v>
      </c>
      <c r="V576">
        <v>0.2</v>
      </c>
      <c r="W576">
        <v>1.1000000000000001</v>
      </c>
      <c r="X576">
        <v>1.3</v>
      </c>
      <c r="Y576">
        <v>0.5</v>
      </c>
      <c r="Z576">
        <v>0.1</v>
      </c>
      <c r="AA576">
        <v>0.1</v>
      </c>
      <c r="AB576">
        <v>0.3</v>
      </c>
      <c r="AC576">
        <v>1.4</v>
      </c>
      <c r="AD576">
        <v>2.7</v>
      </c>
      <c r="AE576" t="str">
        <f>IF(OR(_nba2122[[#This Row],[G]]&gt;=58,nba2122_advanced[[#This Row],[MP]]&gt;=1000),"Y","N")</f>
        <v>N</v>
      </c>
      <c r="AF57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8.3188136855233967</v>
      </c>
    </row>
    <row r="577" spans="1:32" x14ac:dyDescent="0.35">
      <c r="A577">
        <v>576</v>
      </c>
      <c r="B577" s="1" t="s">
        <v>646</v>
      </c>
      <c r="C577" s="1" t="s">
        <v>48</v>
      </c>
      <c r="D577">
        <v>33</v>
      </c>
      <c r="E577" s="1" t="s">
        <v>56</v>
      </c>
      <c r="F577">
        <v>78</v>
      </c>
      <c r="G577">
        <v>78</v>
      </c>
      <c r="H577">
        <v>34.299999999999997</v>
      </c>
      <c r="I577">
        <v>7</v>
      </c>
      <c r="J577">
        <v>15.8</v>
      </c>
      <c r="K577">
        <v>0.44400000000000001</v>
      </c>
      <c r="L577">
        <v>1</v>
      </c>
      <c r="M577">
        <v>3.4</v>
      </c>
      <c r="N577">
        <v>0.29799999999999999</v>
      </c>
      <c r="O577">
        <v>6</v>
      </c>
      <c r="P577">
        <v>12.4</v>
      </c>
      <c r="Q577">
        <v>0.48499999999999999</v>
      </c>
      <c r="R577">
        <v>0.47599999999999998</v>
      </c>
      <c r="S577">
        <v>3.4</v>
      </c>
      <c r="T577">
        <v>5.0999999999999996</v>
      </c>
      <c r="U577">
        <v>0.66700000000000004</v>
      </c>
      <c r="V577">
        <v>1.4</v>
      </c>
      <c r="W577">
        <v>6</v>
      </c>
      <c r="X577">
        <v>7.4</v>
      </c>
      <c r="Y577">
        <v>7.1</v>
      </c>
      <c r="Z577">
        <v>1</v>
      </c>
      <c r="AA577">
        <v>0.3</v>
      </c>
      <c r="AB577">
        <v>3.8</v>
      </c>
      <c r="AC577">
        <v>3</v>
      </c>
      <c r="AD577">
        <v>18.5</v>
      </c>
      <c r="AE577" t="str">
        <f>IF(OR(_nba2122[[#This Row],[G]]&gt;=58,nba2122_advanced[[#This Row],[MP]]&gt;=1000),"Y","N")</f>
        <v>Y</v>
      </c>
      <c r="AF57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9.2046916045698772</v>
      </c>
    </row>
    <row r="578" spans="1:32" x14ac:dyDescent="0.35">
      <c r="A578">
        <v>577</v>
      </c>
      <c r="B578" s="1" t="s">
        <v>647</v>
      </c>
      <c r="C578" s="1" t="s">
        <v>48</v>
      </c>
      <c r="D578">
        <v>21</v>
      </c>
      <c r="E578" s="1" t="s">
        <v>75</v>
      </c>
      <c r="F578">
        <v>61</v>
      </c>
      <c r="G578">
        <v>17</v>
      </c>
      <c r="H578">
        <v>27.5</v>
      </c>
      <c r="I578">
        <v>4.5999999999999996</v>
      </c>
      <c r="J578">
        <v>10.6</v>
      </c>
      <c r="K578">
        <v>0.433</v>
      </c>
      <c r="L578">
        <v>2.2000000000000002</v>
      </c>
      <c r="M578">
        <v>5.8</v>
      </c>
      <c r="N578">
        <v>0.38500000000000001</v>
      </c>
      <c r="O578">
        <v>2.2999999999999998</v>
      </c>
      <c r="P578">
        <v>4.8</v>
      </c>
      <c r="Q578">
        <v>0.49099999999999999</v>
      </c>
      <c r="R578">
        <v>0.53900000000000003</v>
      </c>
      <c r="S578">
        <v>1.3</v>
      </c>
      <c r="T578">
        <v>1.5</v>
      </c>
      <c r="U578">
        <v>0.85699999999999998</v>
      </c>
      <c r="V578">
        <v>0.3</v>
      </c>
      <c r="W578">
        <v>2.7</v>
      </c>
      <c r="X578">
        <v>3</v>
      </c>
      <c r="Y578">
        <v>2.9</v>
      </c>
      <c r="Z578">
        <v>0.5</v>
      </c>
      <c r="AA578">
        <v>0.2</v>
      </c>
      <c r="AB578">
        <v>1.1000000000000001</v>
      </c>
      <c r="AC578">
        <v>2.2000000000000002</v>
      </c>
      <c r="AD578">
        <v>12.7</v>
      </c>
      <c r="AE578" t="str">
        <f>IF(OR(_nba2122[[#This Row],[G]]&gt;=58,nba2122_advanced[[#This Row],[MP]]&gt;=1000),"Y","N")</f>
        <v>Y</v>
      </c>
      <c r="AF57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4.7373060862445922</v>
      </c>
    </row>
    <row r="579" spans="1:32" x14ac:dyDescent="0.35">
      <c r="A579">
        <v>578</v>
      </c>
      <c r="B579" s="1" t="s">
        <v>648</v>
      </c>
      <c r="C579" s="1" t="s">
        <v>41</v>
      </c>
      <c r="D579">
        <v>27</v>
      </c>
      <c r="E579" s="1" t="s">
        <v>42</v>
      </c>
      <c r="F579">
        <v>75</v>
      </c>
      <c r="G579">
        <v>52</v>
      </c>
      <c r="H579">
        <v>29.3</v>
      </c>
      <c r="I579">
        <v>4.5</v>
      </c>
      <c r="J579">
        <v>10.7</v>
      </c>
      <c r="K579">
        <v>0.42099999999999999</v>
      </c>
      <c r="L579">
        <v>1.5</v>
      </c>
      <c r="M579">
        <v>4.9000000000000004</v>
      </c>
      <c r="N579">
        <v>0.312</v>
      </c>
      <c r="O579">
        <v>3</v>
      </c>
      <c r="P579">
        <v>5.7</v>
      </c>
      <c r="Q579">
        <v>0.51500000000000001</v>
      </c>
      <c r="R579">
        <v>0.49299999999999999</v>
      </c>
      <c r="S579">
        <v>2.7</v>
      </c>
      <c r="T579">
        <v>3.1</v>
      </c>
      <c r="U579">
        <v>0.86399999999999999</v>
      </c>
      <c r="V579">
        <v>0.5</v>
      </c>
      <c r="W579">
        <v>3</v>
      </c>
      <c r="X579">
        <v>3.5</v>
      </c>
      <c r="Y579">
        <v>4.9000000000000004</v>
      </c>
      <c r="Z579">
        <v>0.9</v>
      </c>
      <c r="AA579">
        <v>0.8</v>
      </c>
      <c r="AB579">
        <v>1.6</v>
      </c>
      <c r="AC579">
        <v>2.2999999999999998</v>
      </c>
      <c r="AD579">
        <v>13.2</v>
      </c>
      <c r="AE579" t="str">
        <f>IF(OR(_nba2122[[#This Row],[G]]&gt;=58,nba2122_advanced[[#This Row],[MP]]&gt;=1000),"Y","N")</f>
        <v>Y</v>
      </c>
      <c r="AF57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3.8597836363522253</v>
      </c>
    </row>
    <row r="580" spans="1:32" x14ac:dyDescent="0.35">
      <c r="A580">
        <v>579</v>
      </c>
      <c r="B580" s="1" t="s">
        <v>649</v>
      </c>
      <c r="C580" s="1" t="s">
        <v>31</v>
      </c>
      <c r="D580">
        <v>32</v>
      </c>
      <c r="E580" s="1" t="s">
        <v>70</v>
      </c>
      <c r="F580">
        <v>65</v>
      </c>
      <c r="G580">
        <v>8</v>
      </c>
      <c r="H580">
        <v>17.899999999999999</v>
      </c>
      <c r="I580">
        <v>3.3</v>
      </c>
      <c r="J580">
        <v>5.0999999999999996</v>
      </c>
      <c r="K580">
        <v>0.65200000000000002</v>
      </c>
      <c r="L580">
        <v>0</v>
      </c>
      <c r="M580">
        <v>0</v>
      </c>
      <c r="O580">
        <v>3.3</v>
      </c>
      <c r="P580">
        <v>5.0999999999999996</v>
      </c>
      <c r="Q580">
        <v>0.65200000000000002</v>
      </c>
      <c r="R580">
        <v>0.65200000000000002</v>
      </c>
      <c r="S580">
        <v>1.6</v>
      </c>
      <c r="T580">
        <v>2.6</v>
      </c>
      <c r="U580">
        <v>0.623</v>
      </c>
      <c r="V580">
        <v>2.6</v>
      </c>
      <c r="W580">
        <v>5</v>
      </c>
      <c r="X580">
        <v>7.6</v>
      </c>
      <c r="Y580">
        <v>0.4</v>
      </c>
      <c r="Z580">
        <v>0.3</v>
      </c>
      <c r="AA580">
        <v>1.6</v>
      </c>
      <c r="AB580">
        <v>0.8</v>
      </c>
      <c r="AC580">
        <v>2.8</v>
      </c>
      <c r="AD580">
        <v>8.1999999999999993</v>
      </c>
      <c r="AE580" t="str">
        <f>IF(OR(_nba2122[[#This Row],[G]]&gt;=58,nba2122_advanced[[#This Row],[MP]]&gt;=1000),"Y","N")</f>
        <v>Y</v>
      </c>
      <c r="AF58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15.788830594542286</v>
      </c>
    </row>
    <row r="581" spans="1:32" x14ac:dyDescent="0.35">
      <c r="A581">
        <v>580</v>
      </c>
      <c r="B581" s="1" t="s">
        <v>650</v>
      </c>
      <c r="C581" s="1" t="s">
        <v>41</v>
      </c>
      <c r="D581">
        <v>22</v>
      </c>
      <c r="E581" s="1" t="s">
        <v>91</v>
      </c>
      <c r="F581">
        <v>29</v>
      </c>
      <c r="G581">
        <v>0</v>
      </c>
      <c r="H581">
        <v>7.1</v>
      </c>
      <c r="I581">
        <v>0.7</v>
      </c>
      <c r="J581">
        <v>1.9</v>
      </c>
      <c r="K581">
        <v>0.35699999999999998</v>
      </c>
      <c r="L581">
        <v>0.5</v>
      </c>
      <c r="M581">
        <v>1.5</v>
      </c>
      <c r="N581">
        <v>0.32600000000000001</v>
      </c>
      <c r="O581">
        <v>0.2</v>
      </c>
      <c r="P581">
        <v>0.4</v>
      </c>
      <c r="Q581">
        <v>0.46200000000000002</v>
      </c>
      <c r="R581">
        <v>0.48199999999999998</v>
      </c>
      <c r="S581">
        <v>0.2</v>
      </c>
      <c r="T581">
        <v>0.4</v>
      </c>
      <c r="U581">
        <v>0.53800000000000003</v>
      </c>
      <c r="V581">
        <v>0.1</v>
      </c>
      <c r="W581">
        <v>0.3</v>
      </c>
      <c r="X581">
        <v>0.5</v>
      </c>
      <c r="Y581">
        <v>0.3</v>
      </c>
      <c r="Z581">
        <v>0.1</v>
      </c>
      <c r="AA581">
        <v>0.1</v>
      </c>
      <c r="AB581">
        <v>0.1</v>
      </c>
      <c r="AC581">
        <v>0.5</v>
      </c>
      <c r="AD581">
        <v>2.1</v>
      </c>
      <c r="AE581" t="str">
        <f>IF(OR(_nba2122[[#This Row],[G]]&gt;=58,nba2122_advanced[[#This Row],[MP]]&gt;=1000),"Y","N")</f>
        <v>N</v>
      </c>
      <c r="AF58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11.387239368040689</v>
      </c>
    </row>
    <row r="582" spans="1:32" x14ac:dyDescent="0.35">
      <c r="A582">
        <v>581</v>
      </c>
      <c r="B582" s="1" t="s">
        <v>651</v>
      </c>
      <c r="C582" s="1" t="s">
        <v>41</v>
      </c>
      <c r="D582">
        <v>23</v>
      </c>
      <c r="E582" s="1" t="s">
        <v>96</v>
      </c>
      <c r="F582">
        <v>50</v>
      </c>
      <c r="G582">
        <v>35</v>
      </c>
      <c r="H582">
        <v>24.2</v>
      </c>
      <c r="I582">
        <v>3.1</v>
      </c>
      <c r="J582">
        <v>6.7</v>
      </c>
      <c r="K582">
        <v>0.46300000000000002</v>
      </c>
      <c r="L582">
        <v>0.8</v>
      </c>
      <c r="M582">
        <v>2.8</v>
      </c>
      <c r="N582">
        <v>0.30399999999999999</v>
      </c>
      <c r="O582">
        <v>2.2999999999999998</v>
      </c>
      <c r="P582">
        <v>4</v>
      </c>
      <c r="Q582">
        <v>0.57299999999999995</v>
      </c>
      <c r="R582">
        <v>0.52500000000000002</v>
      </c>
      <c r="S582">
        <v>1.2</v>
      </c>
      <c r="T582">
        <v>1.7</v>
      </c>
      <c r="U582">
        <v>0.72899999999999998</v>
      </c>
      <c r="V582">
        <v>1</v>
      </c>
      <c r="W582">
        <v>2.5</v>
      </c>
      <c r="X582">
        <v>3.6</v>
      </c>
      <c r="Y582">
        <v>1.4</v>
      </c>
      <c r="Z582">
        <v>0.6</v>
      </c>
      <c r="AA582">
        <v>0.2</v>
      </c>
      <c r="AB582">
        <v>1.1000000000000001</v>
      </c>
      <c r="AC582">
        <v>1.9</v>
      </c>
      <c r="AD582">
        <v>8.3000000000000007</v>
      </c>
      <c r="AE582" t="str">
        <f>IF(OR(_nba2122[[#This Row],[G]]&gt;=58,nba2122_advanced[[#This Row],[MP]]&gt;=1000),"Y","N")</f>
        <v>Y</v>
      </c>
      <c r="AF58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4.715722981258101</v>
      </c>
    </row>
    <row r="583" spans="1:32" x14ac:dyDescent="0.35">
      <c r="A583">
        <v>582</v>
      </c>
      <c r="B583" s="1" t="s">
        <v>652</v>
      </c>
      <c r="C583" s="1" t="s">
        <v>51</v>
      </c>
      <c r="D583">
        <v>26</v>
      </c>
      <c r="E583" s="1" t="s">
        <v>111</v>
      </c>
      <c r="F583">
        <v>73</v>
      </c>
      <c r="G583">
        <v>73</v>
      </c>
      <c r="H583">
        <v>31.9</v>
      </c>
      <c r="I583">
        <v>6.5</v>
      </c>
      <c r="J583">
        <v>14</v>
      </c>
      <c r="K583">
        <v>0.46600000000000003</v>
      </c>
      <c r="L583">
        <v>2.2000000000000002</v>
      </c>
      <c r="M583">
        <v>5.5</v>
      </c>
      <c r="N583">
        <v>0.39300000000000002</v>
      </c>
      <c r="O583">
        <v>4.4000000000000004</v>
      </c>
      <c r="P583">
        <v>8.5</v>
      </c>
      <c r="Q583">
        <v>0.51300000000000001</v>
      </c>
      <c r="R583">
        <v>0.54300000000000004</v>
      </c>
      <c r="S583">
        <v>2</v>
      </c>
      <c r="T583">
        <v>3.2</v>
      </c>
      <c r="U583">
        <v>0.63400000000000001</v>
      </c>
      <c r="V583">
        <v>1.2</v>
      </c>
      <c r="W583">
        <v>3.3</v>
      </c>
      <c r="X583">
        <v>4.5</v>
      </c>
      <c r="Y583">
        <v>2.2000000000000002</v>
      </c>
      <c r="Z583">
        <v>1</v>
      </c>
      <c r="AA583">
        <v>0.7</v>
      </c>
      <c r="AB583">
        <v>1.5</v>
      </c>
      <c r="AC583">
        <v>2.2000000000000002</v>
      </c>
      <c r="AD583">
        <v>17.2</v>
      </c>
      <c r="AE583" t="str">
        <f>IF(OR(_nba2122[[#This Row],[G]]&gt;=58,nba2122_advanced[[#This Row],[MP]]&gt;=1000),"Y","N")</f>
        <v>Y</v>
      </c>
      <c r="AF58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2.856139925130758</v>
      </c>
    </row>
    <row r="584" spans="1:32" x14ac:dyDescent="0.35">
      <c r="A584">
        <v>583</v>
      </c>
      <c r="B584" s="1" t="s">
        <v>653</v>
      </c>
      <c r="C584" s="1" t="s">
        <v>48</v>
      </c>
      <c r="D584">
        <v>23</v>
      </c>
      <c r="E584" s="1" t="s">
        <v>44</v>
      </c>
      <c r="F584">
        <v>19</v>
      </c>
      <c r="G584">
        <v>0</v>
      </c>
      <c r="H584">
        <v>10.5</v>
      </c>
      <c r="I584">
        <v>1.4</v>
      </c>
      <c r="J584">
        <v>3.2</v>
      </c>
      <c r="K584">
        <v>0.42599999999999999</v>
      </c>
      <c r="L584">
        <v>0.5</v>
      </c>
      <c r="M584">
        <v>1.4</v>
      </c>
      <c r="N584">
        <v>0.34599999999999997</v>
      </c>
      <c r="O584">
        <v>0.9</v>
      </c>
      <c r="P584">
        <v>1.8</v>
      </c>
      <c r="Q584">
        <v>0.48599999999999999</v>
      </c>
      <c r="R584">
        <v>0.5</v>
      </c>
      <c r="S584">
        <v>1</v>
      </c>
      <c r="T584">
        <v>1.8</v>
      </c>
      <c r="U584">
        <v>0.54300000000000004</v>
      </c>
      <c r="V584">
        <v>0.2</v>
      </c>
      <c r="W584">
        <v>1.2</v>
      </c>
      <c r="X584">
        <v>1.3</v>
      </c>
      <c r="Y584">
        <v>1.2</v>
      </c>
      <c r="Z584">
        <v>0.3</v>
      </c>
      <c r="AA584">
        <v>0.1</v>
      </c>
      <c r="AB584">
        <v>0.6</v>
      </c>
      <c r="AC584">
        <v>0.9</v>
      </c>
      <c r="AD584">
        <v>4.2</v>
      </c>
      <c r="AE584" t="str">
        <f>IF(OR(_nba2122[[#This Row],[G]]&gt;=58,nba2122_advanced[[#This Row],[MP]]&gt;=1000),"Y","N")</f>
        <v>N</v>
      </c>
      <c r="AF58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8.2931220379942037</v>
      </c>
    </row>
    <row r="585" spans="1:32" x14ac:dyDescent="0.35">
      <c r="A585">
        <v>584</v>
      </c>
      <c r="B585" s="1" t="s">
        <v>654</v>
      </c>
      <c r="C585" s="1" t="s">
        <v>48</v>
      </c>
      <c r="D585">
        <v>22</v>
      </c>
      <c r="E585" s="1" t="s">
        <v>114</v>
      </c>
      <c r="F585">
        <v>24</v>
      </c>
      <c r="G585">
        <v>16</v>
      </c>
      <c r="H585">
        <v>26.7</v>
      </c>
      <c r="I585">
        <v>4.4000000000000004</v>
      </c>
      <c r="J585">
        <v>11.8</v>
      </c>
      <c r="K585">
        <v>0.372</v>
      </c>
      <c r="L585">
        <v>1.3</v>
      </c>
      <c r="M585">
        <v>4.4000000000000004</v>
      </c>
      <c r="N585">
        <v>0.29199999999999998</v>
      </c>
      <c r="O585">
        <v>3.1</v>
      </c>
      <c r="P585">
        <v>7.3</v>
      </c>
      <c r="Q585">
        <v>0.42</v>
      </c>
      <c r="R585">
        <v>0.42699999999999999</v>
      </c>
      <c r="S585">
        <v>2.8</v>
      </c>
      <c r="T585">
        <v>4</v>
      </c>
      <c r="U585">
        <v>0.70099999999999996</v>
      </c>
      <c r="V585">
        <v>0.8</v>
      </c>
      <c r="W585">
        <v>2.2999999999999998</v>
      </c>
      <c r="X585">
        <v>3.1</v>
      </c>
      <c r="Y585">
        <v>3.9</v>
      </c>
      <c r="Z585">
        <v>1</v>
      </c>
      <c r="AA585">
        <v>0.4</v>
      </c>
      <c r="AB585">
        <v>2.4</v>
      </c>
      <c r="AC585">
        <v>2.2000000000000002</v>
      </c>
      <c r="AD585">
        <v>12.9</v>
      </c>
      <c r="AE585" t="str">
        <f>IF(OR(_nba2122[[#This Row],[G]]&gt;=58,nba2122_advanced[[#This Row],[MP]]&gt;=1000),"Y","N")</f>
        <v>N</v>
      </c>
      <c r="AF58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4.9953488571849709</v>
      </c>
    </row>
    <row r="586" spans="1:32" x14ac:dyDescent="0.35">
      <c r="A586">
        <v>585</v>
      </c>
      <c r="B586" s="1" t="s">
        <v>655</v>
      </c>
      <c r="C586" s="1" t="s">
        <v>28</v>
      </c>
      <c r="D586">
        <v>23</v>
      </c>
      <c r="E586" s="1" t="s">
        <v>140</v>
      </c>
      <c r="F586">
        <v>77</v>
      </c>
      <c r="G586">
        <v>21</v>
      </c>
      <c r="H586">
        <v>24.4</v>
      </c>
      <c r="I586">
        <v>2.7</v>
      </c>
      <c r="J586">
        <v>5.6</v>
      </c>
      <c r="K586">
        <v>0.47499999999999998</v>
      </c>
      <c r="L586">
        <v>1.4</v>
      </c>
      <c r="M586">
        <v>3.4</v>
      </c>
      <c r="N586">
        <v>0.41099999999999998</v>
      </c>
      <c r="O586">
        <v>1.3</v>
      </c>
      <c r="P586">
        <v>2.2999999999999998</v>
      </c>
      <c r="Q586">
        <v>0.56899999999999995</v>
      </c>
      <c r="R586">
        <v>0.59699999999999998</v>
      </c>
      <c r="S586">
        <v>1.1000000000000001</v>
      </c>
      <c r="T586">
        <v>1.2</v>
      </c>
      <c r="U586">
        <v>0.90500000000000003</v>
      </c>
      <c r="V586">
        <v>0.8</v>
      </c>
      <c r="W586">
        <v>2.7</v>
      </c>
      <c r="X586">
        <v>3.6</v>
      </c>
      <c r="Y586">
        <v>1</v>
      </c>
      <c r="Z586">
        <v>0.5</v>
      </c>
      <c r="AA586">
        <v>0.7</v>
      </c>
      <c r="AB586">
        <v>0.8</v>
      </c>
      <c r="AC586">
        <v>2.4</v>
      </c>
      <c r="AD586">
        <v>7.8</v>
      </c>
      <c r="AE586" t="str">
        <f>IF(OR(_nba2122[[#This Row],[G]]&gt;=58,nba2122_advanced[[#This Row],[MP]]&gt;=1000),"Y","N")</f>
        <v>Y</v>
      </c>
      <c r="AF58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6.1401576103878828</v>
      </c>
    </row>
    <row r="587" spans="1:32" x14ac:dyDescent="0.35">
      <c r="A587">
        <v>586</v>
      </c>
      <c r="B587" s="1" t="s">
        <v>656</v>
      </c>
      <c r="C587" s="1" t="s">
        <v>51</v>
      </c>
      <c r="D587">
        <v>27</v>
      </c>
      <c r="E587" s="1" t="s">
        <v>96</v>
      </c>
      <c r="F587">
        <v>49</v>
      </c>
      <c r="G587">
        <v>0</v>
      </c>
      <c r="H587">
        <v>21.9</v>
      </c>
      <c r="I587">
        <v>3</v>
      </c>
      <c r="J587">
        <v>6.5</v>
      </c>
      <c r="K587">
        <v>0.46100000000000002</v>
      </c>
      <c r="L587">
        <v>0.8</v>
      </c>
      <c r="M587">
        <v>2.5</v>
      </c>
      <c r="N587">
        <v>0.33900000000000002</v>
      </c>
      <c r="O587">
        <v>2.1</v>
      </c>
      <c r="P587">
        <v>4</v>
      </c>
      <c r="Q587">
        <v>0.53600000000000003</v>
      </c>
      <c r="R587">
        <v>0.52500000000000002</v>
      </c>
      <c r="S587">
        <v>0.6</v>
      </c>
      <c r="T587">
        <v>1.1000000000000001</v>
      </c>
      <c r="U587">
        <v>0.54500000000000004</v>
      </c>
      <c r="V587">
        <v>1.5</v>
      </c>
      <c r="W587">
        <v>3</v>
      </c>
      <c r="X587">
        <v>4.5</v>
      </c>
      <c r="Y587">
        <v>2.2000000000000002</v>
      </c>
      <c r="Z587">
        <v>0.9</v>
      </c>
      <c r="AA587">
        <v>0.2</v>
      </c>
      <c r="AB587">
        <v>0.9</v>
      </c>
      <c r="AC587">
        <v>1.7</v>
      </c>
      <c r="AD587">
        <v>7.4</v>
      </c>
      <c r="AE587" t="str">
        <f>IF(OR(_nba2122[[#This Row],[G]]&gt;=58,nba2122_advanced[[#This Row],[MP]]&gt;=1000),"Y","N")</f>
        <v>Y</v>
      </c>
      <c r="AF58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3.9232554066692775</v>
      </c>
    </row>
    <row r="588" spans="1:32" x14ac:dyDescent="0.35">
      <c r="A588">
        <v>587</v>
      </c>
      <c r="B588" s="1" t="s">
        <v>657</v>
      </c>
      <c r="C588" s="1" t="s">
        <v>48</v>
      </c>
      <c r="D588">
        <v>35</v>
      </c>
      <c r="E588" s="1" t="s">
        <v>80</v>
      </c>
      <c r="F588">
        <v>56</v>
      </c>
      <c r="G588">
        <v>0</v>
      </c>
      <c r="H588">
        <v>14.3</v>
      </c>
      <c r="I588">
        <v>2.2000000000000002</v>
      </c>
      <c r="J588">
        <v>5.7</v>
      </c>
      <c r="K588">
        <v>0.39100000000000001</v>
      </c>
      <c r="L588">
        <v>0.7</v>
      </c>
      <c r="M588">
        <v>1.8</v>
      </c>
      <c r="N588">
        <v>0.36299999999999999</v>
      </c>
      <c r="O588">
        <v>1.6</v>
      </c>
      <c r="P588">
        <v>3.9</v>
      </c>
      <c r="Q588">
        <v>0.40400000000000003</v>
      </c>
      <c r="R588">
        <v>0.44800000000000001</v>
      </c>
      <c r="S588">
        <v>1.2</v>
      </c>
      <c r="T588">
        <v>1.4</v>
      </c>
      <c r="U588">
        <v>0.85899999999999999</v>
      </c>
      <c r="V588">
        <v>0.3</v>
      </c>
      <c r="W588">
        <v>1.3</v>
      </c>
      <c r="X588">
        <v>1.6</v>
      </c>
      <c r="Y588">
        <v>1.9</v>
      </c>
      <c r="Z588">
        <v>0.5</v>
      </c>
      <c r="AA588">
        <v>0.1</v>
      </c>
      <c r="AB588">
        <v>0.8</v>
      </c>
      <c r="AC588">
        <v>0.9</v>
      </c>
      <c r="AD588">
        <v>6.3</v>
      </c>
      <c r="AE588" t="str">
        <f>IF(OR(_nba2122[[#This Row],[G]]&gt;=58,nba2122_advanced[[#This Row],[MP]]&gt;=1000),"Y","N")</f>
        <v>N</v>
      </c>
      <c r="AF58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6.2396432487733087</v>
      </c>
    </row>
    <row r="589" spans="1:32" x14ac:dyDescent="0.35">
      <c r="A589">
        <v>588</v>
      </c>
      <c r="B589" s="1" t="s">
        <v>658</v>
      </c>
      <c r="C589" s="1" t="s">
        <v>28</v>
      </c>
      <c r="D589">
        <v>20</v>
      </c>
      <c r="E589" s="1" t="s">
        <v>75</v>
      </c>
      <c r="F589">
        <v>17</v>
      </c>
      <c r="G589">
        <v>9</v>
      </c>
      <c r="H589">
        <v>24.8</v>
      </c>
      <c r="I589">
        <v>3.2</v>
      </c>
      <c r="J589">
        <v>6</v>
      </c>
      <c r="K589">
        <v>0.52900000000000003</v>
      </c>
      <c r="L589">
        <v>0.9</v>
      </c>
      <c r="M589">
        <v>1.7</v>
      </c>
      <c r="N589">
        <v>0.51700000000000002</v>
      </c>
      <c r="O589">
        <v>2.2999999999999998</v>
      </c>
      <c r="P589">
        <v>4.3</v>
      </c>
      <c r="Q589">
        <v>0.53400000000000003</v>
      </c>
      <c r="R589">
        <v>0.60299999999999998</v>
      </c>
      <c r="S589">
        <v>1.8</v>
      </c>
      <c r="T589">
        <v>2.4</v>
      </c>
      <c r="U589">
        <v>0.73199999999999998</v>
      </c>
      <c r="V589">
        <v>1</v>
      </c>
      <c r="W589">
        <v>3.1</v>
      </c>
      <c r="X589">
        <v>4.0999999999999996</v>
      </c>
      <c r="Y589">
        <v>0.9</v>
      </c>
      <c r="Z589">
        <v>0.5</v>
      </c>
      <c r="AA589">
        <v>0.5</v>
      </c>
      <c r="AB589">
        <v>0.9</v>
      </c>
      <c r="AC589">
        <v>1.6</v>
      </c>
      <c r="AD589">
        <v>9</v>
      </c>
      <c r="AE589" t="str">
        <f>IF(OR(_nba2122[[#This Row],[G]]&gt;=58,nba2122_advanced[[#This Row],[MP]]&gt;=1000),"Y","N")</f>
        <v>N</v>
      </c>
      <c r="AF58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5.4299285035522455</v>
      </c>
    </row>
    <row r="590" spans="1:32" x14ac:dyDescent="0.35">
      <c r="A590">
        <v>589</v>
      </c>
      <c r="B590" s="1" t="s">
        <v>659</v>
      </c>
      <c r="C590" s="1" t="s">
        <v>31</v>
      </c>
      <c r="D590">
        <v>24</v>
      </c>
      <c r="E590" s="1" t="s">
        <v>140</v>
      </c>
      <c r="F590">
        <v>61</v>
      </c>
      <c r="G590">
        <v>61</v>
      </c>
      <c r="H590">
        <v>29.6</v>
      </c>
      <c r="I590">
        <v>4.4000000000000004</v>
      </c>
      <c r="J590">
        <v>6</v>
      </c>
      <c r="K590">
        <v>0.73599999999999999</v>
      </c>
      <c r="L590">
        <v>0</v>
      </c>
      <c r="M590">
        <v>0</v>
      </c>
      <c r="N590">
        <v>0</v>
      </c>
      <c r="O590">
        <v>4.4000000000000004</v>
      </c>
      <c r="P590">
        <v>6</v>
      </c>
      <c r="Q590">
        <v>0.73799999999999999</v>
      </c>
      <c r="R590">
        <v>0.73599999999999999</v>
      </c>
      <c r="S590">
        <v>1.1000000000000001</v>
      </c>
      <c r="T590">
        <v>1.5</v>
      </c>
      <c r="U590">
        <v>0.72199999999999998</v>
      </c>
      <c r="V590">
        <v>3.9</v>
      </c>
      <c r="W590">
        <v>5.7</v>
      </c>
      <c r="X590">
        <v>9.6</v>
      </c>
      <c r="Y590">
        <v>2</v>
      </c>
      <c r="Z590">
        <v>0.9</v>
      </c>
      <c r="AA590">
        <v>2.2000000000000002</v>
      </c>
      <c r="AB590">
        <v>1</v>
      </c>
      <c r="AC590">
        <v>2.2000000000000002</v>
      </c>
      <c r="AD590">
        <v>10</v>
      </c>
      <c r="AE590" t="str">
        <f>IF(OR(_nba2122[[#This Row],[G]]&gt;=58,nba2122_advanced[[#This Row],[MP]]&gt;=1000),"Y","N")</f>
        <v>Y</v>
      </c>
      <c r="AF59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13.274710812260819</v>
      </c>
    </row>
    <row r="591" spans="1:32" x14ac:dyDescent="0.35">
      <c r="A591">
        <v>590</v>
      </c>
      <c r="B591" s="1" t="s">
        <v>660</v>
      </c>
      <c r="C591" s="1" t="s">
        <v>51</v>
      </c>
      <c r="D591">
        <v>20</v>
      </c>
      <c r="E591" s="1" t="s">
        <v>34</v>
      </c>
      <c r="F591">
        <v>62</v>
      </c>
      <c r="G591">
        <v>31</v>
      </c>
      <c r="H591">
        <v>21.7</v>
      </c>
      <c r="I591">
        <v>3.1</v>
      </c>
      <c r="J591">
        <v>6.8</v>
      </c>
      <c r="K591">
        <v>0.45</v>
      </c>
      <c r="L591">
        <v>1.2</v>
      </c>
      <c r="M591">
        <v>3.9</v>
      </c>
      <c r="N591">
        <v>0.314</v>
      </c>
      <c r="O591">
        <v>1.9</v>
      </c>
      <c r="P591">
        <v>2.9</v>
      </c>
      <c r="Q591">
        <v>0.63200000000000001</v>
      </c>
      <c r="R591">
        <v>0.54</v>
      </c>
      <c r="S591">
        <v>0.7</v>
      </c>
      <c r="T591">
        <v>0.9</v>
      </c>
      <c r="U591">
        <v>0.78200000000000003</v>
      </c>
      <c r="V591">
        <v>0.4</v>
      </c>
      <c r="W591">
        <v>1.7</v>
      </c>
      <c r="X591">
        <v>2.1</v>
      </c>
      <c r="Y591">
        <v>1</v>
      </c>
      <c r="Z591">
        <v>0.6</v>
      </c>
      <c r="AA591">
        <v>0.2</v>
      </c>
      <c r="AB591">
        <v>0.7</v>
      </c>
      <c r="AC591">
        <v>1.8</v>
      </c>
      <c r="AD591">
        <v>8.1</v>
      </c>
      <c r="AE591" t="str">
        <f>IF(OR(_nba2122[[#This Row],[G]]&gt;=58,nba2122_advanced[[#This Row],[MP]]&gt;=1000),"Y","N")</f>
        <v>Y</v>
      </c>
      <c r="AF59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6.9585318840033406</v>
      </c>
    </row>
    <row r="592" spans="1:32" x14ac:dyDescent="0.35">
      <c r="A592">
        <v>591</v>
      </c>
      <c r="B592" s="1" t="s">
        <v>661</v>
      </c>
      <c r="C592" s="1" t="s">
        <v>28</v>
      </c>
      <c r="D592">
        <v>25</v>
      </c>
      <c r="E592" s="1" t="s">
        <v>32</v>
      </c>
      <c r="F592">
        <v>4</v>
      </c>
      <c r="G592">
        <v>1</v>
      </c>
      <c r="H592">
        <v>13.5</v>
      </c>
      <c r="I592">
        <v>2.8</v>
      </c>
      <c r="J592">
        <v>3.8</v>
      </c>
      <c r="K592">
        <v>0.73299999999999998</v>
      </c>
      <c r="L592">
        <v>0</v>
      </c>
      <c r="M592">
        <v>0.5</v>
      </c>
      <c r="N592">
        <v>0</v>
      </c>
      <c r="O592">
        <v>2.8</v>
      </c>
      <c r="P592">
        <v>3.3</v>
      </c>
      <c r="Q592">
        <v>0.84599999999999997</v>
      </c>
      <c r="R592">
        <v>0.73299999999999998</v>
      </c>
      <c r="S592">
        <v>2</v>
      </c>
      <c r="T592">
        <v>2.5</v>
      </c>
      <c r="U592">
        <v>0.8</v>
      </c>
      <c r="V592">
        <v>0.3</v>
      </c>
      <c r="W592">
        <v>3.8</v>
      </c>
      <c r="X592">
        <v>4</v>
      </c>
      <c r="Y592">
        <v>1.3</v>
      </c>
      <c r="Z592">
        <v>1.3</v>
      </c>
      <c r="AA592">
        <v>0.3</v>
      </c>
      <c r="AB592">
        <v>0.5</v>
      </c>
      <c r="AC592">
        <v>1.5</v>
      </c>
      <c r="AD592">
        <v>7.5</v>
      </c>
      <c r="AE592" t="str">
        <f>IF(OR(_nba2122[[#This Row],[G]]&gt;=58,nba2122_advanced[[#This Row],[MP]]&gt;=1000),"Y","N")</f>
        <v>N</v>
      </c>
      <c r="AF59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11.142775327054508</v>
      </c>
    </row>
    <row r="593" spans="1:32" x14ac:dyDescent="0.35">
      <c r="A593">
        <v>592</v>
      </c>
      <c r="B593" s="1" t="s">
        <v>662</v>
      </c>
      <c r="C593" s="1" t="s">
        <v>51</v>
      </c>
      <c r="D593">
        <v>25</v>
      </c>
      <c r="E593" s="1" t="s">
        <v>46</v>
      </c>
      <c r="F593">
        <v>50</v>
      </c>
      <c r="G593">
        <v>0</v>
      </c>
      <c r="H593">
        <v>9.1999999999999993</v>
      </c>
      <c r="I593">
        <v>0.7</v>
      </c>
      <c r="J593">
        <v>2</v>
      </c>
      <c r="K593">
        <v>0.378</v>
      </c>
      <c r="L593">
        <v>0.4</v>
      </c>
      <c r="M593">
        <v>1.4</v>
      </c>
      <c r="N593">
        <v>0.3</v>
      </c>
      <c r="O593">
        <v>0.3</v>
      </c>
      <c r="P593">
        <v>0.6</v>
      </c>
      <c r="Q593">
        <v>0.57099999999999995</v>
      </c>
      <c r="R593">
        <v>0.48499999999999999</v>
      </c>
      <c r="S593">
        <v>0.3</v>
      </c>
      <c r="T593">
        <v>0.4</v>
      </c>
      <c r="U593">
        <v>0.83299999999999996</v>
      </c>
      <c r="V593">
        <v>0.4</v>
      </c>
      <c r="W593">
        <v>1.4</v>
      </c>
      <c r="X593">
        <v>1.8</v>
      </c>
      <c r="Y593">
        <v>0.7</v>
      </c>
      <c r="Z593">
        <v>0.3</v>
      </c>
      <c r="AA593">
        <v>0.1</v>
      </c>
      <c r="AB593">
        <v>0.3</v>
      </c>
      <c r="AC593">
        <v>0.9</v>
      </c>
      <c r="AD593">
        <v>2.2000000000000002</v>
      </c>
      <c r="AE593" t="str">
        <f>IF(OR(_nba2122[[#This Row],[G]]&gt;=58,nba2122_advanced[[#This Row],[MP]]&gt;=1000),"Y","N")</f>
        <v>N</v>
      </c>
      <c r="AF59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8.6243220155859532</v>
      </c>
    </row>
    <row r="594" spans="1:32" x14ac:dyDescent="0.35">
      <c r="A594">
        <v>593</v>
      </c>
      <c r="B594" s="1" t="s">
        <v>663</v>
      </c>
      <c r="C594" s="1" t="s">
        <v>51</v>
      </c>
      <c r="D594">
        <v>25</v>
      </c>
      <c r="E594" s="1" t="s">
        <v>42</v>
      </c>
      <c r="F594">
        <v>48</v>
      </c>
      <c r="G594">
        <v>11</v>
      </c>
      <c r="H594">
        <v>16.100000000000001</v>
      </c>
      <c r="I594">
        <v>2.2999999999999998</v>
      </c>
      <c r="J594">
        <v>5.4</v>
      </c>
      <c r="K594">
        <v>0.42799999999999999</v>
      </c>
      <c r="L594">
        <v>0.3</v>
      </c>
      <c r="M594">
        <v>1.4</v>
      </c>
      <c r="N594">
        <v>0.22700000000000001</v>
      </c>
      <c r="O594">
        <v>2</v>
      </c>
      <c r="P594">
        <v>4</v>
      </c>
      <c r="Q594">
        <v>0.497</v>
      </c>
      <c r="R594">
        <v>0.45700000000000002</v>
      </c>
      <c r="S594">
        <v>0.8</v>
      </c>
      <c r="T594">
        <v>1.4</v>
      </c>
      <c r="U594">
        <v>0.59099999999999997</v>
      </c>
      <c r="V594">
        <v>1</v>
      </c>
      <c r="W594">
        <v>3.2</v>
      </c>
      <c r="X594">
        <v>4.2</v>
      </c>
      <c r="Y594">
        <v>1.8</v>
      </c>
      <c r="Z594">
        <v>0.7</v>
      </c>
      <c r="AA594">
        <v>0.5</v>
      </c>
      <c r="AB594">
        <v>1</v>
      </c>
      <c r="AC594">
        <v>1.4</v>
      </c>
      <c r="AD594">
        <v>5.7</v>
      </c>
      <c r="AE594" t="str">
        <f>IF(OR(_nba2122[[#This Row],[G]]&gt;=58,nba2122_advanced[[#This Row],[MP]]&gt;=1000),"Y","N")</f>
        <v>N</v>
      </c>
      <c r="AF59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5.0381231028251783</v>
      </c>
    </row>
    <row r="595" spans="1:32" x14ac:dyDescent="0.35">
      <c r="A595">
        <v>594</v>
      </c>
      <c r="B595" s="1" t="s">
        <v>664</v>
      </c>
      <c r="C595" s="1" t="s">
        <v>48</v>
      </c>
      <c r="D595">
        <v>23</v>
      </c>
      <c r="E595" s="1" t="s">
        <v>65</v>
      </c>
      <c r="F595">
        <v>7</v>
      </c>
      <c r="G595">
        <v>0</v>
      </c>
      <c r="H595">
        <v>5.6</v>
      </c>
      <c r="I595">
        <v>0.6</v>
      </c>
      <c r="J595">
        <v>1.6</v>
      </c>
      <c r="K595">
        <v>0.36399999999999999</v>
      </c>
      <c r="L595">
        <v>0.3</v>
      </c>
      <c r="M595">
        <v>0.9</v>
      </c>
      <c r="N595">
        <v>0.33300000000000002</v>
      </c>
      <c r="O595">
        <v>0.3</v>
      </c>
      <c r="P595">
        <v>0.7</v>
      </c>
      <c r="Q595">
        <v>0.4</v>
      </c>
      <c r="R595">
        <v>0.45500000000000002</v>
      </c>
      <c r="S595">
        <v>0.6</v>
      </c>
      <c r="T595">
        <v>0.6</v>
      </c>
      <c r="U595">
        <v>1</v>
      </c>
      <c r="V595">
        <v>0</v>
      </c>
      <c r="W595">
        <v>0.1</v>
      </c>
      <c r="X595">
        <v>0.1</v>
      </c>
      <c r="Y595">
        <v>1</v>
      </c>
      <c r="Z595">
        <v>0</v>
      </c>
      <c r="AA595">
        <v>0</v>
      </c>
      <c r="AB595">
        <v>0.4</v>
      </c>
      <c r="AC595">
        <v>1.3</v>
      </c>
      <c r="AD595">
        <v>2</v>
      </c>
      <c r="AE595" t="str">
        <f>IF(OR(_nba2122[[#This Row],[G]]&gt;=58,nba2122_advanced[[#This Row],[MP]]&gt;=1000),"Y","N")</f>
        <v>N</v>
      </c>
      <c r="AF59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11.753233486054562</v>
      </c>
    </row>
    <row r="596" spans="1:32" x14ac:dyDescent="0.35">
      <c r="A596">
        <v>595</v>
      </c>
      <c r="B596" s="1" t="s">
        <v>665</v>
      </c>
      <c r="C596" s="1" t="s">
        <v>31</v>
      </c>
      <c r="D596">
        <v>26</v>
      </c>
      <c r="E596" s="1" t="s">
        <v>170</v>
      </c>
      <c r="F596">
        <v>68</v>
      </c>
      <c r="G596">
        <v>67</v>
      </c>
      <c r="H596">
        <v>30.8</v>
      </c>
      <c r="I596">
        <v>6.5</v>
      </c>
      <c r="J596">
        <v>12.9</v>
      </c>
      <c r="K596">
        <v>0.501</v>
      </c>
      <c r="L596">
        <v>1.9</v>
      </c>
      <c r="M596">
        <v>4.9000000000000004</v>
      </c>
      <c r="N596">
        <v>0.39</v>
      </c>
      <c r="O596">
        <v>4.5</v>
      </c>
      <c r="P596">
        <v>8</v>
      </c>
      <c r="Q596">
        <v>0.56999999999999995</v>
      </c>
      <c r="R596">
        <v>0.57599999999999996</v>
      </c>
      <c r="S596">
        <v>3</v>
      </c>
      <c r="T596">
        <v>4.9000000000000004</v>
      </c>
      <c r="U596">
        <v>0.623</v>
      </c>
      <c r="V596">
        <v>1.6</v>
      </c>
      <c r="W596">
        <v>8.5</v>
      </c>
      <c r="X596">
        <v>10.1</v>
      </c>
      <c r="Y596">
        <v>2.2999999999999998</v>
      </c>
      <c r="Z596">
        <v>0.8</v>
      </c>
      <c r="AA596">
        <v>1</v>
      </c>
      <c r="AB596">
        <v>1.9</v>
      </c>
      <c r="AC596">
        <v>2.5</v>
      </c>
      <c r="AD596">
        <v>17.899999999999999</v>
      </c>
      <c r="AE596" t="str">
        <f>IF(OR(_nba2122[[#This Row],[G]]&gt;=58,nba2122_advanced[[#This Row],[MP]]&gt;=1000),"Y","N")</f>
        <v>Y</v>
      </c>
      <c r="AF59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6.517666149770843</v>
      </c>
    </row>
    <row r="597" spans="1:32" x14ac:dyDescent="0.35">
      <c r="A597">
        <v>596</v>
      </c>
      <c r="B597" s="1" t="s">
        <v>666</v>
      </c>
      <c r="C597" s="1" t="s">
        <v>51</v>
      </c>
      <c r="D597">
        <v>22</v>
      </c>
      <c r="E597" s="1" t="s">
        <v>82</v>
      </c>
      <c r="F597">
        <v>12</v>
      </c>
      <c r="G597">
        <v>0</v>
      </c>
      <c r="H597">
        <v>3.5</v>
      </c>
      <c r="I597">
        <v>0.2</v>
      </c>
      <c r="J597">
        <v>1.3</v>
      </c>
      <c r="K597">
        <v>0.125</v>
      </c>
      <c r="L597">
        <v>0.1</v>
      </c>
      <c r="M597">
        <v>0.3</v>
      </c>
      <c r="N597">
        <v>0.25</v>
      </c>
      <c r="O597">
        <v>0.1</v>
      </c>
      <c r="P597">
        <v>1</v>
      </c>
      <c r="Q597">
        <v>8.3000000000000004E-2</v>
      </c>
      <c r="R597">
        <v>0.156</v>
      </c>
      <c r="S597">
        <v>0.2</v>
      </c>
      <c r="T597">
        <v>0.2</v>
      </c>
      <c r="U597">
        <v>1</v>
      </c>
      <c r="V597">
        <v>0.4</v>
      </c>
      <c r="W597">
        <v>0.5</v>
      </c>
      <c r="X597">
        <v>0.9</v>
      </c>
      <c r="Y597">
        <v>0.3</v>
      </c>
      <c r="Z597">
        <v>0.1</v>
      </c>
      <c r="AA597">
        <v>0.1</v>
      </c>
      <c r="AB597">
        <v>0.1</v>
      </c>
      <c r="AC597">
        <v>0.3</v>
      </c>
      <c r="AD597">
        <v>0.6</v>
      </c>
      <c r="AE597" t="str">
        <f>IF(OR(_nba2122[[#This Row],[G]]&gt;=58,nba2122_advanced[[#This Row],[MP]]&gt;=1000),"Y","N")</f>
        <v>N</v>
      </c>
      <c r="AF597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11.7274888448081</v>
      </c>
    </row>
    <row r="598" spans="1:32" x14ac:dyDescent="0.35">
      <c r="A598">
        <v>597</v>
      </c>
      <c r="B598" s="1" t="s">
        <v>667</v>
      </c>
      <c r="C598" s="1" t="s">
        <v>41</v>
      </c>
      <c r="D598">
        <v>29</v>
      </c>
      <c r="E598" s="1" t="s">
        <v>80</v>
      </c>
      <c r="F598">
        <v>77</v>
      </c>
      <c r="G598">
        <v>8</v>
      </c>
      <c r="H598">
        <v>18.899999999999999</v>
      </c>
      <c r="I598">
        <v>1.6</v>
      </c>
      <c r="J598">
        <v>3.5</v>
      </c>
      <c r="K598">
        <v>0.45400000000000001</v>
      </c>
      <c r="L598">
        <v>0.6</v>
      </c>
      <c r="M598">
        <v>1.5</v>
      </c>
      <c r="N598">
        <v>0.379</v>
      </c>
      <c r="O598">
        <v>1</v>
      </c>
      <c r="P598">
        <v>2</v>
      </c>
      <c r="Q598">
        <v>0.51</v>
      </c>
      <c r="R598">
        <v>0.53500000000000003</v>
      </c>
      <c r="S598">
        <v>0.7</v>
      </c>
      <c r="T598">
        <v>0.8</v>
      </c>
      <c r="U598">
        <v>0.85699999999999998</v>
      </c>
      <c r="V598">
        <v>0.6</v>
      </c>
      <c r="W598">
        <v>2.2000000000000002</v>
      </c>
      <c r="X598">
        <v>2.9</v>
      </c>
      <c r="Y598">
        <v>2.4</v>
      </c>
      <c r="Z598">
        <v>1.2</v>
      </c>
      <c r="AA598">
        <v>0.2</v>
      </c>
      <c r="AB598">
        <v>0.6</v>
      </c>
      <c r="AC598">
        <v>0.7</v>
      </c>
      <c r="AD598">
        <v>4.4000000000000004</v>
      </c>
      <c r="AE598" t="str">
        <f>IF(OR(_nba2122[[#This Row],[G]]&gt;=58,nba2122_advanced[[#This Row],[MP]]&gt;=1000),"Y","N")</f>
        <v>Y</v>
      </c>
      <c r="AF598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6.0644391389972956</v>
      </c>
    </row>
    <row r="599" spans="1:32" x14ac:dyDescent="0.35">
      <c r="A599">
        <v>598</v>
      </c>
      <c r="B599" s="1" t="s">
        <v>668</v>
      </c>
      <c r="C599" s="1" t="s">
        <v>48</v>
      </c>
      <c r="D599">
        <v>23</v>
      </c>
      <c r="E599" s="1" t="s">
        <v>99</v>
      </c>
      <c r="F599">
        <v>5</v>
      </c>
      <c r="G599">
        <v>0</v>
      </c>
      <c r="H599">
        <v>3.8</v>
      </c>
      <c r="I599">
        <v>0.4</v>
      </c>
      <c r="J599">
        <v>0.6</v>
      </c>
      <c r="K599">
        <v>0.66700000000000004</v>
      </c>
      <c r="L599">
        <v>0.2</v>
      </c>
      <c r="M599">
        <v>0.4</v>
      </c>
      <c r="N599">
        <v>0.5</v>
      </c>
      <c r="O599">
        <v>0.2</v>
      </c>
      <c r="P599">
        <v>0.2</v>
      </c>
      <c r="Q599">
        <v>1</v>
      </c>
      <c r="R599">
        <v>0.83299999999999996</v>
      </c>
      <c r="S599">
        <v>0</v>
      </c>
      <c r="T599">
        <v>0</v>
      </c>
      <c r="V599">
        <v>0</v>
      </c>
      <c r="W599">
        <v>0</v>
      </c>
      <c r="X599">
        <v>0</v>
      </c>
      <c r="Y599">
        <v>0.6</v>
      </c>
      <c r="Z599">
        <v>0</v>
      </c>
      <c r="AA599">
        <v>0</v>
      </c>
      <c r="AB599">
        <v>0.2</v>
      </c>
      <c r="AC599">
        <v>0.2</v>
      </c>
      <c r="AD599">
        <v>1</v>
      </c>
      <c r="AE599" t="str">
        <f>IF(OR(_nba2122[[#This Row],[G]]&gt;=58,nba2122_advanced[[#This Row],[MP]]&gt;=1000),"Y","N")</f>
        <v>N</v>
      </c>
      <c r="AF599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15.858604000587849</v>
      </c>
    </row>
    <row r="600" spans="1:32" x14ac:dyDescent="0.35">
      <c r="A600">
        <v>599</v>
      </c>
      <c r="B600" s="1" t="s">
        <v>669</v>
      </c>
      <c r="C600" s="1" t="s">
        <v>28</v>
      </c>
      <c r="D600">
        <v>23</v>
      </c>
      <c r="E600" s="1" t="s">
        <v>42</v>
      </c>
      <c r="F600">
        <v>4</v>
      </c>
      <c r="G600">
        <v>0</v>
      </c>
      <c r="H600">
        <v>3.5</v>
      </c>
      <c r="I600">
        <v>0.3</v>
      </c>
      <c r="J600">
        <v>1</v>
      </c>
      <c r="K600">
        <v>0.25</v>
      </c>
      <c r="L600">
        <v>0</v>
      </c>
      <c r="M600">
        <v>0.3</v>
      </c>
      <c r="N600">
        <v>0</v>
      </c>
      <c r="O600">
        <v>0.3</v>
      </c>
      <c r="P600">
        <v>0.8</v>
      </c>
      <c r="Q600">
        <v>0.33300000000000002</v>
      </c>
      <c r="R600">
        <v>0.25</v>
      </c>
      <c r="S600">
        <v>0.8</v>
      </c>
      <c r="T600">
        <v>0.8</v>
      </c>
      <c r="U600">
        <v>1</v>
      </c>
      <c r="V600">
        <v>0.3</v>
      </c>
      <c r="W600">
        <v>0.5</v>
      </c>
      <c r="X600">
        <v>0.8</v>
      </c>
      <c r="Y600">
        <v>0.5</v>
      </c>
      <c r="Z600">
        <v>0</v>
      </c>
      <c r="AA600">
        <v>0.3</v>
      </c>
      <c r="AB600">
        <v>0</v>
      </c>
      <c r="AC600">
        <v>0</v>
      </c>
      <c r="AD600">
        <v>1.3</v>
      </c>
      <c r="AE600" t="str">
        <f>IF(OR(_nba2122[[#This Row],[G]]&gt;=58,nba2122_advanced[[#This Row],[MP]]&gt;=1000),"Y","N")</f>
        <v>N</v>
      </c>
      <c r="AF600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15.549928200934536</v>
      </c>
    </row>
    <row r="601" spans="1:32" x14ac:dyDescent="0.35">
      <c r="A601">
        <v>600</v>
      </c>
      <c r="B601" s="1" t="s">
        <v>670</v>
      </c>
      <c r="C601" s="1" t="s">
        <v>41</v>
      </c>
      <c r="D601">
        <v>28</v>
      </c>
      <c r="E601" s="1" t="s">
        <v>108</v>
      </c>
      <c r="F601">
        <v>2</v>
      </c>
      <c r="G601">
        <v>0</v>
      </c>
      <c r="H601">
        <v>10.5</v>
      </c>
      <c r="I601">
        <v>1</v>
      </c>
      <c r="J601">
        <v>3.5</v>
      </c>
      <c r="K601">
        <v>0.28599999999999998</v>
      </c>
      <c r="L601">
        <v>0.5</v>
      </c>
      <c r="M601">
        <v>3</v>
      </c>
      <c r="N601">
        <v>0.16700000000000001</v>
      </c>
      <c r="O601">
        <v>0.5</v>
      </c>
      <c r="P601">
        <v>0.5</v>
      </c>
      <c r="Q601">
        <v>1</v>
      </c>
      <c r="R601">
        <v>0.35699999999999998</v>
      </c>
      <c r="S601">
        <v>1.5</v>
      </c>
      <c r="T601">
        <v>2.5</v>
      </c>
      <c r="U601">
        <v>0.6</v>
      </c>
      <c r="V601">
        <v>0</v>
      </c>
      <c r="W601">
        <v>1</v>
      </c>
      <c r="X601">
        <v>1</v>
      </c>
      <c r="Y601">
        <v>2</v>
      </c>
      <c r="Z601">
        <v>1</v>
      </c>
      <c r="AA601">
        <v>0.5</v>
      </c>
      <c r="AB601">
        <v>0.5</v>
      </c>
      <c r="AC601">
        <v>2</v>
      </c>
      <c r="AD601">
        <v>4</v>
      </c>
      <c r="AE601" t="str">
        <f>IF(OR(_nba2122[[#This Row],[G]]&gt;=58,nba2122_advanced[[#This Row],[MP]]&gt;=1000),"Y","N")</f>
        <v>N</v>
      </c>
      <c r="AF601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11.862679529570054</v>
      </c>
    </row>
    <row r="602" spans="1:32" x14ac:dyDescent="0.35">
      <c r="A602">
        <v>601</v>
      </c>
      <c r="B602" s="1" t="s">
        <v>671</v>
      </c>
      <c r="C602" s="1" t="s">
        <v>28</v>
      </c>
      <c r="D602">
        <v>33</v>
      </c>
      <c r="E602" s="1" t="s">
        <v>42</v>
      </c>
      <c r="F602">
        <v>52</v>
      </c>
      <c r="G602">
        <v>1</v>
      </c>
      <c r="H602">
        <v>16.3</v>
      </c>
      <c r="I602">
        <v>2.7</v>
      </c>
      <c r="J602">
        <v>5.2</v>
      </c>
      <c r="K602">
        <v>0.51800000000000002</v>
      </c>
      <c r="L602">
        <v>0.3</v>
      </c>
      <c r="M602">
        <v>0.9</v>
      </c>
      <c r="N602">
        <v>0.35399999999999998</v>
      </c>
      <c r="O602">
        <v>2.4</v>
      </c>
      <c r="P602">
        <v>4.3</v>
      </c>
      <c r="Q602">
        <v>0.55400000000000005</v>
      </c>
      <c r="R602">
        <v>0.55000000000000004</v>
      </c>
      <c r="S602">
        <v>0.4</v>
      </c>
      <c r="T602">
        <v>0.9</v>
      </c>
      <c r="U602">
        <v>0.46899999999999997</v>
      </c>
      <c r="V602">
        <v>1.5</v>
      </c>
      <c r="W602">
        <v>2.5</v>
      </c>
      <c r="X602">
        <v>4</v>
      </c>
      <c r="Y602">
        <v>2</v>
      </c>
      <c r="Z602">
        <v>1</v>
      </c>
      <c r="AA602">
        <v>0.3</v>
      </c>
      <c r="AB602">
        <v>1</v>
      </c>
      <c r="AC602">
        <v>1.6</v>
      </c>
      <c r="AD602">
        <v>6.2</v>
      </c>
      <c r="AE602" t="str">
        <f>IF(OR(_nba2122[[#This Row],[G]]&gt;=58,nba2122_advanced[[#This Row],[MP]]&gt;=1000),"Y","N")</f>
        <v>N</v>
      </c>
      <c r="AF602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5.6174787089867486</v>
      </c>
    </row>
    <row r="603" spans="1:32" x14ac:dyDescent="0.35">
      <c r="A603">
        <v>602</v>
      </c>
      <c r="B603" s="1" t="s">
        <v>672</v>
      </c>
      <c r="C603" s="1" t="s">
        <v>48</v>
      </c>
      <c r="D603">
        <v>23</v>
      </c>
      <c r="E603" s="1" t="s">
        <v>80</v>
      </c>
      <c r="F603">
        <v>76</v>
      </c>
      <c r="G603">
        <v>76</v>
      </c>
      <c r="H603">
        <v>34.9</v>
      </c>
      <c r="I603">
        <v>9.4</v>
      </c>
      <c r="J603">
        <v>20.3</v>
      </c>
      <c r="K603">
        <v>0.46</v>
      </c>
      <c r="L603">
        <v>3.1</v>
      </c>
      <c r="M603">
        <v>8</v>
      </c>
      <c r="N603">
        <v>0.38200000000000001</v>
      </c>
      <c r="O603">
        <v>6.3</v>
      </c>
      <c r="P603">
        <v>12.3</v>
      </c>
      <c r="Q603">
        <v>0.51200000000000001</v>
      </c>
      <c r="R603">
        <v>0.53600000000000003</v>
      </c>
      <c r="S603">
        <v>6.6</v>
      </c>
      <c r="T603">
        <v>7.3</v>
      </c>
      <c r="U603">
        <v>0.90400000000000003</v>
      </c>
      <c r="V603">
        <v>0.7</v>
      </c>
      <c r="W603">
        <v>3.1</v>
      </c>
      <c r="X603">
        <v>3.7</v>
      </c>
      <c r="Y603">
        <v>9.6999999999999993</v>
      </c>
      <c r="Z603">
        <v>0.9</v>
      </c>
      <c r="AA603">
        <v>0.1</v>
      </c>
      <c r="AB603">
        <v>4</v>
      </c>
      <c r="AC603">
        <v>1.7</v>
      </c>
      <c r="AD603">
        <v>28.4</v>
      </c>
      <c r="AE603" t="str">
        <f>IF(OR(_nba2122[[#This Row],[G]]&gt;=58,nba2122_advanced[[#This Row],[MP]]&gt;=1000),"Y","N")</f>
        <v>Y</v>
      </c>
      <c r="AF603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12.504769946573619</v>
      </c>
    </row>
    <row r="604" spans="1:32" x14ac:dyDescent="0.35">
      <c r="A604">
        <v>603</v>
      </c>
      <c r="B604" s="1" t="s">
        <v>673</v>
      </c>
      <c r="C604" s="1" t="s">
        <v>31</v>
      </c>
      <c r="D604">
        <v>23</v>
      </c>
      <c r="E604" s="1" t="s">
        <v>36</v>
      </c>
      <c r="F604">
        <v>56</v>
      </c>
      <c r="G604">
        <v>12</v>
      </c>
      <c r="H604">
        <v>12.6</v>
      </c>
      <c r="I604">
        <v>2.2999999999999998</v>
      </c>
      <c r="J604">
        <v>4.4000000000000004</v>
      </c>
      <c r="K604">
        <v>0.52600000000000002</v>
      </c>
      <c r="L604">
        <v>0</v>
      </c>
      <c r="M604">
        <v>0.2</v>
      </c>
      <c r="N604">
        <v>9.0999999999999998E-2</v>
      </c>
      <c r="O604">
        <v>2.2999999999999998</v>
      </c>
      <c r="P604">
        <v>4.2</v>
      </c>
      <c r="Q604">
        <v>0.54700000000000004</v>
      </c>
      <c r="R604">
        <v>0.52800000000000002</v>
      </c>
      <c r="S604">
        <v>0.7</v>
      </c>
      <c r="T604">
        <v>1.1000000000000001</v>
      </c>
      <c r="U604">
        <v>0.623</v>
      </c>
      <c r="V604">
        <v>1.5</v>
      </c>
      <c r="W604">
        <v>3.7</v>
      </c>
      <c r="X604">
        <v>5.3</v>
      </c>
      <c r="Y604">
        <v>0.9</v>
      </c>
      <c r="Z604">
        <v>0.3</v>
      </c>
      <c r="AA604">
        <v>0.4</v>
      </c>
      <c r="AB604">
        <v>0.7</v>
      </c>
      <c r="AC604">
        <v>1.5</v>
      </c>
      <c r="AD604">
        <v>5.3</v>
      </c>
      <c r="AE604" t="str">
        <f>IF(OR(_nba2122[[#This Row],[G]]&gt;=58,nba2122_advanced[[#This Row],[MP]]&gt;=1000),"Y","N")</f>
        <v>N</v>
      </c>
      <c r="AF604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7.86329737545634</v>
      </c>
    </row>
    <row r="605" spans="1:32" x14ac:dyDescent="0.35">
      <c r="A605">
        <v>604</v>
      </c>
      <c r="B605" s="1" t="s">
        <v>674</v>
      </c>
      <c r="C605" s="1" t="s">
        <v>31</v>
      </c>
      <c r="D605">
        <v>29</v>
      </c>
      <c r="E605" s="1" t="s">
        <v>114</v>
      </c>
      <c r="F605">
        <v>27</v>
      </c>
      <c r="G605">
        <v>0</v>
      </c>
      <c r="H605">
        <v>13.1</v>
      </c>
      <c r="I605">
        <v>1.9</v>
      </c>
      <c r="J605">
        <v>3.3</v>
      </c>
      <c r="K605">
        <v>0.56699999999999995</v>
      </c>
      <c r="L605">
        <v>0</v>
      </c>
      <c r="M605">
        <v>0.1</v>
      </c>
      <c r="N605">
        <v>0</v>
      </c>
      <c r="O605">
        <v>1.9</v>
      </c>
      <c r="P605">
        <v>3.2</v>
      </c>
      <c r="Q605">
        <v>0.59299999999999997</v>
      </c>
      <c r="R605">
        <v>0.56699999999999995</v>
      </c>
      <c r="S605">
        <v>1.4</v>
      </c>
      <c r="T605">
        <v>1.8</v>
      </c>
      <c r="U605">
        <v>0.77600000000000002</v>
      </c>
      <c r="V605">
        <v>1.9</v>
      </c>
      <c r="W605">
        <v>2.8</v>
      </c>
      <c r="X605">
        <v>4.5999999999999996</v>
      </c>
      <c r="Y605">
        <v>0.8</v>
      </c>
      <c r="Z605">
        <v>0.3</v>
      </c>
      <c r="AA605">
        <v>0.2</v>
      </c>
      <c r="AB605">
        <v>0.7</v>
      </c>
      <c r="AC605">
        <v>2.1</v>
      </c>
      <c r="AD605">
        <v>5.2</v>
      </c>
      <c r="AE605" t="str">
        <f>IF(OR(_nba2122[[#This Row],[G]]&gt;=58,nba2122_advanced[[#This Row],[MP]]&gt;=1000),"Y","N")</f>
        <v>N</v>
      </c>
      <c r="AF605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8.8265730449041033</v>
      </c>
    </row>
    <row r="606" spans="1:32" x14ac:dyDescent="0.35">
      <c r="A606">
        <v>605</v>
      </c>
      <c r="B606" s="1" t="s">
        <v>675</v>
      </c>
      <c r="C606" s="1" t="s">
        <v>31</v>
      </c>
      <c r="D606">
        <v>24</v>
      </c>
      <c r="E606" s="1" t="s">
        <v>93</v>
      </c>
      <c r="F606">
        <v>76</v>
      </c>
      <c r="G606">
        <v>76</v>
      </c>
      <c r="H606">
        <v>24.4</v>
      </c>
      <c r="I606">
        <v>4.0999999999999996</v>
      </c>
      <c r="J606">
        <v>6.5</v>
      </c>
      <c r="K606">
        <v>0.626</v>
      </c>
      <c r="L606">
        <v>0</v>
      </c>
      <c r="M606">
        <v>0</v>
      </c>
      <c r="O606">
        <v>4.0999999999999996</v>
      </c>
      <c r="P606">
        <v>6.5</v>
      </c>
      <c r="Q606">
        <v>0.626</v>
      </c>
      <c r="R606">
        <v>0.626</v>
      </c>
      <c r="S606">
        <v>2.2000000000000002</v>
      </c>
      <c r="T606">
        <v>3</v>
      </c>
      <c r="U606">
        <v>0.72699999999999998</v>
      </c>
      <c r="V606">
        <v>2.9</v>
      </c>
      <c r="W606">
        <v>5.6</v>
      </c>
      <c r="X606">
        <v>8.5</v>
      </c>
      <c r="Y606">
        <v>1.6</v>
      </c>
      <c r="Z606">
        <v>0.5</v>
      </c>
      <c r="AA606">
        <v>1</v>
      </c>
      <c r="AB606">
        <v>1.5</v>
      </c>
      <c r="AC606">
        <v>2.7</v>
      </c>
      <c r="AD606">
        <v>10.3</v>
      </c>
      <c r="AE606" t="str">
        <f>IF(OR(_nba2122[[#This Row],[G]]&gt;=58,nba2122_advanced[[#This Row],[MP]]&gt;=1000),"Y","N")</f>
        <v>Y</v>
      </c>
      <c r="AF606">
        <f>ABS((_nba2122[[#This Row],[PTS]]-$AI$4)/$AI$4) +ABS((_nba2122[[#This Row],[TRB]]-$AJ$4)/$AJ$4) +ABS((_nba2122[[#This Row],[AST]]-$AK$4)/$AK$4) +ABS((_nba2122[[#This Row],[STL]]-$AL$4)/$AL$4) +ABS((_nba2122[[#This Row],[BLK]]-$AM$4)/$AM$4) +ABS((_nba2122[[#This Row],[TOV]]-$AN$4)/$AN$4) +ABS((_nba2122[[#This Row],[PF]]-$AO$4)/$AO$4) +ABS((_nba2122[[#This Row],[FG%]]-$AI$7)/$AI$7) +ABS((_nba2122[[#This Row],[3P%]]-$AJ$7)/$AJ$7) +ABS((_nba2122[[#This Row],[FT%]]-$AK$7)/$AK$7) +ABS((nba2122_advanced[[#This Row],[TS%]]-$AL$7)/$AL$7)+ABS((nba2122_advanced[[#This Row],[PER]]-$AM$7)/$AM$7)+ABS((nba2122_advanced[[#This Row],[3PAr]]-$AN$7)/$AN$7)+ABS((nba2122_advanced[[#This Row],[FTr]]-$AO$7)/$AO$7)+ABS((nba2122_advanced[[#This Row],[TRB%]]-$AI$10)/$AI$10) +ABS((nba2122_advanced[[#This Row],[AST%]]-$AJ$10)/$AJ$10) +ABS((nba2122_advanced[[#This Row],[STL%]]-$AK$10)/$AK$10)+ABS((nba2122_advanced[[#This Row],[BLK%]]-$AL$10)/$AL$10)+ABS((nba2122_advanced[[#This Row],[TOV%]]-$AM$10)/$AM$10)+ABS((nba2122_advanced[[#This Row],[USG%]]-$AN$10)/$AN$10)</f>
        <v>9.8512477864330972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15B6-6AC9-4D6F-A523-859CF3D7EF48}">
  <dimension ref="A1:AC606"/>
  <sheetViews>
    <sheetView topLeftCell="N1" workbookViewId="0">
      <selection activeCell="Q89" sqref="Q89"/>
    </sheetView>
  </sheetViews>
  <sheetFormatPr defaultRowHeight="14.5" x14ac:dyDescent="0.35"/>
  <cols>
    <col min="1" max="1" width="5.1796875" bestFit="1" customWidth="1"/>
    <col min="2" max="2" width="33.1796875" bestFit="1" customWidth="1"/>
    <col min="3" max="3" width="6.08984375" bestFit="1" customWidth="1"/>
    <col min="4" max="4" width="6.1796875" bestFit="1" customWidth="1"/>
    <col min="5" max="5" width="5.7265625" bestFit="1" customWidth="1"/>
    <col min="6" max="6" width="4.36328125" bestFit="1" customWidth="1"/>
    <col min="7" max="7" width="5.90625" bestFit="1" customWidth="1"/>
    <col min="8" max="8" width="6.26953125" bestFit="1" customWidth="1"/>
    <col min="9" max="9" width="6.453125" bestFit="1" customWidth="1"/>
    <col min="10" max="10" width="7.08984375" bestFit="1" customWidth="1"/>
    <col min="11" max="11" width="5.81640625" bestFit="1" customWidth="1"/>
    <col min="12" max="12" width="8.08984375" bestFit="1" customWidth="1"/>
    <col min="13" max="13" width="8" bestFit="1" customWidth="1"/>
    <col min="14" max="14" width="7.7265625" bestFit="1" customWidth="1"/>
    <col min="15" max="15" width="7.6328125" bestFit="1" customWidth="1"/>
    <col min="16" max="16" width="7.26953125" bestFit="1" customWidth="1"/>
    <col min="17" max="17" width="7.54296875" bestFit="1" customWidth="1"/>
    <col min="18" max="18" width="8.08984375" bestFit="1" customWidth="1"/>
    <col min="19" max="19" width="8" bestFit="1" customWidth="1"/>
    <col min="20" max="20" width="10.54296875" bestFit="1" customWidth="1"/>
    <col min="21" max="21" width="7.1796875" bestFit="1" customWidth="1"/>
    <col min="22" max="22" width="7.08984375" bestFit="1" customWidth="1"/>
    <col min="23" max="23" width="5.81640625" bestFit="1" customWidth="1"/>
    <col min="24" max="24" width="8.6328125" bestFit="1" customWidth="1"/>
    <col min="25" max="25" width="5.08984375" bestFit="1" customWidth="1"/>
    <col min="26" max="26" width="8.36328125" bestFit="1" customWidth="1"/>
    <col min="27" max="27" width="8.26953125" bestFit="1" customWidth="1"/>
    <col min="28" max="28" width="7" bestFit="1" customWidth="1"/>
    <col min="29" max="29" width="7.81640625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686</v>
      </c>
      <c r="I1" t="s">
        <v>687</v>
      </c>
      <c r="J1" t="s">
        <v>688</v>
      </c>
      <c r="K1" t="s">
        <v>689</v>
      </c>
      <c r="L1" t="s">
        <v>690</v>
      </c>
      <c r="M1" t="s">
        <v>691</v>
      </c>
      <c r="N1" t="s">
        <v>692</v>
      </c>
      <c r="O1" t="s">
        <v>693</v>
      </c>
      <c r="P1" t="s">
        <v>694</v>
      </c>
      <c r="Q1" t="s">
        <v>695</v>
      </c>
      <c r="R1" t="s">
        <v>696</v>
      </c>
      <c r="S1" t="s">
        <v>697</v>
      </c>
      <c r="T1" t="s">
        <v>682</v>
      </c>
      <c r="U1" t="s">
        <v>698</v>
      </c>
      <c r="V1" t="s">
        <v>699</v>
      </c>
      <c r="W1" t="s">
        <v>700</v>
      </c>
      <c r="X1" t="s">
        <v>701</v>
      </c>
      <c r="Y1" t="s">
        <v>702</v>
      </c>
      <c r="Z1" t="s">
        <v>703</v>
      </c>
      <c r="AA1" t="s">
        <v>704</v>
      </c>
      <c r="AB1" t="s">
        <v>705</v>
      </c>
      <c r="AC1" t="s">
        <v>706</v>
      </c>
    </row>
    <row r="2" spans="1:29" x14ac:dyDescent="0.35">
      <c r="A2">
        <v>1</v>
      </c>
      <c r="B2" s="1" t="s">
        <v>30</v>
      </c>
      <c r="C2" s="1" t="s">
        <v>31</v>
      </c>
      <c r="D2">
        <v>22</v>
      </c>
      <c r="E2" s="1" t="s">
        <v>32</v>
      </c>
      <c r="F2">
        <v>73</v>
      </c>
      <c r="G2">
        <v>1725</v>
      </c>
      <c r="H2">
        <v>12.7</v>
      </c>
      <c r="I2">
        <v>0.503</v>
      </c>
      <c r="J2">
        <v>0.25900000000000001</v>
      </c>
      <c r="K2">
        <v>0.217</v>
      </c>
      <c r="L2">
        <v>8.6999999999999993</v>
      </c>
      <c r="M2">
        <v>21.7</v>
      </c>
      <c r="N2">
        <v>14.9</v>
      </c>
      <c r="O2">
        <v>6.9</v>
      </c>
      <c r="P2">
        <v>1.1000000000000001</v>
      </c>
      <c r="Q2">
        <v>2.2999999999999998</v>
      </c>
      <c r="R2">
        <v>11.3</v>
      </c>
      <c r="S2">
        <v>18.5</v>
      </c>
      <c r="T2" s="1" t="s">
        <v>707</v>
      </c>
      <c r="U2">
        <v>0.4</v>
      </c>
      <c r="V2">
        <v>2.1</v>
      </c>
      <c r="W2">
        <v>2.5</v>
      </c>
      <c r="X2">
        <v>7.0000000000000007E-2</v>
      </c>
      <c r="Y2" s="1" t="s">
        <v>707</v>
      </c>
      <c r="Z2">
        <v>-2</v>
      </c>
      <c r="AA2">
        <v>-0.6</v>
      </c>
      <c r="AB2">
        <v>-2.6</v>
      </c>
      <c r="AC2">
        <v>-0.2</v>
      </c>
    </row>
    <row r="3" spans="1:29" x14ac:dyDescent="0.35">
      <c r="A3">
        <v>2</v>
      </c>
      <c r="B3" s="1" t="s">
        <v>33</v>
      </c>
      <c r="C3" s="1" t="s">
        <v>31</v>
      </c>
      <c r="D3">
        <v>28</v>
      </c>
      <c r="E3" s="1" t="s">
        <v>34</v>
      </c>
      <c r="F3">
        <v>76</v>
      </c>
      <c r="G3">
        <v>1999</v>
      </c>
      <c r="H3">
        <v>17.600000000000001</v>
      </c>
      <c r="I3">
        <v>0.56000000000000005</v>
      </c>
      <c r="J3">
        <v>3.0000000000000001E-3</v>
      </c>
      <c r="K3">
        <v>0.51800000000000002</v>
      </c>
      <c r="L3">
        <v>17.899999999999999</v>
      </c>
      <c r="M3">
        <v>22</v>
      </c>
      <c r="N3">
        <v>19.899999999999999</v>
      </c>
      <c r="O3">
        <v>16.100000000000001</v>
      </c>
      <c r="P3">
        <v>1.6</v>
      </c>
      <c r="Q3">
        <v>2.7</v>
      </c>
      <c r="R3">
        <v>19.600000000000001</v>
      </c>
      <c r="S3">
        <v>12</v>
      </c>
      <c r="T3" s="1" t="s">
        <v>707</v>
      </c>
      <c r="U3">
        <v>3.8</v>
      </c>
      <c r="V3">
        <v>3</v>
      </c>
      <c r="W3">
        <v>6.8</v>
      </c>
      <c r="X3">
        <v>0.16300000000000001</v>
      </c>
      <c r="Y3" s="1" t="s">
        <v>707</v>
      </c>
      <c r="Z3">
        <v>1</v>
      </c>
      <c r="AA3">
        <v>1</v>
      </c>
      <c r="AB3">
        <v>2</v>
      </c>
      <c r="AC3">
        <v>2</v>
      </c>
    </row>
    <row r="4" spans="1:29" x14ac:dyDescent="0.35">
      <c r="A4">
        <v>3</v>
      </c>
      <c r="B4" s="1" t="s">
        <v>35</v>
      </c>
      <c r="C4" s="1" t="s">
        <v>31</v>
      </c>
      <c r="D4">
        <v>24</v>
      </c>
      <c r="E4" s="1" t="s">
        <v>36</v>
      </c>
      <c r="F4">
        <v>56</v>
      </c>
      <c r="G4">
        <v>1825</v>
      </c>
      <c r="H4">
        <v>21.8</v>
      </c>
      <c r="I4">
        <v>0.60799999999999998</v>
      </c>
      <c r="J4">
        <v>8.0000000000000002E-3</v>
      </c>
      <c r="K4">
        <v>0.46600000000000003</v>
      </c>
      <c r="L4">
        <v>8.6999999999999993</v>
      </c>
      <c r="M4">
        <v>26.1</v>
      </c>
      <c r="N4">
        <v>17.5</v>
      </c>
      <c r="O4">
        <v>17.5</v>
      </c>
      <c r="P4">
        <v>2.2000000000000002</v>
      </c>
      <c r="Q4">
        <v>2.6</v>
      </c>
      <c r="R4">
        <v>14.4</v>
      </c>
      <c r="S4">
        <v>25</v>
      </c>
      <c r="T4" s="1" t="s">
        <v>707</v>
      </c>
      <c r="U4">
        <v>3.6</v>
      </c>
      <c r="V4">
        <v>3.5</v>
      </c>
      <c r="W4">
        <v>7.2</v>
      </c>
      <c r="X4">
        <v>0.188</v>
      </c>
      <c r="Y4" s="1" t="s">
        <v>707</v>
      </c>
      <c r="Z4">
        <v>1.7</v>
      </c>
      <c r="AA4">
        <v>2.1</v>
      </c>
      <c r="AB4">
        <v>3.8</v>
      </c>
      <c r="AC4">
        <v>2.7</v>
      </c>
    </row>
    <row r="5" spans="1:29" x14ac:dyDescent="0.35">
      <c r="A5">
        <v>4</v>
      </c>
      <c r="B5" s="1" t="s">
        <v>37</v>
      </c>
      <c r="C5" s="1" t="s">
        <v>28</v>
      </c>
      <c r="D5">
        <v>21</v>
      </c>
      <c r="E5" s="1" t="s">
        <v>34</v>
      </c>
      <c r="F5">
        <v>32</v>
      </c>
      <c r="G5">
        <v>360</v>
      </c>
      <c r="H5">
        <v>10.199999999999999</v>
      </c>
      <c r="I5">
        <v>0.45200000000000001</v>
      </c>
      <c r="J5">
        <v>0.36399999999999999</v>
      </c>
      <c r="K5">
        <v>0.24199999999999999</v>
      </c>
      <c r="L5">
        <v>9.4</v>
      </c>
      <c r="M5">
        <v>16.100000000000001</v>
      </c>
      <c r="N5">
        <v>12.6</v>
      </c>
      <c r="O5">
        <v>7.7</v>
      </c>
      <c r="P5">
        <v>0.8</v>
      </c>
      <c r="Q5">
        <v>2.5</v>
      </c>
      <c r="R5">
        <v>9.9</v>
      </c>
      <c r="S5">
        <v>18.399999999999999</v>
      </c>
      <c r="T5" s="1" t="s">
        <v>707</v>
      </c>
      <c r="U5">
        <v>-0.1</v>
      </c>
      <c r="V5">
        <v>0.4</v>
      </c>
      <c r="W5">
        <v>0.3</v>
      </c>
      <c r="X5">
        <v>4.3999999999999997E-2</v>
      </c>
      <c r="Y5" s="1" t="s">
        <v>707</v>
      </c>
      <c r="Z5">
        <v>-4.2</v>
      </c>
      <c r="AA5">
        <v>-1.5</v>
      </c>
      <c r="AB5">
        <v>-5.7</v>
      </c>
      <c r="AC5">
        <v>-0.3</v>
      </c>
    </row>
    <row r="6" spans="1:29" x14ac:dyDescent="0.35">
      <c r="A6">
        <v>5</v>
      </c>
      <c r="B6" s="1" t="s">
        <v>38</v>
      </c>
      <c r="C6" s="1" t="s">
        <v>31</v>
      </c>
      <c r="D6">
        <v>36</v>
      </c>
      <c r="E6" s="1" t="s">
        <v>39</v>
      </c>
      <c r="F6">
        <v>47</v>
      </c>
      <c r="G6">
        <v>1050</v>
      </c>
      <c r="H6">
        <v>19.600000000000001</v>
      </c>
      <c r="I6">
        <v>0.60399999999999998</v>
      </c>
      <c r="J6">
        <v>0.1</v>
      </c>
      <c r="K6">
        <v>0.223</v>
      </c>
      <c r="L6">
        <v>7.8</v>
      </c>
      <c r="M6">
        <v>18.7</v>
      </c>
      <c r="N6">
        <v>13.4</v>
      </c>
      <c r="O6">
        <v>6.3</v>
      </c>
      <c r="P6">
        <v>0.6</v>
      </c>
      <c r="Q6">
        <v>4</v>
      </c>
      <c r="R6">
        <v>8</v>
      </c>
      <c r="S6">
        <v>22.4</v>
      </c>
      <c r="T6" s="1" t="s">
        <v>707</v>
      </c>
      <c r="U6">
        <v>2.1</v>
      </c>
      <c r="V6">
        <v>1</v>
      </c>
      <c r="W6">
        <v>3.1</v>
      </c>
      <c r="X6">
        <v>0.14099999999999999</v>
      </c>
      <c r="Y6" s="1" t="s">
        <v>707</v>
      </c>
      <c r="Z6">
        <v>1.3</v>
      </c>
      <c r="AA6">
        <v>-0.6</v>
      </c>
      <c r="AB6">
        <v>0.7</v>
      </c>
      <c r="AC6">
        <v>0.7</v>
      </c>
    </row>
    <row r="7" spans="1:29" x14ac:dyDescent="0.35">
      <c r="A7">
        <v>6</v>
      </c>
      <c r="B7" s="1" t="s">
        <v>40</v>
      </c>
      <c r="C7" s="1" t="s">
        <v>41</v>
      </c>
      <c r="D7">
        <v>23</v>
      </c>
      <c r="E7" s="1" t="s">
        <v>42</v>
      </c>
      <c r="F7">
        <v>65</v>
      </c>
      <c r="G7">
        <v>1466</v>
      </c>
      <c r="H7">
        <v>10.5</v>
      </c>
      <c r="I7">
        <v>0.47499999999999998</v>
      </c>
      <c r="J7">
        <v>0.497</v>
      </c>
      <c r="K7">
        <v>0.16</v>
      </c>
      <c r="L7">
        <v>2.7</v>
      </c>
      <c r="M7">
        <v>11.5</v>
      </c>
      <c r="N7">
        <v>7.1</v>
      </c>
      <c r="O7">
        <v>16.100000000000001</v>
      </c>
      <c r="P7">
        <v>1.5</v>
      </c>
      <c r="Q7">
        <v>1.5</v>
      </c>
      <c r="R7">
        <v>11.3</v>
      </c>
      <c r="S7">
        <v>24.1</v>
      </c>
      <c r="T7" s="1" t="s">
        <v>707</v>
      </c>
      <c r="U7">
        <v>-1.1000000000000001</v>
      </c>
      <c r="V7">
        <v>1.1000000000000001</v>
      </c>
      <c r="W7">
        <v>0.1</v>
      </c>
      <c r="X7">
        <v>3.0000000000000001E-3</v>
      </c>
      <c r="Y7" s="1" t="s">
        <v>707</v>
      </c>
      <c r="Z7">
        <v>-1.8</v>
      </c>
      <c r="AA7">
        <v>-1.1000000000000001</v>
      </c>
      <c r="AB7">
        <v>-2.9</v>
      </c>
      <c r="AC7">
        <v>-0.3</v>
      </c>
    </row>
    <row r="8" spans="1:29" x14ac:dyDescent="0.35">
      <c r="A8">
        <v>7</v>
      </c>
      <c r="B8" s="1" t="s">
        <v>43</v>
      </c>
      <c r="C8" s="1" t="s">
        <v>41</v>
      </c>
      <c r="D8">
        <v>26</v>
      </c>
      <c r="E8" s="1" t="s">
        <v>44</v>
      </c>
      <c r="F8">
        <v>66</v>
      </c>
      <c r="G8">
        <v>1805</v>
      </c>
      <c r="H8">
        <v>12.7</v>
      </c>
      <c r="I8">
        <v>0.60899999999999999</v>
      </c>
      <c r="J8">
        <v>0.68400000000000005</v>
      </c>
      <c r="K8">
        <v>0.13</v>
      </c>
      <c r="L8">
        <v>1.9</v>
      </c>
      <c r="M8">
        <v>10.9</v>
      </c>
      <c r="N8">
        <v>6.5</v>
      </c>
      <c r="O8">
        <v>7.6</v>
      </c>
      <c r="P8">
        <v>1.2</v>
      </c>
      <c r="Q8">
        <v>1</v>
      </c>
      <c r="R8">
        <v>6.7</v>
      </c>
      <c r="S8">
        <v>15.2</v>
      </c>
      <c r="T8" s="1" t="s">
        <v>707</v>
      </c>
      <c r="U8">
        <v>2.8</v>
      </c>
      <c r="V8">
        <v>1.4</v>
      </c>
      <c r="W8">
        <v>4.2</v>
      </c>
      <c r="X8">
        <v>0.11</v>
      </c>
      <c r="Y8" s="1" t="s">
        <v>707</v>
      </c>
      <c r="Z8">
        <v>0.6</v>
      </c>
      <c r="AA8">
        <v>-0.2</v>
      </c>
      <c r="AB8">
        <v>0.5</v>
      </c>
      <c r="AC8">
        <v>1.1000000000000001</v>
      </c>
    </row>
    <row r="9" spans="1:29" x14ac:dyDescent="0.35">
      <c r="A9">
        <v>8</v>
      </c>
      <c r="B9" s="1" t="s">
        <v>45</v>
      </c>
      <c r="C9" s="1" t="s">
        <v>31</v>
      </c>
      <c r="D9">
        <v>23</v>
      </c>
      <c r="E9" s="1" t="s">
        <v>46</v>
      </c>
      <c r="F9">
        <v>56</v>
      </c>
      <c r="G9">
        <v>1809</v>
      </c>
      <c r="H9">
        <v>23</v>
      </c>
      <c r="I9">
        <v>0.69799999999999995</v>
      </c>
      <c r="J9">
        <v>1.7999999999999999E-2</v>
      </c>
      <c r="K9">
        <v>0.42799999999999999</v>
      </c>
      <c r="L9">
        <v>12</v>
      </c>
      <c r="M9">
        <v>24.5</v>
      </c>
      <c r="N9">
        <v>18.399999999999999</v>
      </c>
      <c r="O9">
        <v>8.1999999999999993</v>
      </c>
      <c r="P9">
        <v>1.2</v>
      </c>
      <c r="Q9">
        <v>3.7</v>
      </c>
      <c r="R9">
        <v>12.7</v>
      </c>
      <c r="S9">
        <v>18.100000000000001</v>
      </c>
      <c r="T9" s="1" t="s">
        <v>707</v>
      </c>
      <c r="U9">
        <v>5.4</v>
      </c>
      <c r="V9">
        <v>3</v>
      </c>
      <c r="W9">
        <v>8.5</v>
      </c>
      <c r="X9">
        <v>0.22500000000000001</v>
      </c>
      <c r="Y9" s="1" t="s">
        <v>707</v>
      </c>
      <c r="Z9">
        <v>2.7</v>
      </c>
      <c r="AA9">
        <v>1.2</v>
      </c>
      <c r="AB9">
        <v>3.9</v>
      </c>
      <c r="AC9">
        <v>2.7</v>
      </c>
    </row>
    <row r="10" spans="1:29" x14ac:dyDescent="0.35">
      <c r="A10">
        <v>9</v>
      </c>
      <c r="B10" s="1" t="s">
        <v>47</v>
      </c>
      <c r="C10" s="1" t="s">
        <v>48</v>
      </c>
      <c r="D10">
        <v>23</v>
      </c>
      <c r="E10" s="1" t="s">
        <v>49</v>
      </c>
      <c r="F10">
        <v>54</v>
      </c>
      <c r="G10">
        <v>834</v>
      </c>
      <c r="H10">
        <v>16.399999999999999</v>
      </c>
      <c r="I10">
        <v>0.52</v>
      </c>
      <c r="J10">
        <v>0.374</v>
      </c>
      <c r="K10">
        <v>0.18</v>
      </c>
      <c r="L10">
        <v>3.2</v>
      </c>
      <c r="M10">
        <v>10.199999999999999</v>
      </c>
      <c r="N10">
        <v>6.6</v>
      </c>
      <c r="O10">
        <v>26.9</v>
      </c>
      <c r="P10">
        <v>4.2</v>
      </c>
      <c r="Q10">
        <v>0.8</v>
      </c>
      <c r="R10">
        <v>11.2</v>
      </c>
      <c r="S10">
        <v>18.399999999999999</v>
      </c>
      <c r="T10" s="1" t="s">
        <v>707</v>
      </c>
      <c r="U10">
        <v>1</v>
      </c>
      <c r="V10">
        <v>1.1000000000000001</v>
      </c>
      <c r="W10">
        <v>2.1</v>
      </c>
      <c r="X10">
        <v>0.121</v>
      </c>
      <c r="Y10" s="1" t="s">
        <v>707</v>
      </c>
      <c r="Z10">
        <v>-0.5</v>
      </c>
      <c r="AA10">
        <v>2.4</v>
      </c>
      <c r="AB10">
        <v>1.9</v>
      </c>
      <c r="AC10">
        <v>0.8</v>
      </c>
    </row>
    <row r="11" spans="1:29" x14ac:dyDescent="0.35">
      <c r="A11">
        <v>10</v>
      </c>
      <c r="B11" s="1" t="s">
        <v>50</v>
      </c>
      <c r="C11" s="1" t="s">
        <v>51</v>
      </c>
      <c r="D11">
        <v>28</v>
      </c>
      <c r="E11" s="1" t="s">
        <v>42</v>
      </c>
      <c r="F11">
        <v>16</v>
      </c>
      <c r="G11">
        <v>316</v>
      </c>
      <c r="H11">
        <v>10.4</v>
      </c>
      <c r="I11">
        <v>0.49299999999999999</v>
      </c>
      <c r="J11">
        <v>0.621</v>
      </c>
      <c r="K11">
        <v>0.2</v>
      </c>
      <c r="L11">
        <v>1.4</v>
      </c>
      <c r="M11">
        <v>15</v>
      </c>
      <c r="N11">
        <v>8.1</v>
      </c>
      <c r="O11">
        <v>14.2</v>
      </c>
      <c r="P11">
        <v>1.2</v>
      </c>
      <c r="Q11">
        <v>1.7</v>
      </c>
      <c r="R11">
        <v>7.2</v>
      </c>
      <c r="S11">
        <v>15.1</v>
      </c>
      <c r="T11" s="1" t="s">
        <v>707</v>
      </c>
      <c r="U11">
        <v>0.2</v>
      </c>
      <c r="V11">
        <v>0.2</v>
      </c>
      <c r="W11">
        <v>0.4</v>
      </c>
      <c r="X11">
        <v>5.3999999999999999E-2</v>
      </c>
      <c r="Y11" s="1" t="s">
        <v>707</v>
      </c>
      <c r="Z11">
        <v>-1.9</v>
      </c>
      <c r="AA11">
        <v>-1.3</v>
      </c>
      <c r="AB11">
        <v>-3.2</v>
      </c>
      <c r="AC11">
        <v>-0.1</v>
      </c>
    </row>
    <row r="12" spans="1:29" x14ac:dyDescent="0.35">
      <c r="A12">
        <v>11</v>
      </c>
      <c r="B12" s="1" t="s">
        <v>52</v>
      </c>
      <c r="C12" s="1" t="s">
        <v>28</v>
      </c>
      <c r="D12">
        <v>28</v>
      </c>
      <c r="E12" s="1" t="s">
        <v>34</v>
      </c>
      <c r="F12">
        <v>69</v>
      </c>
      <c r="G12">
        <v>1484</v>
      </c>
      <c r="H12">
        <v>14.4</v>
      </c>
      <c r="I12">
        <v>0.50600000000000001</v>
      </c>
      <c r="J12">
        <v>0.23200000000000001</v>
      </c>
      <c r="K12">
        <v>0.224</v>
      </c>
      <c r="L12">
        <v>4.8</v>
      </c>
      <c r="M12">
        <v>21.6</v>
      </c>
      <c r="N12">
        <v>13</v>
      </c>
      <c r="O12">
        <v>16.2</v>
      </c>
      <c r="P12">
        <v>2.5</v>
      </c>
      <c r="Q12">
        <v>2.7</v>
      </c>
      <c r="R12">
        <v>12.1</v>
      </c>
      <c r="S12">
        <v>16.2</v>
      </c>
      <c r="T12" s="1" t="s">
        <v>707</v>
      </c>
      <c r="U12">
        <v>1</v>
      </c>
      <c r="V12">
        <v>2.5</v>
      </c>
      <c r="W12">
        <v>3.5</v>
      </c>
      <c r="X12">
        <v>0.113</v>
      </c>
      <c r="Y12" s="1" t="s">
        <v>707</v>
      </c>
      <c r="Z12">
        <v>-0.9</v>
      </c>
      <c r="AA12">
        <v>2.1</v>
      </c>
      <c r="AB12">
        <v>1.2</v>
      </c>
      <c r="AC12">
        <v>1.2</v>
      </c>
    </row>
    <row r="13" spans="1:29" x14ac:dyDescent="0.35">
      <c r="A13">
        <v>12</v>
      </c>
      <c r="B13" s="1" t="s">
        <v>53</v>
      </c>
      <c r="C13" s="1" t="s">
        <v>28</v>
      </c>
      <c r="D13">
        <v>27</v>
      </c>
      <c r="E13" s="1" t="s">
        <v>44</v>
      </c>
      <c r="F13">
        <v>67</v>
      </c>
      <c r="G13">
        <v>2204</v>
      </c>
      <c r="H13">
        <v>32.1</v>
      </c>
      <c r="I13">
        <v>0.63300000000000001</v>
      </c>
      <c r="J13">
        <v>0.19400000000000001</v>
      </c>
      <c r="K13">
        <v>0.61499999999999999</v>
      </c>
      <c r="L13">
        <v>6.6</v>
      </c>
      <c r="M13">
        <v>30.4</v>
      </c>
      <c r="N13">
        <v>18.7</v>
      </c>
      <c r="O13">
        <v>31.7</v>
      </c>
      <c r="P13">
        <v>1.6</v>
      </c>
      <c r="Q13">
        <v>4</v>
      </c>
      <c r="R13">
        <v>12.2</v>
      </c>
      <c r="S13">
        <v>34.9</v>
      </c>
      <c r="T13" s="1" t="s">
        <v>707</v>
      </c>
      <c r="U13">
        <v>9.1999999999999993</v>
      </c>
      <c r="V13">
        <v>3.7</v>
      </c>
      <c r="W13">
        <v>12.9</v>
      </c>
      <c r="X13">
        <v>0.28100000000000003</v>
      </c>
      <c r="Y13" s="1" t="s">
        <v>707</v>
      </c>
      <c r="Z13">
        <v>7.6</v>
      </c>
      <c r="AA13">
        <v>3.5</v>
      </c>
      <c r="AB13">
        <v>11.2</v>
      </c>
      <c r="AC13">
        <v>7.4</v>
      </c>
    </row>
    <row r="14" spans="1:29" x14ac:dyDescent="0.35">
      <c r="A14">
        <v>13</v>
      </c>
      <c r="B14" s="1" t="s">
        <v>54</v>
      </c>
      <c r="C14" s="1" t="s">
        <v>51</v>
      </c>
      <c r="D14">
        <v>29</v>
      </c>
      <c r="E14" s="1" t="s">
        <v>44</v>
      </c>
      <c r="F14">
        <v>48</v>
      </c>
      <c r="G14">
        <v>473</v>
      </c>
      <c r="H14">
        <v>12.5</v>
      </c>
      <c r="I14">
        <v>0.57699999999999996</v>
      </c>
      <c r="J14">
        <v>0.109</v>
      </c>
      <c r="K14">
        <v>0.35899999999999999</v>
      </c>
      <c r="L14">
        <v>9.1999999999999993</v>
      </c>
      <c r="M14">
        <v>13.4</v>
      </c>
      <c r="N14">
        <v>11.3</v>
      </c>
      <c r="O14">
        <v>6.5</v>
      </c>
      <c r="P14">
        <v>1.6</v>
      </c>
      <c r="Q14">
        <v>2.4</v>
      </c>
      <c r="R14">
        <v>14.9</v>
      </c>
      <c r="S14">
        <v>15.7</v>
      </c>
      <c r="T14" s="1" t="s">
        <v>707</v>
      </c>
      <c r="U14">
        <v>0.4</v>
      </c>
      <c r="V14">
        <v>0.5</v>
      </c>
      <c r="W14">
        <v>0.9</v>
      </c>
      <c r="X14">
        <v>9.5000000000000001E-2</v>
      </c>
      <c r="Y14" s="1" t="s">
        <v>707</v>
      </c>
      <c r="Z14">
        <v>-3.5</v>
      </c>
      <c r="AA14">
        <v>-0.1</v>
      </c>
      <c r="AB14">
        <v>-3.5</v>
      </c>
      <c r="AC14">
        <v>-0.2</v>
      </c>
    </row>
    <row r="15" spans="1:29" x14ac:dyDescent="0.35">
      <c r="A15">
        <v>14</v>
      </c>
      <c r="B15" s="1" t="s">
        <v>55</v>
      </c>
      <c r="C15" s="1" t="s">
        <v>28</v>
      </c>
      <c r="D15">
        <v>37</v>
      </c>
      <c r="E15" s="1" t="s">
        <v>56</v>
      </c>
      <c r="F15">
        <v>69</v>
      </c>
      <c r="G15">
        <v>1793</v>
      </c>
      <c r="H15">
        <v>14.8</v>
      </c>
      <c r="I15">
        <v>0.57899999999999996</v>
      </c>
      <c r="J15">
        <v>0.54900000000000004</v>
      </c>
      <c r="K15">
        <v>0.22</v>
      </c>
      <c r="L15">
        <v>3.7</v>
      </c>
      <c r="M15">
        <v>13.5</v>
      </c>
      <c r="N15">
        <v>8.6</v>
      </c>
      <c r="O15">
        <v>5.6</v>
      </c>
      <c r="P15">
        <v>1.3</v>
      </c>
      <c r="Q15">
        <v>2.6</v>
      </c>
      <c r="R15">
        <v>6.9</v>
      </c>
      <c r="S15">
        <v>20.399999999999999</v>
      </c>
      <c r="T15" s="1" t="s">
        <v>707</v>
      </c>
      <c r="U15">
        <v>2.2000000000000002</v>
      </c>
      <c r="V15">
        <v>1.4</v>
      </c>
      <c r="W15">
        <v>3.6</v>
      </c>
      <c r="X15">
        <v>9.7000000000000003E-2</v>
      </c>
      <c r="Y15" s="1" t="s">
        <v>707</v>
      </c>
      <c r="Z15">
        <v>0.4</v>
      </c>
      <c r="AA15">
        <v>-0.8</v>
      </c>
      <c r="AB15">
        <v>-0.5</v>
      </c>
      <c r="AC15">
        <v>0.7</v>
      </c>
    </row>
    <row r="16" spans="1:29" x14ac:dyDescent="0.35">
      <c r="A16">
        <v>15</v>
      </c>
      <c r="B16" s="1" t="s">
        <v>57</v>
      </c>
      <c r="C16" s="1" t="s">
        <v>48</v>
      </c>
      <c r="D16">
        <v>21</v>
      </c>
      <c r="E16" s="1" t="s">
        <v>58</v>
      </c>
      <c r="F16">
        <v>65</v>
      </c>
      <c r="G16">
        <v>2059</v>
      </c>
      <c r="H16">
        <v>13.5</v>
      </c>
      <c r="I16">
        <v>0.51900000000000002</v>
      </c>
      <c r="J16">
        <v>0.42899999999999999</v>
      </c>
      <c r="K16">
        <v>0.27700000000000002</v>
      </c>
      <c r="L16">
        <v>1.6</v>
      </c>
      <c r="M16">
        <v>16.2</v>
      </c>
      <c r="N16">
        <v>8.9</v>
      </c>
      <c r="O16">
        <v>28.9</v>
      </c>
      <c r="P16">
        <v>1.1000000000000001</v>
      </c>
      <c r="Q16">
        <v>0.8</v>
      </c>
      <c r="R16">
        <v>14.2</v>
      </c>
      <c r="S16">
        <v>25.1</v>
      </c>
      <c r="T16" s="1" t="s">
        <v>707</v>
      </c>
      <c r="U16">
        <v>-0.1</v>
      </c>
      <c r="V16">
        <v>1.7</v>
      </c>
      <c r="W16">
        <v>1.6</v>
      </c>
      <c r="X16">
        <v>3.7999999999999999E-2</v>
      </c>
      <c r="Y16" s="1" t="s">
        <v>707</v>
      </c>
      <c r="Z16">
        <v>-0.6</v>
      </c>
      <c r="AA16">
        <v>-0.6</v>
      </c>
      <c r="AB16">
        <v>-1.2</v>
      </c>
      <c r="AC16">
        <v>0.4</v>
      </c>
    </row>
    <row r="17" spans="1:29" x14ac:dyDescent="0.35">
      <c r="A17">
        <v>16</v>
      </c>
      <c r="B17" s="1" t="s">
        <v>59</v>
      </c>
      <c r="C17" s="1" t="s">
        <v>51</v>
      </c>
      <c r="D17">
        <v>24</v>
      </c>
      <c r="E17" s="1" t="s">
        <v>32</v>
      </c>
      <c r="F17">
        <v>48</v>
      </c>
      <c r="G17">
        <v>1728</v>
      </c>
      <c r="H17">
        <v>14.8</v>
      </c>
      <c r="I17">
        <v>0.54900000000000004</v>
      </c>
      <c r="J17">
        <v>0.45500000000000002</v>
      </c>
      <c r="K17">
        <v>0.16900000000000001</v>
      </c>
      <c r="L17">
        <v>4.4000000000000004</v>
      </c>
      <c r="M17">
        <v>12.6</v>
      </c>
      <c r="N17">
        <v>8.3000000000000007</v>
      </c>
      <c r="O17">
        <v>11</v>
      </c>
      <c r="P17">
        <v>2.1</v>
      </c>
      <c r="Q17">
        <v>1.4</v>
      </c>
      <c r="R17">
        <v>9.6999999999999993</v>
      </c>
      <c r="S17">
        <v>20.5</v>
      </c>
      <c r="T17" s="1" t="s">
        <v>707</v>
      </c>
      <c r="U17">
        <v>1.8</v>
      </c>
      <c r="V17">
        <v>1.9</v>
      </c>
      <c r="W17">
        <v>3.7</v>
      </c>
      <c r="X17">
        <v>0.104</v>
      </c>
      <c r="Y17" s="1" t="s">
        <v>707</v>
      </c>
      <c r="Z17">
        <v>0.4</v>
      </c>
      <c r="AA17">
        <v>0.1</v>
      </c>
      <c r="AB17">
        <v>0.5</v>
      </c>
      <c r="AC17">
        <v>1.1000000000000001</v>
      </c>
    </row>
    <row r="18" spans="1:29" x14ac:dyDescent="0.35">
      <c r="A18">
        <v>17</v>
      </c>
      <c r="B18" s="1" t="s">
        <v>60</v>
      </c>
      <c r="C18" s="1" t="s">
        <v>48</v>
      </c>
      <c r="D18">
        <v>27</v>
      </c>
      <c r="E18" s="1" t="s">
        <v>61</v>
      </c>
      <c r="F18">
        <v>10</v>
      </c>
      <c r="G18">
        <v>76</v>
      </c>
      <c r="H18">
        <v>6.1</v>
      </c>
      <c r="I18">
        <v>0.66700000000000004</v>
      </c>
      <c r="J18">
        <v>0.75</v>
      </c>
      <c r="K18">
        <v>0</v>
      </c>
      <c r="L18">
        <v>0</v>
      </c>
      <c r="M18">
        <v>11.5</v>
      </c>
      <c r="N18">
        <v>5.7</v>
      </c>
      <c r="O18">
        <v>7.5</v>
      </c>
      <c r="P18">
        <v>0.7</v>
      </c>
      <c r="Q18">
        <v>0</v>
      </c>
      <c r="R18">
        <v>20</v>
      </c>
      <c r="S18">
        <v>8.6</v>
      </c>
      <c r="T18" s="1" t="s">
        <v>707</v>
      </c>
      <c r="U18">
        <v>0</v>
      </c>
      <c r="V18">
        <v>0.1</v>
      </c>
      <c r="W18">
        <v>0.1</v>
      </c>
      <c r="X18">
        <v>5.1999999999999998E-2</v>
      </c>
      <c r="Y18" s="1" t="s">
        <v>707</v>
      </c>
      <c r="Z18">
        <v>-4.5999999999999996</v>
      </c>
      <c r="AA18">
        <v>0</v>
      </c>
      <c r="AB18">
        <v>-4.5999999999999996</v>
      </c>
      <c r="AC18">
        <v>-0.1</v>
      </c>
    </row>
    <row r="19" spans="1:29" x14ac:dyDescent="0.35">
      <c r="A19">
        <v>18</v>
      </c>
      <c r="B19" s="1" t="s">
        <v>62</v>
      </c>
      <c r="C19" s="1" t="s">
        <v>51</v>
      </c>
      <c r="D19">
        <v>36</v>
      </c>
      <c r="E19" s="1" t="s">
        <v>56</v>
      </c>
      <c r="F19">
        <v>24</v>
      </c>
      <c r="G19">
        <v>462</v>
      </c>
      <c r="H19">
        <v>7</v>
      </c>
      <c r="I19">
        <v>0.44900000000000001</v>
      </c>
      <c r="J19">
        <v>0.747</v>
      </c>
      <c r="K19">
        <v>0.182</v>
      </c>
      <c r="L19">
        <v>2.2999999999999998</v>
      </c>
      <c r="M19">
        <v>16.7</v>
      </c>
      <c r="N19">
        <v>9.5</v>
      </c>
      <c r="O19">
        <v>7.5</v>
      </c>
      <c r="P19">
        <v>1.3</v>
      </c>
      <c r="Q19">
        <v>1.2</v>
      </c>
      <c r="R19">
        <v>9.3000000000000007</v>
      </c>
      <c r="S19">
        <v>11</v>
      </c>
      <c r="T19" s="1" t="s">
        <v>707</v>
      </c>
      <c r="U19">
        <v>-0.2</v>
      </c>
      <c r="V19">
        <v>0.4</v>
      </c>
      <c r="W19">
        <v>0.2</v>
      </c>
      <c r="X19">
        <v>0.02</v>
      </c>
      <c r="Y19" s="1" t="s">
        <v>707</v>
      </c>
      <c r="Z19">
        <v>-3.3</v>
      </c>
      <c r="AA19">
        <v>-0.2</v>
      </c>
      <c r="AB19">
        <v>-3.4</v>
      </c>
      <c r="AC19">
        <v>-0.2</v>
      </c>
    </row>
    <row r="20" spans="1:29" x14ac:dyDescent="0.35">
      <c r="A20">
        <v>19</v>
      </c>
      <c r="B20" s="1" t="s">
        <v>63</v>
      </c>
      <c r="C20" s="1" t="s">
        <v>48</v>
      </c>
      <c r="D20">
        <v>34</v>
      </c>
      <c r="E20" s="1" t="s">
        <v>42</v>
      </c>
      <c r="F20">
        <v>55</v>
      </c>
      <c r="G20">
        <v>883</v>
      </c>
      <c r="H20">
        <v>9.6999999999999993</v>
      </c>
      <c r="I20">
        <v>0.61</v>
      </c>
      <c r="J20">
        <v>0.73899999999999999</v>
      </c>
      <c r="K20">
        <v>0.19400000000000001</v>
      </c>
      <c r="L20">
        <v>1.4</v>
      </c>
      <c r="M20">
        <v>7</v>
      </c>
      <c r="N20">
        <v>4.2</v>
      </c>
      <c r="O20">
        <v>16.8</v>
      </c>
      <c r="P20">
        <v>0.9</v>
      </c>
      <c r="Q20">
        <v>0.1</v>
      </c>
      <c r="R20">
        <v>18.899999999999999</v>
      </c>
      <c r="S20">
        <v>14.3</v>
      </c>
      <c r="T20" s="1" t="s">
        <v>707</v>
      </c>
      <c r="U20">
        <v>0.7</v>
      </c>
      <c r="V20">
        <v>0.1</v>
      </c>
      <c r="W20">
        <v>0.8</v>
      </c>
      <c r="X20">
        <v>4.2999999999999997E-2</v>
      </c>
      <c r="Y20" s="1" t="s">
        <v>707</v>
      </c>
      <c r="Z20">
        <v>-1.2</v>
      </c>
      <c r="AA20">
        <v>-2.4</v>
      </c>
      <c r="AB20">
        <v>-3.6</v>
      </c>
      <c r="AC20">
        <v>-0.4</v>
      </c>
    </row>
    <row r="21" spans="1:29" x14ac:dyDescent="0.35">
      <c r="A21">
        <v>20</v>
      </c>
      <c r="B21" s="1" t="s">
        <v>64</v>
      </c>
      <c r="C21" s="1" t="s">
        <v>51</v>
      </c>
      <c r="D21">
        <v>21</v>
      </c>
      <c r="E21" s="1" t="s">
        <v>65</v>
      </c>
      <c r="F21">
        <v>82</v>
      </c>
      <c r="G21">
        <v>1984</v>
      </c>
      <c r="H21">
        <v>11.6</v>
      </c>
      <c r="I21">
        <v>0.53600000000000003</v>
      </c>
      <c r="J21">
        <v>0.44700000000000001</v>
      </c>
      <c r="K21">
        <v>0.23499999999999999</v>
      </c>
      <c r="L21">
        <v>3</v>
      </c>
      <c r="M21">
        <v>20.5</v>
      </c>
      <c r="N21">
        <v>11.9</v>
      </c>
      <c r="O21">
        <v>11.8</v>
      </c>
      <c r="P21">
        <v>1.5</v>
      </c>
      <c r="Q21">
        <v>1.9</v>
      </c>
      <c r="R21">
        <v>12</v>
      </c>
      <c r="S21">
        <v>16.3</v>
      </c>
      <c r="T21" s="1" t="s">
        <v>707</v>
      </c>
      <c r="U21">
        <v>0.6</v>
      </c>
      <c r="V21">
        <v>1.8</v>
      </c>
      <c r="W21">
        <v>2.4</v>
      </c>
      <c r="X21">
        <v>5.8000000000000003E-2</v>
      </c>
      <c r="Y21" s="1" t="s">
        <v>707</v>
      </c>
      <c r="Z21">
        <v>-2.1</v>
      </c>
      <c r="AA21">
        <v>0.4</v>
      </c>
      <c r="AB21">
        <v>-1.7</v>
      </c>
      <c r="AC21">
        <v>0.1</v>
      </c>
    </row>
    <row r="22" spans="1:29" x14ac:dyDescent="0.35">
      <c r="A22">
        <v>21</v>
      </c>
      <c r="B22" s="1" t="s">
        <v>66</v>
      </c>
      <c r="C22" s="1" t="s">
        <v>41</v>
      </c>
      <c r="D22">
        <v>21</v>
      </c>
      <c r="E22" s="1" t="s">
        <v>65</v>
      </c>
      <c r="F22">
        <v>7</v>
      </c>
      <c r="G22">
        <v>20</v>
      </c>
      <c r="H22">
        <v>3.4</v>
      </c>
      <c r="I22">
        <v>0.16700000000000001</v>
      </c>
      <c r="J22">
        <v>0.16700000000000001</v>
      </c>
      <c r="K22">
        <v>0</v>
      </c>
      <c r="L22">
        <v>5.6</v>
      </c>
      <c r="M22">
        <v>10.9</v>
      </c>
      <c r="N22">
        <v>8.3000000000000007</v>
      </c>
      <c r="O22">
        <v>25.4</v>
      </c>
      <c r="P22">
        <v>0</v>
      </c>
      <c r="Q22">
        <v>0</v>
      </c>
      <c r="R22">
        <v>0</v>
      </c>
      <c r="S22">
        <v>13.3</v>
      </c>
      <c r="T22" s="1" t="s">
        <v>707</v>
      </c>
      <c r="U22">
        <v>0</v>
      </c>
      <c r="V22">
        <v>0</v>
      </c>
      <c r="W22">
        <v>0</v>
      </c>
      <c r="X22">
        <v>-9.8000000000000004E-2</v>
      </c>
      <c r="Y22" s="1" t="s">
        <v>707</v>
      </c>
      <c r="Z22">
        <v>-4.3</v>
      </c>
      <c r="AA22">
        <v>-1.7</v>
      </c>
      <c r="AB22">
        <v>-6</v>
      </c>
      <c r="AC22">
        <v>0</v>
      </c>
    </row>
    <row r="23" spans="1:29" x14ac:dyDescent="0.35">
      <c r="A23">
        <v>22</v>
      </c>
      <c r="B23" s="1" t="s">
        <v>67</v>
      </c>
      <c r="C23" s="1" t="s">
        <v>31</v>
      </c>
      <c r="D23">
        <v>23</v>
      </c>
      <c r="E23" s="1" t="s">
        <v>68</v>
      </c>
      <c r="F23">
        <v>58</v>
      </c>
      <c r="G23">
        <v>1713</v>
      </c>
      <c r="H23">
        <v>21.9</v>
      </c>
      <c r="I23">
        <v>0.65600000000000003</v>
      </c>
      <c r="J23">
        <v>2.7E-2</v>
      </c>
      <c r="K23">
        <v>0.20399999999999999</v>
      </c>
      <c r="L23">
        <v>9.6</v>
      </c>
      <c r="M23">
        <v>27.1</v>
      </c>
      <c r="N23">
        <v>18.600000000000001</v>
      </c>
      <c r="O23">
        <v>7.6</v>
      </c>
      <c r="P23">
        <v>1.1000000000000001</v>
      </c>
      <c r="Q23">
        <v>2.1</v>
      </c>
      <c r="R23">
        <v>10.7</v>
      </c>
      <c r="S23">
        <v>21.4</v>
      </c>
      <c r="T23" s="1" t="s">
        <v>707</v>
      </c>
      <c r="U23">
        <v>4.0999999999999996</v>
      </c>
      <c r="V23">
        <v>3.1</v>
      </c>
      <c r="W23">
        <v>7.3</v>
      </c>
      <c r="X23">
        <v>0.20300000000000001</v>
      </c>
      <c r="Y23" s="1" t="s">
        <v>707</v>
      </c>
      <c r="Z23">
        <v>2.2000000000000002</v>
      </c>
      <c r="AA23">
        <v>0.6</v>
      </c>
      <c r="AB23">
        <v>2.8</v>
      </c>
      <c r="AC23">
        <v>2.1</v>
      </c>
    </row>
    <row r="24" spans="1:29" x14ac:dyDescent="0.35">
      <c r="A24">
        <v>23</v>
      </c>
      <c r="B24" s="1" t="s">
        <v>69</v>
      </c>
      <c r="C24" s="1" t="s">
        <v>31</v>
      </c>
      <c r="D24">
        <v>22</v>
      </c>
      <c r="E24" s="1" t="s">
        <v>70</v>
      </c>
      <c r="F24">
        <v>17</v>
      </c>
      <c r="G24">
        <v>195</v>
      </c>
      <c r="H24">
        <v>17.600000000000001</v>
      </c>
      <c r="I24">
        <v>0.74299999999999999</v>
      </c>
      <c r="J24">
        <v>0</v>
      </c>
      <c r="K24">
        <v>0.224</v>
      </c>
      <c r="L24">
        <v>10.5</v>
      </c>
      <c r="M24">
        <v>28.8</v>
      </c>
      <c r="N24">
        <v>19.899999999999999</v>
      </c>
      <c r="O24">
        <v>0</v>
      </c>
      <c r="P24">
        <v>0.3</v>
      </c>
      <c r="Q24">
        <v>5</v>
      </c>
      <c r="R24">
        <v>18.2</v>
      </c>
      <c r="S24">
        <v>14.7</v>
      </c>
      <c r="T24" s="1" t="s">
        <v>707</v>
      </c>
      <c r="U24">
        <v>0.3</v>
      </c>
      <c r="V24">
        <v>0.3</v>
      </c>
      <c r="W24">
        <v>0.6</v>
      </c>
      <c r="X24">
        <v>0.157</v>
      </c>
      <c r="Y24" s="1" t="s">
        <v>707</v>
      </c>
      <c r="Z24">
        <v>-1.8</v>
      </c>
      <c r="AA24">
        <v>0.4</v>
      </c>
      <c r="AB24">
        <v>-1.4</v>
      </c>
      <c r="AC24">
        <v>0</v>
      </c>
    </row>
    <row r="25" spans="1:29" x14ac:dyDescent="0.35">
      <c r="A25">
        <v>24</v>
      </c>
      <c r="B25" s="1" t="s">
        <v>71</v>
      </c>
      <c r="C25" s="1" t="s">
        <v>28</v>
      </c>
      <c r="D25">
        <v>22</v>
      </c>
      <c r="E25" s="1" t="s">
        <v>42</v>
      </c>
      <c r="F25">
        <v>48</v>
      </c>
      <c r="G25">
        <v>1146</v>
      </c>
      <c r="H25">
        <v>15.7</v>
      </c>
      <c r="I25">
        <v>0.55100000000000005</v>
      </c>
      <c r="J25">
        <v>0.217</v>
      </c>
      <c r="K25">
        <v>0.22600000000000001</v>
      </c>
      <c r="L25">
        <v>9.6999999999999993</v>
      </c>
      <c r="M25">
        <v>22.6</v>
      </c>
      <c r="N25">
        <v>16</v>
      </c>
      <c r="O25">
        <v>5.2</v>
      </c>
      <c r="P25">
        <v>0.9</v>
      </c>
      <c r="Q25">
        <v>1.4</v>
      </c>
      <c r="R25">
        <v>7.4</v>
      </c>
      <c r="S25">
        <v>19.8</v>
      </c>
      <c r="T25" s="1" t="s">
        <v>707</v>
      </c>
      <c r="U25">
        <v>1.2</v>
      </c>
      <c r="V25">
        <v>0.9</v>
      </c>
      <c r="W25">
        <v>2</v>
      </c>
      <c r="X25">
        <v>8.5000000000000006E-2</v>
      </c>
      <c r="Y25" s="1" t="s">
        <v>707</v>
      </c>
      <c r="Z25">
        <v>-0.5</v>
      </c>
      <c r="AA25">
        <v>-1.8</v>
      </c>
      <c r="AB25">
        <v>-2.2999999999999998</v>
      </c>
      <c r="AC25">
        <v>-0.1</v>
      </c>
    </row>
    <row r="26" spans="1:29" x14ac:dyDescent="0.35">
      <c r="A26">
        <v>25</v>
      </c>
      <c r="B26" s="1" t="s">
        <v>72</v>
      </c>
      <c r="C26" s="1" t="s">
        <v>48</v>
      </c>
      <c r="D26">
        <v>20</v>
      </c>
      <c r="E26" s="1" t="s">
        <v>73</v>
      </c>
      <c r="F26">
        <v>75</v>
      </c>
      <c r="G26">
        <v>2422</v>
      </c>
      <c r="H26">
        <v>19.7</v>
      </c>
      <c r="I26">
        <v>0.55400000000000005</v>
      </c>
      <c r="J26">
        <v>0.45100000000000001</v>
      </c>
      <c r="K26">
        <v>0.19400000000000001</v>
      </c>
      <c r="L26">
        <v>4.7</v>
      </c>
      <c r="M26">
        <v>17.399999999999999</v>
      </c>
      <c r="N26">
        <v>11</v>
      </c>
      <c r="O26">
        <v>35.700000000000003</v>
      </c>
      <c r="P26">
        <v>2.4</v>
      </c>
      <c r="Q26">
        <v>1.2</v>
      </c>
      <c r="R26">
        <v>15.3</v>
      </c>
      <c r="S26">
        <v>28.2</v>
      </c>
      <c r="T26" s="1" t="s">
        <v>707</v>
      </c>
      <c r="U26">
        <v>3.4</v>
      </c>
      <c r="V26">
        <v>2.5</v>
      </c>
      <c r="W26">
        <v>5.8</v>
      </c>
      <c r="X26">
        <v>0.11600000000000001</v>
      </c>
      <c r="Y26" s="1" t="s">
        <v>707</v>
      </c>
      <c r="Z26">
        <v>3.3</v>
      </c>
      <c r="AA26">
        <v>0.2</v>
      </c>
      <c r="AB26">
        <v>3.4</v>
      </c>
      <c r="AC26">
        <v>3.3</v>
      </c>
    </row>
    <row r="27" spans="1:29" x14ac:dyDescent="0.35">
      <c r="A27">
        <v>26</v>
      </c>
      <c r="B27" s="1" t="s">
        <v>74</v>
      </c>
      <c r="C27" s="1" t="s">
        <v>48</v>
      </c>
      <c r="D27">
        <v>24</v>
      </c>
      <c r="E27" s="1" t="s">
        <v>75</v>
      </c>
      <c r="F27">
        <v>35</v>
      </c>
      <c r="G27">
        <v>1212</v>
      </c>
      <c r="H27">
        <v>14.5</v>
      </c>
      <c r="I27">
        <v>0.57499999999999996</v>
      </c>
      <c r="J27">
        <v>0.67900000000000005</v>
      </c>
      <c r="K27">
        <v>7.2999999999999995E-2</v>
      </c>
      <c r="L27">
        <v>3.3</v>
      </c>
      <c r="M27">
        <v>14.3</v>
      </c>
      <c r="N27">
        <v>8.8000000000000007</v>
      </c>
      <c r="O27">
        <v>20</v>
      </c>
      <c r="P27">
        <v>2.6</v>
      </c>
      <c r="Q27">
        <v>2.2000000000000002</v>
      </c>
      <c r="R27">
        <v>17.2</v>
      </c>
      <c r="S27">
        <v>17.399999999999999</v>
      </c>
      <c r="T27" s="1" t="s">
        <v>707</v>
      </c>
      <c r="U27">
        <v>0.8</v>
      </c>
      <c r="V27">
        <v>1.4</v>
      </c>
      <c r="W27">
        <v>2.2000000000000002</v>
      </c>
      <c r="X27">
        <v>8.7999999999999995E-2</v>
      </c>
      <c r="Y27" s="1" t="s">
        <v>707</v>
      </c>
      <c r="Z27">
        <v>0.9</v>
      </c>
      <c r="AA27">
        <v>1.6</v>
      </c>
      <c r="AB27">
        <v>2.5</v>
      </c>
      <c r="AC27">
        <v>1.4</v>
      </c>
    </row>
    <row r="28" spans="1:29" x14ac:dyDescent="0.35">
      <c r="A28">
        <v>27</v>
      </c>
      <c r="B28" s="1" t="s">
        <v>76</v>
      </c>
      <c r="C28" s="1" t="s">
        <v>31</v>
      </c>
      <c r="D28">
        <v>23</v>
      </c>
      <c r="E28" s="1" t="s">
        <v>58</v>
      </c>
      <c r="F28">
        <v>71</v>
      </c>
      <c r="G28">
        <v>1824</v>
      </c>
      <c r="H28">
        <v>16.5</v>
      </c>
      <c r="I28">
        <v>0.58199999999999996</v>
      </c>
      <c r="J28">
        <v>0.45500000000000002</v>
      </c>
      <c r="K28">
        <v>0.11799999999999999</v>
      </c>
      <c r="L28">
        <v>8.5</v>
      </c>
      <c r="M28">
        <v>24.6</v>
      </c>
      <c r="N28">
        <v>16.5</v>
      </c>
      <c r="O28">
        <v>7.4</v>
      </c>
      <c r="P28">
        <v>1</v>
      </c>
      <c r="Q28">
        <v>5.9</v>
      </c>
      <c r="R28">
        <v>10.6</v>
      </c>
      <c r="S28">
        <v>17.2</v>
      </c>
      <c r="T28" s="1" t="s">
        <v>707</v>
      </c>
      <c r="U28">
        <v>1.8</v>
      </c>
      <c r="V28">
        <v>2.7</v>
      </c>
      <c r="W28">
        <v>4.5</v>
      </c>
      <c r="X28">
        <v>0.11799999999999999</v>
      </c>
      <c r="Y28" s="1" t="s">
        <v>707</v>
      </c>
      <c r="Z28">
        <v>-0.2</v>
      </c>
      <c r="AA28">
        <v>0.9</v>
      </c>
      <c r="AB28">
        <v>0.7</v>
      </c>
      <c r="AC28">
        <v>1.2</v>
      </c>
    </row>
    <row r="29" spans="1:29" x14ac:dyDescent="0.35">
      <c r="A29">
        <v>28</v>
      </c>
      <c r="B29" s="1" t="s">
        <v>77</v>
      </c>
      <c r="C29" s="1" t="s">
        <v>51</v>
      </c>
      <c r="D29">
        <v>23</v>
      </c>
      <c r="E29" s="1" t="s">
        <v>34</v>
      </c>
      <c r="F29">
        <v>76</v>
      </c>
      <c r="G29">
        <v>2266</v>
      </c>
      <c r="H29">
        <v>17.600000000000001</v>
      </c>
      <c r="I29">
        <v>0.59199999999999997</v>
      </c>
      <c r="J29">
        <v>0.47499999999999998</v>
      </c>
      <c r="K29">
        <v>0.14099999999999999</v>
      </c>
      <c r="L29">
        <v>2.1</v>
      </c>
      <c r="M29">
        <v>13.6</v>
      </c>
      <c r="N29">
        <v>7.7</v>
      </c>
      <c r="O29">
        <v>13.5</v>
      </c>
      <c r="P29">
        <v>1.9</v>
      </c>
      <c r="Q29">
        <v>1.1000000000000001</v>
      </c>
      <c r="R29">
        <v>8.6999999999999993</v>
      </c>
      <c r="S29">
        <v>23.1</v>
      </c>
      <c r="T29" s="1" t="s">
        <v>707</v>
      </c>
      <c r="U29">
        <v>4.5</v>
      </c>
      <c r="V29">
        <v>2.7</v>
      </c>
      <c r="W29">
        <v>7.2</v>
      </c>
      <c r="X29">
        <v>0.153</v>
      </c>
      <c r="Y29" s="1" t="s">
        <v>707</v>
      </c>
      <c r="Z29">
        <v>2.5</v>
      </c>
      <c r="AA29">
        <v>0.3</v>
      </c>
      <c r="AB29">
        <v>2.7</v>
      </c>
      <c r="AC29">
        <v>2.7</v>
      </c>
    </row>
    <row r="30" spans="1:29" x14ac:dyDescent="0.35">
      <c r="A30">
        <v>29</v>
      </c>
      <c r="B30" s="1" t="s">
        <v>78</v>
      </c>
      <c r="C30" s="1" t="s">
        <v>48</v>
      </c>
      <c r="D30">
        <v>22</v>
      </c>
      <c r="E30" s="1" t="s">
        <v>32</v>
      </c>
      <c r="F30">
        <v>64</v>
      </c>
      <c r="G30">
        <v>696</v>
      </c>
      <c r="H30">
        <v>10</v>
      </c>
      <c r="I30">
        <v>0.46300000000000002</v>
      </c>
      <c r="J30">
        <v>0.252</v>
      </c>
      <c r="K30">
        <v>0.218</v>
      </c>
      <c r="L30">
        <v>5.6</v>
      </c>
      <c r="M30">
        <v>14.1</v>
      </c>
      <c r="N30">
        <v>9.6999999999999993</v>
      </c>
      <c r="O30">
        <v>19.8</v>
      </c>
      <c r="P30">
        <v>2</v>
      </c>
      <c r="Q30">
        <v>1.4</v>
      </c>
      <c r="R30">
        <v>19.3</v>
      </c>
      <c r="S30">
        <v>16.899999999999999</v>
      </c>
      <c r="T30" s="1" t="s">
        <v>707</v>
      </c>
      <c r="U30">
        <v>-0.4</v>
      </c>
      <c r="V30">
        <v>0.8</v>
      </c>
      <c r="W30">
        <v>0.4</v>
      </c>
      <c r="X30">
        <v>0.03</v>
      </c>
      <c r="Y30" s="1" t="s">
        <v>707</v>
      </c>
      <c r="Z30">
        <v>-3.5</v>
      </c>
      <c r="AA30">
        <v>0.4</v>
      </c>
      <c r="AB30">
        <v>-3.1</v>
      </c>
      <c r="AC30">
        <v>-0.2</v>
      </c>
    </row>
    <row r="31" spans="1:29" x14ac:dyDescent="0.35">
      <c r="A31">
        <v>30</v>
      </c>
      <c r="B31" s="1" t="s">
        <v>79</v>
      </c>
      <c r="C31" s="1" t="s">
        <v>48</v>
      </c>
      <c r="D31">
        <v>27</v>
      </c>
      <c r="E31" s="1" t="s">
        <v>80</v>
      </c>
      <c r="F31">
        <v>3</v>
      </c>
      <c r="G31">
        <v>13</v>
      </c>
      <c r="H31">
        <v>-11.2</v>
      </c>
      <c r="I31">
        <v>0</v>
      </c>
      <c r="J31">
        <v>0</v>
      </c>
      <c r="K31">
        <v>1</v>
      </c>
      <c r="L31">
        <v>8.5</v>
      </c>
      <c r="M31">
        <v>16.7</v>
      </c>
      <c r="N31">
        <v>12.6</v>
      </c>
      <c r="O31">
        <v>26.7</v>
      </c>
      <c r="P31">
        <v>0</v>
      </c>
      <c r="Q31">
        <v>0</v>
      </c>
      <c r="R31">
        <v>14.8</v>
      </c>
      <c r="S31">
        <v>22.7</v>
      </c>
      <c r="T31" s="1" t="s">
        <v>707</v>
      </c>
      <c r="U31">
        <v>-0.1</v>
      </c>
      <c r="V31">
        <v>0</v>
      </c>
      <c r="W31">
        <v>-0.1</v>
      </c>
      <c r="X31">
        <v>-0.45</v>
      </c>
      <c r="Y31" s="1" t="s">
        <v>707</v>
      </c>
      <c r="Z31">
        <v>-15.8</v>
      </c>
      <c r="AA31">
        <v>-7.6</v>
      </c>
      <c r="AB31">
        <v>-23.5</v>
      </c>
      <c r="AC31">
        <v>-0.1</v>
      </c>
    </row>
    <row r="32" spans="1:29" x14ac:dyDescent="0.35">
      <c r="A32">
        <v>31</v>
      </c>
      <c r="B32" s="1" t="s">
        <v>81</v>
      </c>
      <c r="C32" s="1" t="s">
        <v>28</v>
      </c>
      <c r="D32">
        <v>29</v>
      </c>
      <c r="E32" s="1" t="s">
        <v>82</v>
      </c>
      <c r="F32">
        <v>77</v>
      </c>
      <c r="G32">
        <v>2587</v>
      </c>
      <c r="H32">
        <v>15.7</v>
      </c>
      <c r="I32">
        <v>0.623</v>
      </c>
      <c r="J32">
        <v>0.432</v>
      </c>
      <c r="K32">
        <v>0.495</v>
      </c>
      <c r="L32">
        <v>3.4</v>
      </c>
      <c r="M32">
        <v>14.9</v>
      </c>
      <c r="N32">
        <v>9.1</v>
      </c>
      <c r="O32">
        <v>10.5</v>
      </c>
      <c r="P32">
        <v>1</v>
      </c>
      <c r="Q32">
        <v>0.5</v>
      </c>
      <c r="R32">
        <v>10.4</v>
      </c>
      <c r="S32">
        <v>18.8</v>
      </c>
      <c r="T32" s="1" t="s">
        <v>707</v>
      </c>
      <c r="U32">
        <v>5</v>
      </c>
      <c r="V32">
        <v>1</v>
      </c>
      <c r="W32">
        <v>6</v>
      </c>
      <c r="X32">
        <v>0.112</v>
      </c>
      <c r="Y32" s="1" t="s">
        <v>707</v>
      </c>
      <c r="Z32">
        <v>1.5</v>
      </c>
      <c r="AA32">
        <v>-1.3</v>
      </c>
      <c r="AB32">
        <v>0.2</v>
      </c>
      <c r="AC32">
        <v>1.4</v>
      </c>
    </row>
    <row r="33" spans="1:29" x14ac:dyDescent="0.35">
      <c r="A33">
        <v>32</v>
      </c>
      <c r="B33" s="1" t="s">
        <v>83</v>
      </c>
      <c r="C33" s="1" t="s">
        <v>28</v>
      </c>
      <c r="D33">
        <v>20</v>
      </c>
      <c r="E33" s="1" t="s">
        <v>32</v>
      </c>
      <c r="F33">
        <v>74</v>
      </c>
      <c r="G33">
        <v>2617</v>
      </c>
      <c r="H33">
        <v>16.3</v>
      </c>
      <c r="I33">
        <v>0.55200000000000005</v>
      </c>
      <c r="J33">
        <v>0.20699999999999999</v>
      </c>
      <c r="K33">
        <v>0.23100000000000001</v>
      </c>
      <c r="L33">
        <v>7.7</v>
      </c>
      <c r="M33">
        <v>15.8</v>
      </c>
      <c r="N33">
        <v>11.5</v>
      </c>
      <c r="O33">
        <v>14.7</v>
      </c>
      <c r="P33">
        <v>1.5</v>
      </c>
      <c r="Q33">
        <v>2.1</v>
      </c>
      <c r="R33">
        <v>11.7</v>
      </c>
      <c r="S33">
        <v>19</v>
      </c>
      <c r="T33" s="1" t="s">
        <v>707</v>
      </c>
      <c r="U33">
        <v>3.7</v>
      </c>
      <c r="V33">
        <v>2.9</v>
      </c>
      <c r="W33">
        <v>6.6</v>
      </c>
      <c r="X33">
        <v>0.122</v>
      </c>
      <c r="Y33" s="1" t="s">
        <v>707</v>
      </c>
      <c r="Z33">
        <v>0.5</v>
      </c>
      <c r="AA33">
        <v>0.4</v>
      </c>
      <c r="AB33">
        <v>0.9</v>
      </c>
      <c r="AC33">
        <v>1.9</v>
      </c>
    </row>
    <row r="34" spans="1:29" x14ac:dyDescent="0.35">
      <c r="A34">
        <v>33</v>
      </c>
      <c r="B34" s="1" t="s">
        <v>84</v>
      </c>
      <c r="C34" s="1" t="s">
        <v>51</v>
      </c>
      <c r="D34">
        <v>21</v>
      </c>
      <c r="E34" s="1" t="s">
        <v>61</v>
      </c>
      <c r="F34">
        <v>70</v>
      </c>
      <c r="G34">
        <v>2417</v>
      </c>
      <c r="H34">
        <v>13.7</v>
      </c>
      <c r="I34">
        <v>0.51100000000000001</v>
      </c>
      <c r="J34">
        <v>0.33800000000000002</v>
      </c>
      <c r="K34">
        <v>0.34</v>
      </c>
      <c r="L34">
        <v>2.9</v>
      </c>
      <c r="M34">
        <v>15.5</v>
      </c>
      <c r="N34">
        <v>9.1</v>
      </c>
      <c r="O34">
        <v>14.9</v>
      </c>
      <c r="P34">
        <v>0.9</v>
      </c>
      <c r="Q34">
        <v>0.7</v>
      </c>
      <c r="R34">
        <v>9.9</v>
      </c>
      <c r="S34">
        <v>27.6</v>
      </c>
      <c r="T34" s="1" t="s">
        <v>707</v>
      </c>
      <c r="U34">
        <v>0.1</v>
      </c>
      <c r="V34">
        <v>2.2000000000000002</v>
      </c>
      <c r="W34">
        <v>2.2999999999999998</v>
      </c>
      <c r="X34">
        <v>4.5999999999999999E-2</v>
      </c>
      <c r="Y34" s="1" t="s">
        <v>707</v>
      </c>
      <c r="Z34">
        <v>-0.3</v>
      </c>
      <c r="AA34">
        <v>-1.3</v>
      </c>
      <c r="AB34">
        <v>-1.6</v>
      </c>
      <c r="AC34">
        <v>0.2</v>
      </c>
    </row>
    <row r="35" spans="1:29" x14ac:dyDescent="0.35">
      <c r="A35">
        <v>34</v>
      </c>
      <c r="B35" s="1" t="s">
        <v>85</v>
      </c>
      <c r="C35" s="1" t="s">
        <v>41</v>
      </c>
      <c r="D35">
        <v>31</v>
      </c>
      <c r="E35" s="1" t="s">
        <v>86</v>
      </c>
      <c r="F35">
        <v>71</v>
      </c>
      <c r="G35">
        <v>2277</v>
      </c>
      <c r="H35">
        <v>13.4</v>
      </c>
      <c r="I35">
        <v>0.54800000000000004</v>
      </c>
      <c r="J35">
        <v>0.48</v>
      </c>
      <c r="K35">
        <v>0.14199999999999999</v>
      </c>
      <c r="L35">
        <v>2.2000000000000002</v>
      </c>
      <c r="M35">
        <v>14.1</v>
      </c>
      <c r="N35">
        <v>8.3000000000000007</v>
      </c>
      <c r="O35">
        <v>17.600000000000001</v>
      </c>
      <c r="P35">
        <v>1.2</v>
      </c>
      <c r="Q35">
        <v>1.2</v>
      </c>
      <c r="R35">
        <v>11.8</v>
      </c>
      <c r="S35">
        <v>20.8</v>
      </c>
      <c r="T35" s="1" t="s">
        <v>707</v>
      </c>
      <c r="U35">
        <v>1.2</v>
      </c>
      <c r="V35">
        <v>1.9</v>
      </c>
      <c r="W35">
        <v>3.2</v>
      </c>
      <c r="X35">
        <v>6.7000000000000004E-2</v>
      </c>
      <c r="Y35" s="1" t="s">
        <v>707</v>
      </c>
      <c r="Z35">
        <v>0.4</v>
      </c>
      <c r="AA35">
        <v>-0.9</v>
      </c>
      <c r="AB35">
        <v>-0.5</v>
      </c>
      <c r="AC35">
        <v>0.9</v>
      </c>
    </row>
    <row r="36" spans="1:29" x14ac:dyDescent="0.35">
      <c r="A36">
        <v>35</v>
      </c>
      <c r="B36" s="1" t="s">
        <v>87</v>
      </c>
      <c r="C36" s="1" t="s">
        <v>51</v>
      </c>
      <c r="D36">
        <v>26</v>
      </c>
      <c r="E36" s="1" t="s">
        <v>68</v>
      </c>
      <c r="F36">
        <v>2</v>
      </c>
      <c r="G36">
        <v>7</v>
      </c>
      <c r="H36">
        <v>13.9</v>
      </c>
      <c r="I36">
        <v>0.436</v>
      </c>
      <c r="J36">
        <v>0.33300000000000002</v>
      </c>
      <c r="K36">
        <v>0.33300000000000002</v>
      </c>
      <c r="L36">
        <v>31.5</v>
      </c>
      <c r="M36">
        <v>29.9</v>
      </c>
      <c r="N36">
        <v>30.6</v>
      </c>
      <c r="O36">
        <v>0</v>
      </c>
      <c r="P36">
        <v>6.9</v>
      </c>
      <c r="Q36">
        <v>0</v>
      </c>
      <c r="R36">
        <v>22.5</v>
      </c>
      <c r="S36">
        <v>54.6</v>
      </c>
      <c r="T36" s="1" t="s">
        <v>707</v>
      </c>
      <c r="U36">
        <v>0</v>
      </c>
      <c r="V36">
        <v>0</v>
      </c>
      <c r="W36">
        <v>0</v>
      </c>
      <c r="X36">
        <v>-0.17</v>
      </c>
      <c r="Y36" s="1" t="s">
        <v>707</v>
      </c>
      <c r="Z36">
        <v>-11.2</v>
      </c>
      <c r="AA36">
        <v>-1.2</v>
      </c>
      <c r="AB36">
        <v>-12.4</v>
      </c>
      <c r="AC36">
        <v>0</v>
      </c>
    </row>
    <row r="37" spans="1:29" x14ac:dyDescent="0.35">
      <c r="A37">
        <v>36</v>
      </c>
      <c r="B37" s="1" t="s">
        <v>88</v>
      </c>
      <c r="C37" s="1" t="s">
        <v>28</v>
      </c>
      <c r="D37">
        <v>21</v>
      </c>
      <c r="E37" s="1" t="s">
        <v>89</v>
      </c>
      <c r="F37">
        <v>23</v>
      </c>
      <c r="G37">
        <v>168</v>
      </c>
      <c r="H37">
        <v>21.5</v>
      </c>
      <c r="I37">
        <v>0.66</v>
      </c>
      <c r="J37">
        <v>8.5000000000000006E-2</v>
      </c>
      <c r="K37">
        <v>0.255</v>
      </c>
      <c r="L37">
        <v>14.9</v>
      </c>
      <c r="M37">
        <v>26.1</v>
      </c>
      <c r="N37">
        <v>20.6</v>
      </c>
      <c r="O37">
        <v>6.5</v>
      </c>
      <c r="P37">
        <v>1.5</v>
      </c>
      <c r="Q37">
        <v>9.1</v>
      </c>
      <c r="R37">
        <v>13.3</v>
      </c>
      <c r="S37">
        <v>16.100000000000001</v>
      </c>
      <c r="T37" s="1" t="s">
        <v>707</v>
      </c>
      <c r="U37">
        <v>0.4</v>
      </c>
      <c r="V37">
        <v>0.3</v>
      </c>
      <c r="W37">
        <v>0.8</v>
      </c>
      <c r="X37">
        <v>0.22</v>
      </c>
      <c r="Y37" s="1" t="s">
        <v>707</v>
      </c>
      <c r="Z37">
        <v>-0.3</v>
      </c>
      <c r="AA37">
        <v>2.2000000000000002</v>
      </c>
      <c r="AB37">
        <v>1.9</v>
      </c>
      <c r="AC37">
        <v>0.2</v>
      </c>
    </row>
    <row r="38" spans="1:29" x14ac:dyDescent="0.35">
      <c r="A38">
        <v>37</v>
      </c>
      <c r="B38" s="1" t="s">
        <v>90</v>
      </c>
      <c r="C38" s="1" t="s">
        <v>51</v>
      </c>
      <c r="D38">
        <v>26</v>
      </c>
      <c r="E38" s="1" t="s">
        <v>91</v>
      </c>
      <c r="F38">
        <v>59</v>
      </c>
      <c r="G38">
        <v>956</v>
      </c>
      <c r="H38">
        <v>12.4</v>
      </c>
      <c r="I38">
        <v>0.57799999999999996</v>
      </c>
      <c r="J38">
        <v>0.20899999999999999</v>
      </c>
      <c r="K38">
        <v>0.23200000000000001</v>
      </c>
      <c r="L38">
        <v>6.8</v>
      </c>
      <c r="M38">
        <v>18.7</v>
      </c>
      <c r="N38">
        <v>12.7</v>
      </c>
      <c r="O38">
        <v>5.7</v>
      </c>
      <c r="P38">
        <v>1.4</v>
      </c>
      <c r="Q38">
        <v>1.2</v>
      </c>
      <c r="R38">
        <v>13.4</v>
      </c>
      <c r="S38">
        <v>14.8</v>
      </c>
      <c r="T38" s="1" t="s">
        <v>707</v>
      </c>
      <c r="U38">
        <v>0.6</v>
      </c>
      <c r="V38">
        <v>1</v>
      </c>
      <c r="W38">
        <v>1.6</v>
      </c>
      <c r="X38">
        <v>0.08</v>
      </c>
      <c r="Y38" s="1" t="s">
        <v>707</v>
      </c>
      <c r="Z38">
        <v>-2.1</v>
      </c>
      <c r="AA38">
        <v>-0.5</v>
      </c>
      <c r="AB38">
        <v>-2.6</v>
      </c>
      <c r="AC38">
        <v>-0.1</v>
      </c>
    </row>
    <row r="39" spans="1:29" x14ac:dyDescent="0.35">
      <c r="A39">
        <v>38</v>
      </c>
      <c r="B39" s="1" t="s">
        <v>92</v>
      </c>
      <c r="C39" s="1" t="s">
        <v>28</v>
      </c>
      <c r="D39">
        <v>33</v>
      </c>
      <c r="E39" s="1" t="s">
        <v>93</v>
      </c>
      <c r="F39">
        <v>59</v>
      </c>
      <c r="G39">
        <v>1462</v>
      </c>
      <c r="H39">
        <v>13.5</v>
      </c>
      <c r="I39">
        <v>0.60799999999999998</v>
      </c>
      <c r="J39">
        <v>0.69799999999999995</v>
      </c>
      <c r="K39">
        <v>9.8000000000000004E-2</v>
      </c>
      <c r="L39">
        <v>2.2000000000000002</v>
      </c>
      <c r="M39">
        <v>15.8</v>
      </c>
      <c r="N39">
        <v>9.1999999999999993</v>
      </c>
      <c r="O39">
        <v>9.6999999999999993</v>
      </c>
      <c r="P39">
        <v>1.9</v>
      </c>
      <c r="Q39">
        <v>2.4</v>
      </c>
      <c r="R39">
        <v>9</v>
      </c>
      <c r="S39">
        <v>13.3</v>
      </c>
      <c r="T39" s="1" t="s">
        <v>707</v>
      </c>
      <c r="U39">
        <v>1.6</v>
      </c>
      <c r="V39">
        <v>2.1</v>
      </c>
      <c r="W39">
        <v>3.7</v>
      </c>
      <c r="X39">
        <v>0.123</v>
      </c>
      <c r="Y39" s="1" t="s">
        <v>707</v>
      </c>
      <c r="Z39">
        <v>0.5</v>
      </c>
      <c r="AA39">
        <v>1.8</v>
      </c>
      <c r="AB39">
        <v>2.2999999999999998</v>
      </c>
      <c r="AC39">
        <v>1.6</v>
      </c>
    </row>
    <row r="40" spans="1:29" x14ac:dyDescent="0.35">
      <c r="A40">
        <v>39</v>
      </c>
      <c r="B40" s="1" t="s">
        <v>94</v>
      </c>
      <c r="C40" s="1" t="s">
        <v>51</v>
      </c>
      <c r="D40">
        <v>32</v>
      </c>
      <c r="E40" s="1" t="s">
        <v>56</v>
      </c>
      <c r="F40">
        <v>39</v>
      </c>
      <c r="G40">
        <v>545</v>
      </c>
      <c r="H40">
        <v>6</v>
      </c>
      <c r="I40">
        <v>0.45100000000000001</v>
      </c>
      <c r="J40">
        <v>0.57599999999999996</v>
      </c>
      <c r="K40">
        <v>0.122</v>
      </c>
      <c r="L40">
        <v>2.6</v>
      </c>
      <c r="M40">
        <v>11</v>
      </c>
      <c r="N40">
        <v>6.8</v>
      </c>
      <c r="O40">
        <v>8.1</v>
      </c>
      <c r="P40">
        <v>2.2000000000000002</v>
      </c>
      <c r="Q40">
        <v>1.5</v>
      </c>
      <c r="R40">
        <v>12.5</v>
      </c>
      <c r="S40">
        <v>13.2</v>
      </c>
      <c r="T40" s="1" t="s">
        <v>707</v>
      </c>
      <c r="U40">
        <v>-0.4</v>
      </c>
      <c r="V40">
        <v>0.5</v>
      </c>
      <c r="W40">
        <v>0.1</v>
      </c>
      <c r="X40">
        <v>6.0000000000000001E-3</v>
      </c>
      <c r="Y40" s="1" t="s">
        <v>707</v>
      </c>
      <c r="Z40">
        <v>-5.0999999999999996</v>
      </c>
      <c r="AA40">
        <v>0.8</v>
      </c>
      <c r="AB40">
        <v>-4.3</v>
      </c>
      <c r="AC40">
        <v>-0.3</v>
      </c>
    </row>
    <row r="41" spans="1:29" x14ac:dyDescent="0.35">
      <c r="A41">
        <v>40</v>
      </c>
      <c r="B41" s="1" t="s">
        <v>95</v>
      </c>
      <c r="C41" s="1" t="s">
        <v>28</v>
      </c>
      <c r="D41">
        <v>21</v>
      </c>
      <c r="E41" s="1" t="s">
        <v>96</v>
      </c>
      <c r="F41">
        <v>69</v>
      </c>
      <c r="G41">
        <v>1924</v>
      </c>
      <c r="H41">
        <v>12.6</v>
      </c>
      <c r="I41">
        <v>0.51500000000000001</v>
      </c>
      <c r="J41">
        <v>0.41399999999999998</v>
      </c>
      <c r="K41">
        <v>0.26200000000000001</v>
      </c>
      <c r="L41">
        <v>3.7</v>
      </c>
      <c r="M41">
        <v>19.8</v>
      </c>
      <c r="N41">
        <v>11.6</v>
      </c>
      <c r="O41">
        <v>7.7</v>
      </c>
      <c r="P41">
        <v>1.5</v>
      </c>
      <c r="Q41">
        <v>3.4</v>
      </c>
      <c r="R41">
        <v>11.1</v>
      </c>
      <c r="S41">
        <v>18.3</v>
      </c>
      <c r="T41" s="1" t="s">
        <v>707</v>
      </c>
      <c r="U41">
        <v>-0.5</v>
      </c>
      <c r="V41">
        <v>2.2000000000000002</v>
      </c>
      <c r="W41">
        <v>1.8</v>
      </c>
      <c r="X41">
        <v>4.3999999999999997E-2</v>
      </c>
      <c r="Y41" s="1" t="s">
        <v>707</v>
      </c>
      <c r="Z41">
        <v>-2.1</v>
      </c>
      <c r="AA41">
        <v>0.3</v>
      </c>
      <c r="AB41">
        <v>-1.8</v>
      </c>
      <c r="AC41">
        <v>0.1</v>
      </c>
    </row>
    <row r="42" spans="1:29" x14ac:dyDescent="0.35">
      <c r="A42">
        <v>41</v>
      </c>
      <c r="B42" s="1" t="s">
        <v>97</v>
      </c>
      <c r="C42" s="1" t="s">
        <v>41</v>
      </c>
      <c r="D42">
        <v>28</v>
      </c>
      <c r="E42" s="1" t="s">
        <v>65</v>
      </c>
      <c r="F42">
        <v>40</v>
      </c>
      <c r="G42">
        <v>1439</v>
      </c>
      <c r="H42">
        <v>17.5</v>
      </c>
      <c r="I42">
        <v>0.53900000000000003</v>
      </c>
      <c r="J42">
        <v>0.27200000000000002</v>
      </c>
      <c r="K42">
        <v>0.26300000000000001</v>
      </c>
      <c r="L42">
        <v>3</v>
      </c>
      <c r="M42">
        <v>11.4</v>
      </c>
      <c r="N42">
        <v>7.3</v>
      </c>
      <c r="O42">
        <v>30.8</v>
      </c>
      <c r="P42">
        <v>1.2</v>
      </c>
      <c r="Q42">
        <v>0.9</v>
      </c>
      <c r="R42">
        <v>13.6</v>
      </c>
      <c r="S42">
        <v>30.8</v>
      </c>
      <c r="T42" s="1" t="s">
        <v>707</v>
      </c>
      <c r="U42">
        <v>0.6</v>
      </c>
      <c r="V42">
        <v>0.7</v>
      </c>
      <c r="W42">
        <v>1.4</v>
      </c>
      <c r="X42">
        <v>4.5999999999999999E-2</v>
      </c>
      <c r="Y42" s="1" t="s">
        <v>707</v>
      </c>
      <c r="Z42">
        <v>2</v>
      </c>
      <c r="AA42">
        <v>-1.2</v>
      </c>
      <c r="AB42">
        <v>0.8</v>
      </c>
      <c r="AC42">
        <v>1</v>
      </c>
    </row>
    <row r="43" spans="1:29" x14ac:dyDescent="0.35">
      <c r="A43">
        <v>42</v>
      </c>
      <c r="B43" s="1" t="s">
        <v>98</v>
      </c>
      <c r="C43" s="1" t="s">
        <v>41</v>
      </c>
      <c r="D43">
        <v>25</v>
      </c>
      <c r="E43" s="1" t="s">
        <v>99</v>
      </c>
      <c r="F43">
        <v>79</v>
      </c>
      <c r="G43">
        <v>1976</v>
      </c>
      <c r="H43">
        <v>11.9</v>
      </c>
      <c r="I43">
        <v>0.54400000000000004</v>
      </c>
      <c r="J43">
        <v>0.749</v>
      </c>
      <c r="K43">
        <v>7.0999999999999994E-2</v>
      </c>
      <c r="L43">
        <v>1.4</v>
      </c>
      <c r="M43">
        <v>11.2</v>
      </c>
      <c r="N43">
        <v>6.2</v>
      </c>
      <c r="O43">
        <v>8.5</v>
      </c>
      <c r="P43">
        <v>1</v>
      </c>
      <c r="Q43">
        <v>0.6</v>
      </c>
      <c r="R43">
        <v>4.7</v>
      </c>
      <c r="S43">
        <v>19.399999999999999</v>
      </c>
      <c r="T43" s="1" t="s">
        <v>707</v>
      </c>
      <c r="U43">
        <v>1.7</v>
      </c>
      <c r="V43">
        <v>1.2</v>
      </c>
      <c r="W43">
        <v>2.9</v>
      </c>
      <c r="X43">
        <v>6.9000000000000006E-2</v>
      </c>
      <c r="Y43" s="1" t="s">
        <v>707</v>
      </c>
      <c r="Z43">
        <v>0.7</v>
      </c>
      <c r="AA43">
        <v>-1.5</v>
      </c>
      <c r="AB43">
        <v>-0.7</v>
      </c>
      <c r="AC43">
        <v>0.7</v>
      </c>
    </row>
    <row r="44" spans="1:29" x14ac:dyDescent="0.35">
      <c r="A44">
        <v>43</v>
      </c>
      <c r="B44" s="1" t="s">
        <v>100</v>
      </c>
      <c r="C44" s="1" t="s">
        <v>31</v>
      </c>
      <c r="D44">
        <v>27</v>
      </c>
      <c r="E44" s="1" t="s">
        <v>75</v>
      </c>
      <c r="F44">
        <v>1</v>
      </c>
      <c r="G44">
        <v>2</v>
      </c>
      <c r="H44">
        <v>29.9</v>
      </c>
      <c r="L44">
        <v>56.6</v>
      </c>
      <c r="M44">
        <v>0</v>
      </c>
      <c r="N44">
        <v>28.1</v>
      </c>
      <c r="O44">
        <v>0</v>
      </c>
      <c r="P44">
        <v>24.4</v>
      </c>
      <c r="Q44">
        <v>0</v>
      </c>
      <c r="S44">
        <v>0</v>
      </c>
      <c r="T44" s="1" t="s">
        <v>707</v>
      </c>
      <c r="U44">
        <v>0</v>
      </c>
      <c r="V44">
        <v>0</v>
      </c>
      <c r="W44">
        <v>0</v>
      </c>
      <c r="X44">
        <v>0.6</v>
      </c>
      <c r="Y44" s="1" t="s">
        <v>707</v>
      </c>
      <c r="Z44">
        <v>-8.1</v>
      </c>
      <c r="AA44">
        <v>10.8</v>
      </c>
      <c r="AB44">
        <v>2.7</v>
      </c>
      <c r="AC44">
        <v>0</v>
      </c>
    </row>
    <row r="45" spans="1:29" x14ac:dyDescent="0.35">
      <c r="A45">
        <v>44</v>
      </c>
      <c r="B45" s="1" t="s">
        <v>101</v>
      </c>
      <c r="C45" s="1" t="s">
        <v>51</v>
      </c>
      <c r="D45">
        <v>27</v>
      </c>
      <c r="E45" s="1" t="s">
        <v>42</v>
      </c>
      <c r="F45">
        <v>56</v>
      </c>
      <c r="G45">
        <v>1026</v>
      </c>
      <c r="H45">
        <v>11.9</v>
      </c>
      <c r="I45">
        <v>0.60099999999999998</v>
      </c>
      <c r="J45">
        <v>0.16300000000000001</v>
      </c>
      <c r="K45">
        <v>0.158</v>
      </c>
      <c r="L45">
        <v>4.5999999999999996</v>
      </c>
      <c r="M45">
        <v>12.5</v>
      </c>
      <c r="N45">
        <v>8.6</v>
      </c>
      <c r="O45">
        <v>8.6</v>
      </c>
      <c r="P45">
        <v>2.2999999999999998</v>
      </c>
      <c r="Q45">
        <v>2.2000000000000002</v>
      </c>
      <c r="R45">
        <v>11.6</v>
      </c>
      <c r="S45">
        <v>11.2</v>
      </c>
      <c r="T45" s="1" t="s">
        <v>707</v>
      </c>
      <c r="U45">
        <v>1.1000000000000001</v>
      </c>
      <c r="V45">
        <v>1.1000000000000001</v>
      </c>
      <c r="W45">
        <v>2.2000000000000002</v>
      </c>
      <c r="X45">
        <v>0.104</v>
      </c>
      <c r="Y45" s="1" t="s">
        <v>707</v>
      </c>
      <c r="Z45">
        <v>-2.2000000000000002</v>
      </c>
      <c r="AA45">
        <v>1.5</v>
      </c>
      <c r="AB45">
        <v>-0.7</v>
      </c>
      <c r="AC45">
        <v>0.3</v>
      </c>
    </row>
    <row r="46" spans="1:29" x14ac:dyDescent="0.35">
      <c r="A46">
        <v>45</v>
      </c>
      <c r="B46" s="1" t="s">
        <v>102</v>
      </c>
      <c r="C46" s="1" t="s">
        <v>28</v>
      </c>
      <c r="D46">
        <v>29</v>
      </c>
      <c r="E46" s="1" t="s">
        <v>42</v>
      </c>
      <c r="F46">
        <v>56</v>
      </c>
      <c r="G46">
        <v>807</v>
      </c>
      <c r="H46">
        <v>9.4</v>
      </c>
      <c r="I46">
        <v>0.53100000000000003</v>
      </c>
      <c r="J46">
        <v>0.83599999999999997</v>
      </c>
      <c r="K46">
        <v>0.14499999999999999</v>
      </c>
      <c r="L46">
        <v>1.7</v>
      </c>
      <c r="M46">
        <v>14.3</v>
      </c>
      <c r="N46">
        <v>8</v>
      </c>
      <c r="O46">
        <v>5.5</v>
      </c>
      <c r="P46">
        <v>1</v>
      </c>
      <c r="Q46">
        <v>1.3</v>
      </c>
      <c r="R46">
        <v>6.1</v>
      </c>
      <c r="S46">
        <v>17.3</v>
      </c>
      <c r="T46" s="1" t="s">
        <v>707</v>
      </c>
      <c r="U46">
        <v>0.2</v>
      </c>
      <c r="V46">
        <v>0.7</v>
      </c>
      <c r="W46">
        <v>0.9</v>
      </c>
      <c r="X46">
        <v>5.2999999999999999E-2</v>
      </c>
      <c r="Y46" s="1" t="s">
        <v>707</v>
      </c>
      <c r="Z46">
        <v>-1.7</v>
      </c>
      <c r="AA46">
        <v>-0.9</v>
      </c>
      <c r="AB46">
        <v>-2.6</v>
      </c>
      <c r="AC46">
        <v>-0.1</v>
      </c>
    </row>
    <row r="47" spans="1:29" x14ac:dyDescent="0.35">
      <c r="A47">
        <v>46</v>
      </c>
      <c r="B47" s="1" t="s">
        <v>103</v>
      </c>
      <c r="C47" s="1" t="s">
        <v>48</v>
      </c>
      <c r="D47">
        <v>33</v>
      </c>
      <c r="E47" s="1" t="s">
        <v>99</v>
      </c>
      <c r="F47">
        <v>58</v>
      </c>
      <c r="G47">
        <v>1476</v>
      </c>
      <c r="H47">
        <v>14.8</v>
      </c>
      <c r="I47">
        <v>0.53900000000000003</v>
      </c>
      <c r="J47">
        <v>0.55500000000000005</v>
      </c>
      <c r="K47">
        <v>0.30499999999999999</v>
      </c>
      <c r="L47">
        <v>4.4000000000000004</v>
      </c>
      <c r="M47">
        <v>13.2</v>
      </c>
      <c r="N47">
        <v>8.6999999999999993</v>
      </c>
      <c r="O47">
        <v>24.5</v>
      </c>
      <c r="P47">
        <v>2.2000000000000002</v>
      </c>
      <c r="Q47">
        <v>3.4</v>
      </c>
      <c r="R47">
        <v>12.9</v>
      </c>
      <c r="S47">
        <v>16.100000000000001</v>
      </c>
      <c r="T47" s="1" t="s">
        <v>707</v>
      </c>
      <c r="U47">
        <v>2.2999999999999998</v>
      </c>
      <c r="V47">
        <v>1.7</v>
      </c>
      <c r="W47">
        <v>4.0999999999999996</v>
      </c>
      <c r="X47">
        <v>0.13200000000000001</v>
      </c>
      <c r="Y47" s="1" t="s">
        <v>707</v>
      </c>
      <c r="Z47">
        <v>0.6</v>
      </c>
      <c r="AA47">
        <v>2.1</v>
      </c>
      <c r="AB47">
        <v>2.7</v>
      </c>
      <c r="AC47">
        <v>1.7</v>
      </c>
    </row>
    <row r="48" spans="1:29" x14ac:dyDescent="0.35">
      <c r="A48">
        <v>47</v>
      </c>
      <c r="B48" s="1" t="s">
        <v>104</v>
      </c>
      <c r="C48" s="1" t="s">
        <v>51</v>
      </c>
      <c r="D48">
        <v>22</v>
      </c>
      <c r="E48" s="1" t="s">
        <v>105</v>
      </c>
      <c r="F48">
        <v>82</v>
      </c>
      <c r="G48">
        <v>2704</v>
      </c>
      <c r="H48">
        <v>14</v>
      </c>
      <c r="I48">
        <v>0.52900000000000003</v>
      </c>
      <c r="J48">
        <v>0.53700000000000003</v>
      </c>
      <c r="K48">
        <v>0.224</v>
      </c>
      <c r="L48">
        <v>4.0999999999999996</v>
      </c>
      <c r="M48">
        <v>14.1</v>
      </c>
      <c r="N48">
        <v>8.8000000000000007</v>
      </c>
      <c r="O48">
        <v>13.8</v>
      </c>
      <c r="P48">
        <v>1.3</v>
      </c>
      <c r="Q48">
        <v>0.5</v>
      </c>
      <c r="R48">
        <v>7.1</v>
      </c>
      <c r="S48">
        <v>21.3</v>
      </c>
      <c r="T48" s="1" t="s">
        <v>707</v>
      </c>
      <c r="U48">
        <v>2.4</v>
      </c>
      <c r="V48">
        <v>1.6</v>
      </c>
      <c r="W48">
        <v>4</v>
      </c>
      <c r="X48">
        <v>7.0999999999999994E-2</v>
      </c>
      <c r="Y48" s="1" t="s">
        <v>707</v>
      </c>
      <c r="Z48">
        <v>0.9</v>
      </c>
      <c r="AA48">
        <v>-1.2</v>
      </c>
      <c r="AB48">
        <v>-0.3</v>
      </c>
      <c r="AC48">
        <v>1.2</v>
      </c>
    </row>
    <row r="49" spans="1:29" x14ac:dyDescent="0.35">
      <c r="A49">
        <v>48</v>
      </c>
      <c r="B49" s="1" t="s">
        <v>106</v>
      </c>
      <c r="C49" s="1" t="s">
        <v>31</v>
      </c>
      <c r="D49">
        <v>29</v>
      </c>
      <c r="E49" s="1" t="s">
        <v>32</v>
      </c>
      <c r="F49">
        <v>55</v>
      </c>
      <c r="G49">
        <v>991</v>
      </c>
      <c r="H49">
        <v>13.2</v>
      </c>
      <c r="I49">
        <v>0.53400000000000003</v>
      </c>
      <c r="J49">
        <v>7.0000000000000007E-2</v>
      </c>
      <c r="K49">
        <v>0.35499999999999998</v>
      </c>
      <c r="L49">
        <v>12.7</v>
      </c>
      <c r="M49">
        <v>13.5</v>
      </c>
      <c r="N49">
        <v>13.1</v>
      </c>
      <c r="O49">
        <v>7.6</v>
      </c>
      <c r="P49">
        <v>1.5</v>
      </c>
      <c r="Q49">
        <v>2.6</v>
      </c>
      <c r="R49">
        <v>11.1</v>
      </c>
      <c r="S49">
        <v>11.2</v>
      </c>
      <c r="T49" s="1" t="s">
        <v>707</v>
      </c>
      <c r="U49">
        <v>1.5</v>
      </c>
      <c r="V49">
        <v>1.1000000000000001</v>
      </c>
      <c r="W49">
        <v>2.6</v>
      </c>
      <c r="X49">
        <v>0.126</v>
      </c>
      <c r="Y49" s="1" t="s">
        <v>707</v>
      </c>
      <c r="Z49">
        <v>-1.7</v>
      </c>
      <c r="AA49">
        <v>0.4</v>
      </c>
      <c r="AB49">
        <v>-1.3</v>
      </c>
      <c r="AC49">
        <v>0.2</v>
      </c>
    </row>
    <row r="50" spans="1:29" x14ac:dyDescent="0.35">
      <c r="A50">
        <v>49</v>
      </c>
      <c r="B50" s="1" t="s">
        <v>107</v>
      </c>
      <c r="C50" s="1" t="s">
        <v>31</v>
      </c>
      <c r="D50">
        <v>22</v>
      </c>
      <c r="E50" s="1" t="s">
        <v>108</v>
      </c>
      <c r="F50">
        <v>50</v>
      </c>
      <c r="G50">
        <v>729</v>
      </c>
      <c r="H50">
        <v>18</v>
      </c>
      <c r="I50">
        <v>0.59499999999999997</v>
      </c>
      <c r="J50">
        <v>0.317</v>
      </c>
      <c r="K50">
        <v>0.373</v>
      </c>
      <c r="L50">
        <v>11.9</v>
      </c>
      <c r="M50">
        <v>15.3</v>
      </c>
      <c r="N50">
        <v>13.5</v>
      </c>
      <c r="O50">
        <v>11.2</v>
      </c>
      <c r="P50">
        <v>1.4</v>
      </c>
      <c r="Q50">
        <v>5</v>
      </c>
      <c r="R50">
        <v>13.6</v>
      </c>
      <c r="S50">
        <v>19.899999999999999</v>
      </c>
      <c r="T50" s="1" t="s">
        <v>707</v>
      </c>
      <c r="U50">
        <v>1.3</v>
      </c>
      <c r="V50">
        <v>0.6</v>
      </c>
      <c r="W50">
        <v>1.9</v>
      </c>
      <c r="X50">
        <v>0.122</v>
      </c>
      <c r="Y50" s="1" t="s">
        <v>707</v>
      </c>
      <c r="Z50">
        <v>-0.2</v>
      </c>
      <c r="AA50">
        <v>-0.6</v>
      </c>
      <c r="AB50">
        <v>-0.8</v>
      </c>
      <c r="AC50">
        <v>0.2</v>
      </c>
    </row>
    <row r="51" spans="1:29" x14ac:dyDescent="0.35">
      <c r="A51">
        <v>50</v>
      </c>
      <c r="B51" s="1" t="s">
        <v>109</v>
      </c>
      <c r="C51" s="1" t="s">
        <v>31</v>
      </c>
      <c r="D51">
        <v>29</v>
      </c>
      <c r="E51" s="1" t="s">
        <v>68</v>
      </c>
      <c r="F51">
        <v>36</v>
      </c>
      <c r="G51">
        <v>506</v>
      </c>
      <c r="H51">
        <v>17.3</v>
      </c>
      <c r="I51">
        <v>0.59599999999999997</v>
      </c>
      <c r="J51">
        <v>0</v>
      </c>
      <c r="K51">
        <v>0.49</v>
      </c>
      <c r="L51">
        <v>13.7</v>
      </c>
      <c r="M51">
        <v>21.5</v>
      </c>
      <c r="N51">
        <v>17.7</v>
      </c>
      <c r="O51">
        <v>6.2</v>
      </c>
      <c r="P51">
        <v>1.1000000000000001</v>
      </c>
      <c r="Q51">
        <v>4.5999999999999996</v>
      </c>
      <c r="R51">
        <v>12.4</v>
      </c>
      <c r="S51">
        <v>17.100000000000001</v>
      </c>
      <c r="T51" s="1" t="s">
        <v>707</v>
      </c>
      <c r="U51">
        <v>0.9</v>
      </c>
      <c r="V51">
        <v>0.9</v>
      </c>
      <c r="W51">
        <v>1.8</v>
      </c>
      <c r="X51">
        <v>0.17</v>
      </c>
      <c r="Y51" s="1" t="s">
        <v>707</v>
      </c>
      <c r="Z51">
        <v>-1.7</v>
      </c>
      <c r="AA51">
        <v>0.4</v>
      </c>
      <c r="AB51">
        <v>-1.3</v>
      </c>
      <c r="AC51">
        <v>0.1</v>
      </c>
    </row>
    <row r="52" spans="1:29" x14ac:dyDescent="0.35">
      <c r="A52">
        <v>51</v>
      </c>
      <c r="B52" s="1" t="s">
        <v>110</v>
      </c>
      <c r="C52" s="1" t="s">
        <v>31</v>
      </c>
      <c r="D52">
        <v>33</v>
      </c>
      <c r="E52" s="1" t="s">
        <v>111</v>
      </c>
      <c r="F52">
        <v>71</v>
      </c>
      <c r="G52">
        <v>1142</v>
      </c>
      <c r="H52">
        <v>14.2</v>
      </c>
      <c r="I52">
        <v>0.57299999999999995</v>
      </c>
      <c r="J52">
        <v>0.436</v>
      </c>
      <c r="K52">
        <v>0.23699999999999999</v>
      </c>
      <c r="L52">
        <v>6.1</v>
      </c>
      <c r="M52">
        <v>21.5</v>
      </c>
      <c r="N52">
        <v>14.1</v>
      </c>
      <c r="O52">
        <v>19.8</v>
      </c>
      <c r="P52">
        <v>1.8</v>
      </c>
      <c r="Q52">
        <v>2.2000000000000002</v>
      </c>
      <c r="R52">
        <v>18.7</v>
      </c>
      <c r="S52">
        <v>17.8</v>
      </c>
      <c r="T52" s="1" t="s">
        <v>707</v>
      </c>
      <c r="U52">
        <v>1</v>
      </c>
      <c r="V52">
        <v>2.1</v>
      </c>
      <c r="W52">
        <v>3</v>
      </c>
      <c r="X52">
        <v>0.128</v>
      </c>
      <c r="Y52" s="1" t="s">
        <v>707</v>
      </c>
      <c r="Z52">
        <v>-0.9</v>
      </c>
      <c r="AA52">
        <v>2.2999999999999998</v>
      </c>
      <c r="AB52">
        <v>1.4</v>
      </c>
      <c r="AC52">
        <v>1</v>
      </c>
    </row>
    <row r="53" spans="1:29" x14ac:dyDescent="0.35">
      <c r="A53">
        <v>52</v>
      </c>
      <c r="B53" s="1" t="s">
        <v>112</v>
      </c>
      <c r="C53" s="1" t="s">
        <v>48</v>
      </c>
      <c r="D53">
        <v>32</v>
      </c>
      <c r="E53" s="1" t="s">
        <v>93</v>
      </c>
      <c r="F53">
        <v>54</v>
      </c>
      <c r="G53">
        <v>1361</v>
      </c>
      <c r="H53">
        <v>12.5</v>
      </c>
      <c r="I53">
        <v>0.51400000000000001</v>
      </c>
      <c r="J53">
        <v>0.34799999999999998</v>
      </c>
      <c r="K53">
        <v>0.25</v>
      </c>
      <c r="L53">
        <v>2.2000000000000002</v>
      </c>
      <c r="M53">
        <v>11.6</v>
      </c>
      <c r="N53">
        <v>7.1</v>
      </c>
      <c r="O53">
        <v>24.1</v>
      </c>
      <c r="P53">
        <v>2.5</v>
      </c>
      <c r="Q53">
        <v>1.2</v>
      </c>
      <c r="R53">
        <v>18.3</v>
      </c>
      <c r="S53">
        <v>20.5</v>
      </c>
      <c r="T53" s="1" t="s">
        <v>707</v>
      </c>
      <c r="U53">
        <v>-0.5</v>
      </c>
      <c r="V53">
        <v>1.8</v>
      </c>
      <c r="W53">
        <v>1.3</v>
      </c>
      <c r="X53">
        <v>4.7E-2</v>
      </c>
      <c r="Y53" s="1" t="s">
        <v>707</v>
      </c>
      <c r="Z53">
        <v>-2.1</v>
      </c>
      <c r="AA53">
        <v>1.3</v>
      </c>
      <c r="AB53">
        <v>-0.8</v>
      </c>
      <c r="AC53">
        <v>0.4</v>
      </c>
    </row>
    <row r="54" spans="1:29" x14ac:dyDescent="0.35">
      <c r="A54">
        <v>53</v>
      </c>
      <c r="B54" s="1" t="s">
        <v>113</v>
      </c>
      <c r="C54" s="1" t="s">
        <v>51</v>
      </c>
      <c r="D54">
        <v>26</v>
      </c>
      <c r="E54" s="1" t="s">
        <v>114</v>
      </c>
      <c r="F54">
        <v>31</v>
      </c>
      <c r="G54">
        <v>349</v>
      </c>
      <c r="H54">
        <v>4.8</v>
      </c>
      <c r="I54">
        <v>0.41</v>
      </c>
      <c r="J54">
        <v>0.64900000000000002</v>
      </c>
      <c r="K54">
        <v>9.9000000000000005E-2</v>
      </c>
      <c r="L54">
        <v>4.9000000000000004</v>
      </c>
      <c r="M54">
        <v>9.5</v>
      </c>
      <c r="N54">
        <v>7.1</v>
      </c>
      <c r="O54">
        <v>7.7</v>
      </c>
      <c r="P54">
        <v>1.8</v>
      </c>
      <c r="Q54">
        <v>0.3</v>
      </c>
      <c r="R54">
        <v>12.8</v>
      </c>
      <c r="S54">
        <v>16.5</v>
      </c>
      <c r="T54" s="1" t="s">
        <v>707</v>
      </c>
      <c r="U54">
        <v>-0.6</v>
      </c>
      <c r="V54">
        <v>0.1</v>
      </c>
      <c r="W54">
        <v>-0.5</v>
      </c>
      <c r="X54">
        <v>-6.6000000000000003E-2</v>
      </c>
      <c r="Y54" s="1" t="s">
        <v>707</v>
      </c>
      <c r="Z54">
        <v>-5.6</v>
      </c>
      <c r="AA54">
        <v>-2.9</v>
      </c>
      <c r="AB54">
        <v>-8.5</v>
      </c>
      <c r="AC54">
        <v>-0.6</v>
      </c>
    </row>
    <row r="55" spans="1:29" x14ac:dyDescent="0.35">
      <c r="A55">
        <v>54</v>
      </c>
      <c r="B55" s="1" t="s">
        <v>115</v>
      </c>
      <c r="C55" s="1" t="s">
        <v>41</v>
      </c>
      <c r="D55">
        <v>29</v>
      </c>
      <c r="E55" s="1" t="s">
        <v>80</v>
      </c>
      <c r="F55">
        <v>63</v>
      </c>
      <c r="G55">
        <v>1848</v>
      </c>
      <c r="H55">
        <v>15.4</v>
      </c>
      <c r="I55">
        <v>0.56200000000000006</v>
      </c>
      <c r="J55">
        <v>0.57799999999999996</v>
      </c>
      <c r="K55">
        <v>0.14499999999999999</v>
      </c>
      <c r="L55">
        <v>1.7</v>
      </c>
      <c r="M55">
        <v>13</v>
      </c>
      <c r="N55">
        <v>7.4</v>
      </c>
      <c r="O55">
        <v>15.5</v>
      </c>
      <c r="P55">
        <v>1.8</v>
      </c>
      <c r="Q55">
        <v>0.7</v>
      </c>
      <c r="R55">
        <v>7.7</v>
      </c>
      <c r="S55">
        <v>21.6</v>
      </c>
      <c r="T55" s="1" t="s">
        <v>707</v>
      </c>
      <c r="U55">
        <v>2.5</v>
      </c>
      <c r="V55">
        <v>1.2</v>
      </c>
      <c r="W55">
        <v>3.7</v>
      </c>
      <c r="X55">
        <v>9.5000000000000001E-2</v>
      </c>
      <c r="Y55" s="1" t="s">
        <v>707</v>
      </c>
      <c r="Z55">
        <v>1.5</v>
      </c>
      <c r="AA55">
        <v>-0.2</v>
      </c>
      <c r="AB55">
        <v>1.3</v>
      </c>
      <c r="AC55">
        <v>1.5</v>
      </c>
    </row>
    <row r="56" spans="1:29" x14ac:dyDescent="0.35">
      <c r="A56">
        <v>55</v>
      </c>
      <c r="B56" s="1" t="s">
        <v>116</v>
      </c>
      <c r="C56" s="1" t="s">
        <v>28</v>
      </c>
      <c r="D56">
        <v>32</v>
      </c>
      <c r="E56" s="1" t="s">
        <v>70</v>
      </c>
      <c r="F56">
        <v>69</v>
      </c>
      <c r="G56">
        <v>2131</v>
      </c>
      <c r="H56">
        <v>15.7</v>
      </c>
      <c r="I56">
        <v>0.59899999999999998</v>
      </c>
      <c r="J56">
        <v>0.504</v>
      </c>
      <c r="K56">
        <v>0.28000000000000003</v>
      </c>
      <c r="L56">
        <v>3.1</v>
      </c>
      <c r="M56">
        <v>11.8</v>
      </c>
      <c r="N56">
        <v>7.6</v>
      </c>
      <c r="O56">
        <v>8.6999999999999993</v>
      </c>
      <c r="P56">
        <v>0.8</v>
      </c>
      <c r="Q56">
        <v>0</v>
      </c>
      <c r="R56">
        <v>10.199999999999999</v>
      </c>
      <c r="S56">
        <v>23.7</v>
      </c>
      <c r="T56" s="1" t="s">
        <v>707</v>
      </c>
      <c r="U56">
        <v>3.6</v>
      </c>
      <c r="V56">
        <v>1.6</v>
      </c>
      <c r="W56">
        <v>5.2</v>
      </c>
      <c r="X56">
        <v>0.11799999999999999</v>
      </c>
      <c r="Y56" s="1" t="s">
        <v>707</v>
      </c>
      <c r="Z56">
        <v>1.6</v>
      </c>
      <c r="AA56">
        <v>-1.6</v>
      </c>
      <c r="AB56">
        <v>0</v>
      </c>
      <c r="AC56">
        <v>1.1000000000000001</v>
      </c>
    </row>
    <row r="57" spans="1:29" x14ac:dyDescent="0.35">
      <c r="A57">
        <v>56</v>
      </c>
      <c r="B57" s="1" t="s">
        <v>117</v>
      </c>
      <c r="C57" s="1" t="s">
        <v>28</v>
      </c>
      <c r="D57">
        <v>22</v>
      </c>
      <c r="E57" s="1" t="s">
        <v>86</v>
      </c>
      <c r="F57">
        <v>14</v>
      </c>
      <c r="G57">
        <v>81</v>
      </c>
      <c r="H57">
        <v>13.5</v>
      </c>
      <c r="I57">
        <v>0.56499999999999995</v>
      </c>
      <c r="J57">
        <v>0.14799999999999999</v>
      </c>
      <c r="K57">
        <v>0.185</v>
      </c>
      <c r="L57">
        <v>5.7</v>
      </c>
      <c r="M57">
        <v>21.4</v>
      </c>
      <c r="N57">
        <v>13.8</v>
      </c>
      <c r="O57">
        <v>9.1</v>
      </c>
      <c r="P57">
        <v>0.6</v>
      </c>
      <c r="Q57">
        <v>2.2000000000000002</v>
      </c>
      <c r="R57">
        <v>12</v>
      </c>
      <c r="S57">
        <v>18</v>
      </c>
      <c r="T57" s="1" t="s">
        <v>707</v>
      </c>
      <c r="U57">
        <v>0</v>
      </c>
      <c r="V57">
        <v>0.1</v>
      </c>
      <c r="W57">
        <v>0.1</v>
      </c>
      <c r="X57">
        <v>6.5000000000000002E-2</v>
      </c>
      <c r="Y57" s="1" t="s">
        <v>707</v>
      </c>
      <c r="Z57">
        <v>-0.5</v>
      </c>
      <c r="AA57">
        <v>-0.4</v>
      </c>
      <c r="AB57">
        <v>-1</v>
      </c>
      <c r="AC57">
        <v>0</v>
      </c>
    </row>
    <row r="58" spans="1:29" x14ac:dyDescent="0.35">
      <c r="A58">
        <v>57</v>
      </c>
      <c r="B58" s="1" t="s">
        <v>118</v>
      </c>
      <c r="C58" s="1" t="s">
        <v>51</v>
      </c>
      <c r="D58">
        <v>21</v>
      </c>
      <c r="E58" s="1" t="s">
        <v>99</v>
      </c>
      <c r="F58">
        <v>35</v>
      </c>
      <c r="G58">
        <v>241</v>
      </c>
      <c r="H58">
        <v>5.4</v>
      </c>
      <c r="I58">
        <v>0.41899999999999998</v>
      </c>
      <c r="J58">
        <v>0.33300000000000002</v>
      </c>
      <c r="K58">
        <v>0.24099999999999999</v>
      </c>
      <c r="L58">
        <v>6.9</v>
      </c>
      <c r="M58">
        <v>12.3</v>
      </c>
      <c r="N58">
        <v>9.6</v>
      </c>
      <c r="O58">
        <v>11</v>
      </c>
      <c r="P58">
        <v>1.2</v>
      </c>
      <c r="Q58">
        <v>0</v>
      </c>
      <c r="R58">
        <v>17.899999999999999</v>
      </c>
      <c r="S58">
        <v>12.6</v>
      </c>
      <c r="T58" s="1" t="s">
        <v>707</v>
      </c>
      <c r="U58">
        <v>-0.1</v>
      </c>
      <c r="V58">
        <v>0.2</v>
      </c>
      <c r="W58">
        <v>0</v>
      </c>
      <c r="X58">
        <v>4.0000000000000001E-3</v>
      </c>
      <c r="Y58" s="1" t="s">
        <v>707</v>
      </c>
      <c r="Z58">
        <v>-5.0999999999999996</v>
      </c>
      <c r="AA58">
        <v>-0.7</v>
      </c>
      <c r="AB58">
        <v>-5.8</v>
      </c>
      <c r="AC58">
        <v>-0.2</v>
      </c>
    </row>
    <row r="59" spans="1:29" x14ac:dyDescent="0.35">
      <c r="A59">
        <v>58</v>
      </c>
      <c r="B59" s="1" t="s">
        <v>119</v>
      </c>
      <c r="C59" s="1" t="s">
        <v>51</v>
      </c>
      <c r="D59">
        <v>22</v>
      </c>
      <c r="E59" s="1" t="s">
        <v>32</v>
      </c>
      <c r="F59">
        <v>15</v>
      </c>
      <c r="G59">
        <v>69</v>
      </c>
      <c r="H59">
        <v>8.6999999999999993</v>
      </c>
      <c r="I59">
        <v>0.36299999999999999</v>
      </c>
      <c r="J59">
        <v>0.308</v>
      </c>
      <c r="K59">
        <v>0.61499999999999999</v>
      </c>
      <c r="L59">
        <v>6</v>
      </c>
      <c r="M59">
        <v>5</v>
      </c>
      <c r="N59">
        <v>5.5</v>
      </c>
      <c r="O59">
        <v>7.3</v>
      </c>
      <c r="P59">
        <v>5.8</v>
      </c>
      <c r="Q59">
        <v>2.8</v>
      </c>
      <c r="R59">
        <v>10.8</v>
      </c>
      <c r="S59">
        <v>11.5</v>
      </c>
      <c r="T59" s="1" t="s">
        <v>707</v>
      </c>
      <c r="U59">
        <v>-0.1</v>
      </c>
      <c r="V59">
        <v>0.1</v>
      </c>
      <c r="W59">
        <v>0.1</v>
      </c>
      <c r="X59">
        <v>0.06</v>
      </c>
      <c r="Y59" s="1" t="s">
        <v>707</v>
      </c>
      <c r="Z59">
        <v>-5.4</v>
      </c>
      <c r="AA59">
        <v>5</v>
      </c>
      <c r="AB59">
        <v>-0.4</v>
      </c>
      <c r="AC59">
        <v>0</v>
      </c>
    </row>
    <row r="60" spans="1:29" x14ac:dyDescent="0.35">
      <c r="A60">
        <v>59</v>
      </c>
      <c r="B60" s="1" t="s">
        <v>120</v>
      </c>
      <c r="C60" s="1" t="s">
        <v>41</v>
      </c>
      <c r="D60">
        <v>25</v>
      </c>
      <c r="E60" s="1" t="s">
        <v>68</v>
      </c>
      <c r="F60">
        <v>68</v>
      </c>
      <c r="G60">
        <v>2345</v>
      </c>
      <c r="H60">
        <v>21.3</v>
      </c>
      <c r="I60">
        <v>0.57599999999999996</v>
      </c>
      <c r="J60">
        <v>0.33600000000000002</v>
      </c>
      <c r="K60">
        <v>0.255</v>
      </c>
      <c r="L60">
        <v>2.1</v>
      </c>
      <c r="M60">
        <v>13.2</v>
      </c>
      <c r="N60">
        <v>7.8</v>
      </c>
      <c r="O60">
        <v>22.4</v>
      </c>
      <c r="P60">
        <v>1.6</v>
      </c>
      <c r="Q60">
        <v>1</v>
      </c>
      <c r="R60">
        <v>9.3000000000000007</v>
      </c>
      <c r="S60">
        <v>32</v>
      </c>
      <c r="T60" s="1" t="s">
        <v>707</v>
      </c>
      <c r="U60">
        <v>4.3</v>
      </c>
      <c r="V60">
        <v>3.3</v>
      </c>
      <c r="W60">
        <v>7.6</v>
      </c>
      <c r="X60">
        <v>0.156</v>
      </c>
      <c r="Y60" s="1" t="s">
        <v>707</v>
      </c>
      <c r="Z60">
        <v>3.9</v>
      </c>
      <c r="AA60">
        <v>0.2</v>
      </c>
      <c r="AB60">
        <v>4.0999999999999996</v>
      </c>
      <c r="AC60">
        <v>3.6</v>
      </c>
    </row>
    <row r="61" spans="1:29" x14ac:dyDescent="0.35">
      <c r="A61">
        <v>60</v>
      </c>
      <c r="B61" s="1" t="s">
        <v>121</v>
      </c>
      <c r="C61" s="1" t="s">
        <v>41</v>
      </c>
      <c r="D61">
        <v>20</v>
      </c>
      <c r="E61" s="1" t="s">
        <v>93</v>
      </c>
      <c r="F61">
        <v>51</v>
      </c>
      <c r="G61">
        <v>760</v>
      </c>
      <c r="H61">
        <v>11.2</v>
      </c>
      <c r="I61">
        <v>0.48099999999999998</v>
      </c>
      <c r="J61">
        <v>0.34200000000000003</v>
      </c>
      <c r="K61">
        <v>0.222</v>
      </c>
      <c r="L61">
        <v>2.4</v>
      </c>
      <c r="M61">
        <v>12.7</v>
      </c>
      <c r="N61">
        <v>7.7</v>
      </c>
      <c r="O61">
        <v>10.1</v>
      </c>
      <c r="P61">
        <v>1.7</v>
      </c>
      <c r="Q61">
        <v>1.5</v>
      </c>
      <c r="R61">
        <v>8</v>
      </c>
      <c r="S61">
        <v>22.4</v>
      </c>
      <c r="T61" s="1" t="s">
        <v>707</v>
      </c>
      <c r="U61">
        <v>-0.5</v>
      </c>
      <c r="V61">
        <v>0.9</v>
      </c>
      <c r="W61">
        <v>0.4</v>
      </c>
      <c r="X61">
        <v>2.5999999999999999E-2</v>
      </c>
      <c r="Y61" s="1" t="s">
        <v>707</v>
      </c>
      <c r="Z61">
        <v>-2.9</v>
      </c>
      <c r="AA61">
        <v>-0.4</v>
      </c>
      <c r="AB61">
        <v>-3.3</v>
      </c>
      <c r="AC61">
        <v>-0.3</v>
      </c>
    </row>
    <row r="62" spans="1:29" x14ac:dyDescent="0.35">
      <c r="A62">
        <v>61</v>
      </c>
      <c r="B62" s="1" t="s">
        <v>122</v>
      </c>
      <c r="C62" s="1" t="s">
        <v>28</v>
      </c>
      <c r="D62">
        <v>29</v>
      </c>
      <c r="E62" s="1" t="s">
        <v>32</v>
      </c>
      <c r="F62">
        <v>80</v>
      </c>
      <c r="G62">
        <v>1690</v>
      </c>
      <c r="H62">
        <v>17.899999999999999</v>
      </c>
      <c r="I62">
        <v>0.56999999999999995</v>
      </c>
      <c r="J62">
        <v>0.39700000000000002</v>
      </c>
      <c r="K62">
        <v>0.33400000000000002</v>
      </c>
      <c r="L62">
        <v>10.9</v>
      </c>
      <c r="M62">
        <v>21.3</v>
      </c>
      <c r="N62">
        <v>15.8</v>
      </c>
      <c r="O62">
        <v>2.2000000000000002</v>
      </c>
      <c r="P62">
        <v>1.4</v>
      </c>
      <c r="Q62">
        <v>4.3</v>
      </c>
      <c r="R62">
        <v>6</v>
      </c>
      <c r="S62">
        <v>17.8</v>
      </c>
      <c r="T62" s="1" t="s">
        <v>707</v>
      </c>
      <c r="U62">
        <v>3.5</v>
      </c>
      <c r="V62">
        <v>2.4</v>
      </c>
      <c r="W62">
        <v>6</v>
      </c>
      <c r="X62">
        <v>0.16900000000000001</v>
      </c>
      <c r="Y62" s="1" t="s">
        <v>707</v>
      </c>
      <c r="Z62">
        <v>0.5</v>
      </c>
      <c r="AA62">
        <v>-0.4</v>
      </c>
      <c r="AB62">
        <v>0</v>
      </c>
      <c r="AC62">
        <v>0.9</v>
      </c>
    </row>
    <row r="63" spans="1:29" x14ac:dyDescent="0.35">
      <c r="A63">
        <v>62</v>
      </c>
      <c r="B63" s="1" t="s">
        <v>123</v>
      </c>
      <c r="C63" s="1" t="s">
        <v>41</v>
      </c>
      <c r="D63">
        <v>21</v>
      </c>
      <c r="E63" s="1" t="s">
        <v>73</v>
      </c>
      <c r="F63">
        <v>31</v>
      </c>
      <c r="G63">
        <v>304</v>
      </c>
      <c r="H63">
        <v>10.1</v>
      </c>
      <c r="I63">
        <v>0.45900000000000002</v>
      </c>
      <c r="J63">
        <v>0.34799999999999998</v>
      </c>
      <c r="K63">
        <v>0.22</v>
      </c>
      <c r="L63">
        <v>7.6</v>
      </c>
      <c r="M63">
        <v>10.6</v>
      </c>
      <c r="N63">
        <v>9.1</v>
      </c>
      <c r="O63">
        <v>11.9</v>
      </c>
      <c r="P63">
        <v>1.1000000000000001</v>
      </c>
      <c r="Q63">
        <v>0.3</v>
      </c>
      <c r="R63">
        <v>8.8000000000000007</v>
      </c>
      <c r="S63">
        <v>23.7</v>
      </c>
      <c r="T63" s="1" t="s">
        <v>707</v>
      </c>
      <c r="U63">
        <v>-0.1</v>
      </c>
      <c r="V63">
        <v>0.1</v>
      </c>
      <c r="W63">
        <v>0</v>
      </c>
      <c r="X63">
        <v>1E-3</v>
      </c>
      <c r="Y63" s="1" t="s">
        <v>707</v>
      </c>
      <c r="Z63">
        <v>-3.4</v>
      </c>
      <c r="AA63">
        <v>-3.7</v>
      </c>
      <c r="AB63">
        <v>-7.1</v>
      </c>
      <c r="AC63">
        <v>-0.4</v>
      </c>
    </row>
    <row r="64" spans="1:29" x14ac:dyDescent="0.35">
      <c r="A64">
        <v>63</v>
      </c>
      <c r="B64" s="1" t="s">
        <v>124</v>
      </c>
      <c r="C64" s="1" t="s">
        <v>41</v>
      </c>
      <c r="D64">
        <v>31</v>
      </c>
      <c r="E64" s="1" t="s">
        <v>56</v>
      </c>
      <c r="F64">
        <v>62</v>
      </c>
      <c r="G64">
        <v>1406</v>
      </c>
      <c r="H64">
        <v>7.8</v>
      </c>
      <c r="I64">
        <v>0.55000000000000004</v>
      </c>
      <c r="J64">
        <v>0.6</v>
      </c>
      <c r="K64">
        <v>5.0999999999999997E-2</v>
      </c>
      <c r="L64">
        <v>2.4</v>
      </c>
      <c r="M64">
        <v>8</v>
      </c>
      <c r="N64">
        <v>5.2</v>
      </c>
      <c r="O64">
        <v>4.5</v>
      </c>
      <c r="P64">
        <v>1.8</v>
      </c>
      <c r="Q64">
        <v>0.6</v>
      </c>
      <c r="R64">
        <v>9.6</v>
      </c>
      <c r="S64">
        <v>12.1</v>
      </c>
      <c r="T64" s="1" t="s">
        <v>707</v>
      </c>
      <c r="U64">
        <v>0.3</v>
      </c>
      <c r="V64">
        <v>0.9</v>
      </c>
      <c r="W64">
        <v>1.2</v>
      </c>
      <c r="X64">
        <v>0.04</v>
      </c>
      <c r="Y64" s="1" t="s">
        <v>707</v>
      </c>
      <c r="Z64">
        <v>-3.5</v>
      </c>
      <c r="AA64">
        <v>-0.1</v>
      </c>
      <c r="AB64">
        <v>-3.6</v>
      </c>
      <c r="AC64">
        <v>-0.6</v>
      </c>
    </row>
    <row r="65" spans="1:29" x14ac:dyDescent="0.35">
      <c r="A65">
        <v>64</v>
      </c>
      <c r="B65" s="1" t="s">
        <v>125</v>
      </c>
      <c r="C65" s="1" t="s">
        <v>31</v>
      </c>
      <c r="D65">
        <v>24</v>
      </c>
      <c r="E65" s="1" t="s">
        <v>75</v>
      </c>
      <c r="F65">
        <v>55</v>
      </c>
      <c r="G65">
        <v>549</v>
      </c>
      <c r="H65">
        <v>14.9</v>
      </c>
      <c r="I65">
        <v>0.6</v>
      </c>
      <c r="J65">
        <v>0</v>
      </c>
      <c r="K65">
        <v>0.23599999999999999</v>
      </c>
      <c r="L65">
        <v>13.8</v>
      </c>
      <c r="M65">
        <v>24.3</v>
      </c>
      <c r="N65">
        <v>19.100000000000001</v>
      </c>
      <c r="O65">
        <v>6.7</v>
      </c>
      <c r="P65">
        <v>0.9</v>
      </c>
      <c r="Q65">
        <v>5.2</v>
      </c>
      <c r="R65">
        <v>20</v>
      </c>
      <c r="S65">
        <v>13.6</v>
      </c>
      <c r="T65" s="1" t="s">
        <v>707</v>
      </c>
      <c r="U65">
        <v>0.6</v>
      </c>
      <c r="V65">
        <v>0.7</v>
      </c>
      <c r="W65">
        <v>1.3</v>
      </c>
      <c r="X65">
        <v>0.112</v>
      </c>
      <c r="Y65" s="1" t="s">
        <v>707</v>
      </c>
      <c r="Z65">
        <v>-2</v>
      </c>
      <c r="AA65">
        <v>0.2</v>
      </c>
      <c r="AB65">
        <v>-1.8</v>
      </c>
      <c r="AC65">
        <v>0</v>
      </c>
    </row>
    <row r="66" spans="1:29" x14ac:dyDescent="0.35">
      <c r="A66">
        <v>65</v>
      </c>
      <c r="B66" s="1" t="s">
        <v>126</v>
      </c>
      <c r="C66" s="1" t="s">
        <v>51</v>
      </c>
      <c r="D66">
        <v>23</v>
      </c>
      <c r="E66" s="1" t="s">
        <v>58</v>
      </c>
      <c r="F66">
        <v>42</v>
      </c>
      <c r="G66">
        <v>536</v>
      </c>
      <c r="H66">
        <v>10.199999999999999</v>
      </c>
      <c r="I66">
        <v>0.52</v>
      </c>
      <c r="J66">
        <v>0.46300000000000002</v>
      </c>
      <c r="K66">
        <v>0.17</v>
      </c>
      <c r="L66">
        <v>4.5</v>
      </c>
      <c r="M66">
        <v>9.6999999999999993</v>
      </c>
      <c r="N66">
        <v>7.1</v>
      </c>
      <c r="O66">
        <v>10.7</v>
      </c>
      <c r="P66">
        <v>0.9</v>
      </c>
      <c r="Q66">
        <v>0.5</v>
      </c>
      <c r="R66">
        <v>7.8</v>
      </c>
      <c r="S66">
        <v>17.7</v>
      </c>
      <c r="T66" s="1" t="s">
        <v>707</v>
      </c>
      <c r="U66">
        <v>0.2</v>
      </c>
      <c r="V66">
        <v>0.3</v>
      </c>
      <c r="W66">
        <v>0.5</v>
      </c>
      <c r="X66">
        <v>4.1000000000000002E-2</v>
      </c>
      <c r="Y66" s="1" t="s">
        <v>707</v>
      </c>
      <c r="Z66">
        <v>-2.7</v>
      </c>
      <c r="AA66">
        <v>-1.6</v>
      </c>
      <c r="AB66">
        <v>-4.3</v>
      </c>
      <c r="AC66">
        <v>-0.3</v>
      </c>
    </row>
    <row r="67" spans="1:29" x14ac:dyDescent="0.35">
      <c r="A67">
        <v>66</v>
      </c>
      <c r="B67" s="1" t="s">
        <v>127</v>
      </c>
      <c r="C67" s="1" t="s">
        <v>51</v>
      </c>
      <c r="D67">
        <v>25</v>
      </c>
      <c r="E67" s="1" t="s">
        <v>68</v>
      </c>
      <c r="F67">
        <v>82</v>
      </c>
      <c r="G67">
        <v>2854</v>
      </c>
      <c r="H67">
        <v>14.4</v>
      </c>
      <c r="I67">
        <v>0.627</v>
      </c>
      <c r="J67">
        <v>0.36399999999999999</v>
      </c>
      <c r="K67">
        <v>0.183</v>
      </c>
      <c r="L67">
        <v>2.9</v>
      </c>
      <c r="M67">
        <v>10</v>
      </c>
      <c r="N67">
        <v>6.5</v>
      </c>
      <c r="O67">
        <v>8.6999999999999993</v>
      </c>
      <c r="P67">
        <v>1.6</v>
      </c>
      <c r="Q67">
        <v>1.1000000000000001</v>
      </c>
      <c r="R67">
        <v>6.8</v>
      </c>
      <c r="S67">
        <v>15</v>
      </c>
      <c r="T67" s="1" t="s">
        <v>707</v>
      </c>
      <c r="U67">
        <v>5.2</v>
      </c>
      <c r="V67">
        <v>3.7</v>
      </c>
      <c r="W67">
        <v>8.9</v>
      </c>
      <c r="X67">
        <v>0.15</v>
      </c>
      <c r="Y67" s="1" t="s">
        <v>707</v>
      </c>
      <c r="Z67">
        <v>0.5</v>
      </c>
      <c r="AA67">
        <v>1.1000000000000001</v>
      </c>
      <c r="AB67">
        <v>1.6</v>
      </c>
      <c r="AC67">
        <v>2.6</v>
      </c>
    </row>
    <row r="68" spans="1:29" x14ac:dyDescent="0.35">
      <c r="A68">
        <v>67</v>
      </c>
      <c r="B68" s="1" t="s">
        <v>128</v>
      </c>
      <c r="C68" s="1" t="s">
        <v>28</v>
      </c>
      <c r="D68">
        <v>23</v>
      </c>
      <c r="E68" s="1" t="s">
        <v>73</v>
      </c>
      <c r="F68">
        <v>80</v>
      </c>
      <c r="G68">
        <v>2837</v>
      </c>
      <c r="H68">
        <v>17.899999999999999</v>
      </c>
      <c r="I68">
        <v>0.59299999999999997</v>
      </c>
      <c r="J68">
        <v>0.38300000000000001</v>
      </c>
      <c r="K68">
        <v>0.27400000000000002</v>
      </c>
      <c r="L68">
        <v>3.3</v>
      </c>
      <c r="M68">
        <v>17.8</v>
      </c>
      <c r="N68">
        <v>10.4</v>
      </c>
      <c r="O68">
        <v>15.7</v>
      </c>
      <c r="P68">
        <v>1.3</v>
      </c>
      <c r="Q68">
        <v>2.2000000000000002</v>
      </c>
      <c r="R68">
        <v>9.9</v>
      </c>
      <c r="S68">
        <v>22.6</v>
      </c>
      <c r="T68" s="1" t="s">
        <v>707</v>
      </c>
      <c r="U68">
        <v>5</v>
      </c>
      <c r="V68">
        <v>2.2999999999999998</v>
      </c>
      <c r="W68">
        <v>7.2</v>
      </c>
      <c r="X68">
        <v>0.123</v>
      </c>
      <c r="Y68" s="1" t="s">
        <v>707</v>
      </c>
      <c r="Z68">
        <v>1.8</v>
      </c>
      <c r="AA68">
        <v>-0.3</v>
      </c>
      <c r="AB68">
        <v>1.5</v>
      </c>
      <c r="AC68">
        <v>2.5</v>
      </c>
    </row>
    <row r="69" spans="1:29" x14ac:dyDescent="0.35">
      <c r="A69">
        <v>68</v>
      </c>
      <c r="B69" s="1" t="s">
        <v>129</v>
      </c>
      <c r="C69" s="1" t="s">
        <v>51</v>
      </c>
      <c r="D69">
        <v>23</v>
      </c>
      <c r="E69" s="1" t="s">
        <v>108</v>
      </c>
      <c r="F69">
        <v>67</v>
      </c>
      <c r="G69">
        <v>1564</v>
      </c>
      <c r="H69">
        <v>12.9</v>
      </c>
      <c r="I69">
        <v>0.53</v>
      </c>
      <c r="J69">
        <v>0.46800000000000003</v>
      </c>
      <c r="K69">
        <v>0.32400000000000001</v>
      </c>
      <c r="L69">
        <v>7.6</v>
      </c>
      <c r="M69">
        <v>18.100000000000001</v>
      </c>
      <c r="N69">
        <v>12.8</v>
      </c>
      <c r="O69">
        <v>6.4</v>
      </c>
      <c r="P69">
        <v>1.4</v>
      </c>
      <c r="Q69">
        <v>1.6</v>
      </c>
      <c r="R69">
        <v>8.5</v>
      </c>
      <c r="S69">
        <v>17.3</v>
      </c>
      <c r="T69" s="1" t="s">
        <v>707</v>
      </c>
      <c r="U69">
        <v>1.4</v>
      </c>
      <c r="V69">
        <v>0.9</v>
      </c>
      <c r="W69">
        <v>2.2000000000000002</v>
      </c>
      <c r="X69">
        <v>6.9000000000000006E-2</v>
      </c>
      <c r="Y69" s="1" t="s">
        <v>707</v>
      </c>
      <c r="Z69">
        <v>-0.5</v>
      </c>
      <c r="AA69">
        <v>-1.7</v>
      </c>
      <c r="AB69">
        <v>-2.2000000000000002</v>
      </c>
      <c r="AC69">
        <v>-0.1</v>
      </c>
    </row>
    <row r="70" spans="1:29" x14ac:dyDescent="0.35">
      <c r="A70">
        <v>69</v>
      </c>
      <c r="B70" s="1" t="s">
        <v>130</v>
      </c>
      <c r="C70" s="1" t="s">
        <v>48</v>
      </c>
      <c r="D70">
        <v>29</v>
      </c>
      <c r="E70" s="1" t="s">
        <v>108</v>
      </c>
      <c r="F70">
        <v>36</v>
      </c>
      <c r="G70">
        <v>1206</v>
      </c>
      <c r="H70">
        <v>18</v>
      </c>
      <c r="I70">
        <v>0.55700000000000005</v>
      </c>
      <c r="J70">
        <v>0.34300000000000003</v>
      </c>
      <c r="K70">
        <v>0.308</v>
      </c>
      <c r="L70">
        <v>3</v>
      </c>
      <c r="M70">
        <v>14.3</v>
      </c>
      <c r="N70">
        <v>8.6</v>
      </c>
      <c r="O70">
        <v>26.9</v>
      </c>
      <c r="P70">
        <v>1.2</v>
      </c>
      <c r="Q70">
        <v>1</v>
      </c>
      <c r="R70">
        <v>11.1</v>
      </c>
      <c r="S70">
        <v>24.6</v>
      </c>
      <c r="T70" s="1" t="s">
        <v>707</v>
      </c>
      <c r="U70">
        <v>2.2000000000000002</v>
      </c>
      <c r="V70">
        <v>0.4</v>
      </c>
      <c r="W70">
        <v>2.7</v>
      </c>
      <c r="X70">
        <v>0.106</v>
      </c>
      <c r="Y70" s="1" t="s">
        <v>707</v>
      </c>
      <c r="Z70">
        <v>2.8</v>
      </c>
      <c r="AA70">
        <v>-0.5</v>
      </c>
      <c r="AB70">
        <v>2.2999999999999998</v>
      </c>
      <c r="AC70">
        <v>1.3</v>
      </c>
    </row>
    <row r="71" spans="1:29" x14ac:dyDescent="0.35">
      <c r="A71">
        <v>70</v>
      </c>
      <c r="B71" s="1" t="s">
        <v>131</v>
      </c>
      <c r="C71" s="1" t="s">
        <v>132</v>
      </c>
      <c r="D71">
        <v>23</v>
      </c>
      <c r="E71" s="1" t="s">
        <v>42</v>
      </c>
      <c r="F71">
        <v>54</v>
      </c>
      <c r="G71">
        <v>844</v>
      </c>
      <c r="H71">
        <v>8.4</v>
      </c>
      <c r="I71">
        <v>0.48299999999999998</v>
      </c>
      <c r="J71">
        <v>0.86199999999999999</v>
      </c>
      <c r="K71">
        <v>7.2999999999999995E-2</v>
      </c>
      <c r="L71">
        <v>2.5</v>
      </c>
      <c r="M71">
        <v>10.9</v>
      </c>
      <c r="N71">
        <v>6.7</v>
      </c>
      <c r="O71">
        <v>10.4</v>
      </c>
      <c r="P71">
        <v>1.6</v>
      </c>
      <c r="Q71">
        <v>1.2</v>
      </c>
      <c r="R71">
        <v>8.3000000000000007</v>
      </c>
      <c r="S71">
        <v>16.399999999999999</v>
      </c>
      <c r="T71" s="1" t="s">
        <v>707</v>
      </c>
      <c r="U71">
        <v>-0.1</v>
      </c>
      <c r="V71">
        <v>0.4</v>
      </c>
      <c r="W71">
        <v>0.2</v>
      </c>
      <c r="X71">
        <v>1.4E-2</v>
      </c>
      <c r="Y71" s="1" t="s">
        <v>707</v>
      </c>
      <c r="Z71">
        <v>-2.6</v>
      </c>
      <c r="AA71">
        <v>-1.3</v>
      </c>
      <c r="AB71">
        <v>-3.9</v>
      </c>
      <c r="AC71">
        <v>-0.4</v>
      </c>
    </row>
    <row r="72" spans="1:29" x14ac:dyDescent="0.35">
      <c r="A72">
        <v>71</v>
      </c>
      <c r="B72" s="1" t="s">
        <v>133</v>
      </c>
      <c r="C72" s="1" t="s">
        <v>51</v>
      </c>
      <c r="D72">
        <v>26</v>
      </c>
      <c r="E72" s="1" t="s">
        <v>34</v>
      </c>
      <c r="F72">
        <v>32</v>
      </c>
      <c r="G72">
        <v>885</v>
      </c>
      <c r="H72">
        <v>15.5</v>
      </c>
      <c r="I72">
        <v>0.51500000000000001</v>
      </c>
      <c r="J72">
        <v>0.28299999999999997</v>
      </c>
      <c r="K72">
        <v>0.20200000000000001</v>
      </c>
      <c r="L72">
        <v>3.4</v>
      </c>
      <c r="M72">
        <v>8.8000000000000007</v>
      </c>
      <c r="N72">
        <v>6</v>
      </c>
      <c r="O72">
        <v>15.4</v>
      </c>
      <c r="P72">
        <v>1.9</v>
      </c>
      <c r="Q72">
        <v>0.8</v>
      </c>
      <c r="R72">
        <v>8</v>
      </c>
      <c r="S72">
        <v>28.8</v>
      </c>
      <c r="T72" s="1" t="s">
        <v>707</v>
      </c>
      <c r="U72">
        <v>0.7</v>
      </c>
      <c r="V72">
        <v>0.9</v>
      </c>
      <c r="W72">
        <v>1.6</v>
      </c>
      <c r="X72">
        <v>8.6999999999999994E-2</v>
      </c>
      <c r="Y72" s="1" t="s">
        <v>707</v>
      </c>
      <c r="Z72">
        <v>-1</v>
      </c>
      <c r="AA72">
        <v>-0.8</v>
      </c>
      <c r="AB72">
        <v>-1.8</v>
      </c>
      <c r="AC72">
        <v>0</v>
      </c>
    </row>
    <row r="73" spans="1:29" x14ac:dyDescent="0.35">
      <c r="A73">
        <v>72</v>
      </c>
      <c r="B73" s="1" t="s">
        <v>134</v>
      </c>
      <c r="C73" s="1" t="s">
        <v>51</v>
      </c>
      <c r="D73">
        <v>25</v>
      </c>
      <c r="E73" s="1" t="s">
        <v>39</v>
      </c>
      <c r="F73">
        <v>72</v>
      </c>
      <c r="G73">
        <v>1774</v>
      </c>
      <c r="H73">
        <v>15</v>
      </c>
      <c r="I73">
        <v>0.57499999999999996</v>
      </c>
      <c r="J73">
        <v>0.186</v>
      </c>
      <c r="K73">
        <v>0.253</v>
      </c>
      <c r="L73">
        <v>6.3</v>
      </c>
      <c r="M73">
        <v>14.7</v>
      </c>
      <c r="N73">
        <v>10.6</v>
      </c>
      <c r="O73">
        <v>11.5</v>
      </c>
      <c r="P73">
        <v>2.1</v>
      </c>
      <c r="Q73">
        <v>2.6</v>
      </c>
      <c r="R73">
        <v>9.1</v>
      </c>
      <c r="S73">
        <v>15</v>
      </c>
      <c r="T73" s="1" t="s">
        <v>707</v>
      </c>
      <c r="U73">
        <v>2.8</v>
      </c>
      <c r="V73">
        <v>2</v>
      </c>
      <c r="W73">
        <v>4.8</v>
      </c>
      <c r="X73">
        <v>0.13</v>
      </c>
      <c r="Y73" s="1" t="s">
        <v>707</v>
      </c>
      <c r="Z73">
        <v>-0.4</v>
      </c>
      <c r="AA73">
        <v>1.1000000000000001</v>
      </c>
      <c r="AB73">
        <v>0.7</v>
      </c>
      <c r="AC73">
        <v>1.2</v>
      </c>
    </row>
    <row r="74" spans="1:29" x14ac:dyDescent="0.35">
      <c r="A74">
        <v>73</v>
      </c>
      <c r="B74" s="1" t="s">
        <v>135</v>
      </c>
      <c r="C74" s="1" t="s">
        <v>41</v>
      </c>
      <c r="D74">
        <v>24</v>
      </c>
      <c r="E74" s="1" t="s">
        <v>42</v>
      </c>
      <c r="F74">
        <v>22</v>
      </c>
      <c r="G74">
        <v>177</v>
      </c>
      <c r="H74">
        <v>6.5</v>
      </c>
      <c r="I74">
        <v>0.34599999999999997</v>
      </c>
      <c r="J74">
        <v>0.308</v>
      </c>
      <c r="K74">
        <v>0.25600000000000001</v>
      </c>
      <c r="L74">
        <v>9</v>
      </c>
      <c r="M74">
        <v>11.2</v>
      </c>
      <c r="N74">
        <v>10.1</v>
      </c>
      <c r="O74">
        <v>4.5</v>
      </c>
      <c r="P74">
        <v>2.8</v>
      </c>
      <c r="Q74">
        <v>2</v>
      </c>
      <c r="R74">
        <v>10.3</v>
      </c>
      <c r="S74">
        <v>12.3</v>
      </c>
      <c r="T74" s="1" t="s">
        <v>707</v>
      </c>
      <c r="U74">
        <v>-0.2</v>
      </c>
      <c r="V74">
        <v>0.2</v>
      </c>
      <c r="W74">
        <v>0</v>
      </c>
      <c r="X74">
        <v>1.2E-2</v>
      </c>
      <c r="Y74" s="1" t="s">
        <v>707</v>
      </c>
      <c r="Z74">
        <v>-5.2</v>
      </c>
      <c r="AA74">
        <v>0.4</v>
      </c>
      <c r="AB74">
        <v>-4.8</v>
      </c>
      <c r="AC74">
        <v>-0.1</v>
      </c>
    </row>
    <row r="75" spans="1:29" x14ac:dyDescent="0.35">
      <c r="A75">
        <v>74</v>
      </c>
      <c r="B75" s="1" t="s">
        <v>136</v>
      </c>
      <c r="C75" s="1" t="s">
        <v>137</v>
      </c>
      <c r="D75">
        <v>23</v>
      </c>
      <c r="E75" s="1" t="s">
        <v>42</v>
      </c>
      <c r="F75">
        <v>5</v>
      </c>
      <c r="G75">
        <v>104</v>
      </c>
      <c r="H75">
        <v>6.4</v>
      </c>
      <c r="I75">
        <v>0.44700000000000001</v>
      </c>
      <c r="J75">
        <v>0.56299999999999994</v>
      </c>
      <c r="K75">
        <v>0.188</v>
      </c>
      <c r="L75">
        <v>1.1000000000000001</v>
      </c>
      <c r="M75">
        <v>15.7</v>
      </c>
      <c r="N75">
        <v>8.4</v>
      </c>
      <c r="O75">
        <v>5.0999999999999996</v>
      </c>
      <c r="P75">
        <v>0.9</v>
      </c>
      <c r="Q75">
        <v>0</v>
      </c>
      <c r="R75">
        <v>2.8</v>
      </c>
      <c r="S75">
        <v>14.9</v>
      </c>
      <c r="T75" s="1" t="s">
        <v>707</v>
      </c>
      <c r="U75">
        <v>0</v>
      </c>
      <c r="V75">
        <v>0</v>
      </c>
      <c r="W75">
        <v>0</v>
      </c>
      <c r="X75">
        <v>2E-3</v>
      </c>
      <c r="Y75" s="1" t="s">
        <v>707</v>
      </c>
      <c r="Z75">
        <v>-4.3</v>
      </c>
      <c r="AA75">
        <v>-2.4</v>
      </c>
      <c r="AB75">
        <v>-6.6</v>
      </c>
      <c r="AC75">
        <v>-0.1</v>
      </c>
    </row>
    <row r="76" spans="1:29" x14ac:dyDescent="0.35">
      <c r="A76">
        <v>75</v>
      </c>
      <c r="B76" s="1" t="s">
        <v>138</v>
      </c>
      <c r="C76" s="1" t="s">
        <v>51</v>
      </c>
      <c r="D76">
        <v>20</v>
      </c>
      <c r="E76" s="1" t="s">
        <v>114</v>
      </c>
      <c r="F76">
        <v>48</v>
      </c>
      <c r="G76">
        <v>640</v>
      </c>
      <c r="H76">
        <v>11</v>
      </c>
      <c r="I76">
        <v>0.51500000000000001</v>
      </c>
      <c r="J76">
        <v>0.32100000000000001</v>
      </c>
      <c r="K76">
        <v>0.34200000000000003</v>
      </c>
      <c r="L76">
        <v>6.3</v>
      </c>
      <c r="M76">
        <v>17.3</v>
      </c>
      <c r="N76">
        <v>11.6</v>
      </c>
      <c r="O76">
        <v>8.1</v>
      </c>
      <c r="P76">
        <v>2</v>
      </c>
      <c r="Q76">
        <v>3.7</v>
      </c>
      <c r="R76">
        <v>14.1</v>
      </c>
      <c r="S76">
        <v>17.2</v>
      </c>
      <c r="T76" s="1" t="s">
        <v>707</v>
      </c>
      <c r="U76">
        <v>-0.1</v>
      </c>
      <c r="V76">
        <v>0.5</v>
      </c>
      <c r="W76">
        <v>0.4</v>
      </c>
      <c r="X76">
        <v>2.9000000000000001E-2</v>
      </c>
      <c r="Y76" s="1" t="s">
        <v>707</v>
      </c>
      <c r="Z76">
        <v>-4</v>
      </c>
      <c r="AA76">
        <v>-0.7</v>
      </c>
      <c r="AB76">
        <v>-4.7</v>
      </c>
      <c r="AC76">
        <v>-0.4</v>
      </c>
    </row>
    <row r="77" spans="1:29" x14ac:dyDescent="0.35">
      <c r="A77">
        <v>76</v>
      </c>
      <c r="B77" s="1" t="s">
        <v>139</v>
      </c>
      <c r="C77" s="1" t="s">
        <v>51</v>
      </c>
      <c r="D77">
        <v>25</v>
      </c>
      <c r="E77" s="1" t="s">
        <v>140</v>
      </c>
      <c r="F77">
        <v>66</v>
      </c>
      <c r="G77">
        <v>2220</v>
      </c>
      <c r="H77">
        <v>18.899999999999999</v>
      </c>
      <c r="I77">
        <v>0.57399999999999995</v>
      </c>
      <c r="J77">
        <v>0.38100000000000001</v>
      </c>
      <c r="K77">
        <v>0.26100000000000001</v>
      </c>
      <c r="L77">
        <v>2.6</v>
      </c>
      <c r="M77">
        <v>16.7</v>
      </c>
      <c r="N77">
        <v>9.8000000000000007</v>
      </c>
      <c r="O77">
        <v>17.899999999999999</v>
      </c>
      <c r="P77">
        <v>1.6</v>
      </c>
      <c r="Q77">
        <v>0.7</v>
      </c>
      <c r="R77">
        <v>11.6</v>
      </c>
      <c r="S77">
        <v>30.5</v>
      </c>
      <c r="T77" s="1" t="s">
        <v>707</v>
      </c>
      <c r="U77">
        <v>2.2999999999999998</v>
      </c>
      <c r="V77">
        <v>3.4</v>
      </c>
      <c r="W77">
        <v>5.8</v>
      </c>
      <c r="X77">
        <v>0.124</v>
      </c>
      <c r="Y77" s="1" t="s">
        <v>707</v>
      </c>
      <c r="Z77">
        <v>1.9</v>
      </c>
      <c r="AA77">
        <v>0.1</v>
      </c>
      <c r="AB77">
        <v>2.1</v>
      </c>
      <c r="AC77">
        <v>2.2000000000000002</v>
      </c>
    </row>
    <row r="78" spans="1:29" x14ac:dyDescent="0.35">
      <c r="A78">
        <v>77</v>
      </c>
      <c r="B78" s="1" t="s">
        <v>141</v>
      </c>
      <c r="C78" s="1" t="s">
        <v>31</v>
      </c>
      <c r="D78">
        <v>22</v>
      </c>
      <c r="E78" s="1" t="s">
        <v>42</v>
      </c>
      <c r="F78">
        <v>40</v>
      </c>
      <c r="G78">
        <v>345</v>
      </c>
      <c r="H78">
        <v>18.5</v>
      </c>
      <c r="I78">
        <v>0.61199999999999999</v>
      </c>
      <c r="J78">
        <v>0</v>
      </c>
      <c r="K78">
        <v>0.66700000000000004</v>
      </c>
      <c r="L78">
        <v>12.7</v>
      </c>
      <c r="M78">
        <v>30.5</v>
      </c>
      <c r="N78">
        <v>21.7</v>
      </c>
      <c r="O78">
        <v>0.4</v>
      </c>
      <c r="P78">
        <v>1</v>
      </c>
      <c r="Q78">
        <v>4.2</v>
      </c>
      <c r="R78">
        <v>12.5</v>
      </c>
      <c r="S78">
        <v>20.7</v>
      </c>
      <c r="T78" s="1" t="s">
        <v>707</v>
      </c>
      <c r="U78">
        <v>0.5</v>
      </c>
      <c r="V78">
        <v>0.7</v>
      </c>
      <c r="W78">
        <v>1.2</v>
      </c>
      <c r="X78">
        <v>0.16</v>
      </c>
      <c r="Y78" s="1" t="s">
        <v>707</v>
      </c>
      <c r="Z78">
        <v>-2.4</v>
      </c>
      <c r="AA78">
        <v>-0.9</v>
      </c>
      <c r="AB78">
        <v>-3.3</v>
      </c>
      <c r="AC78">
        <v>-0.1</v>
      </c>
    </row>
    <row r="79" spans="1:29" x14ac:dyDescent="0.35">
      <c r="A79">
        <v>78</v>
      </c>
      <c r="B79" s="1" t="s">
        <v>142</v>
      </c>
      <c r="C79" s="1" t="s">
        <v>41</v>
      </c>
      <c r="D79">
        <v>26</v>
      </c>
      <c r="E79" s="1" t="s">
        <v>143</v>
      </c>
      <c r="F79">
        <v>49</v>
      </c>
      <c r="G79">
        <v>628</v>
      </c>
      <c r="H79">
        <v>8.4</v>
      </c>
      <c r="I79">
        <v>0.495</v>
      </c>
      <c r="J79">
        <v>0.59399999999999997</v>
      </c>
      <c r="K79">
        <v>9.7000000000000003E-2</v>
      </c>
      <c r="L79">
        <v>4.5999999999999996</v>
      </c>
      <c r="M79">
        <v>21.8</v>
      </c>
      <c r="N79">
        <v>13.2</v>
      </c>
      <c r="O79">
        <v>7.5</v>
      </c>
      <c r="P79">
        <v>1.1000000000000001</v>
      </c>
      <c r="Q79">
        <v>1</v>
      </c>
      <c r="R79">
        <v>12.5</v>
      </c>
      <c r="S79">
        <v>13.2</v>
      </c>
      <c r="T79" s="1" t="s">
        <v>707</v>
      </c>
      <c r="U79">
        <v>-0.1</v>
      </c>
      <c r="V79">
        <v>0.9</v>
      </c>
      <c r="W79">
        <v>0.8</v>
      </c>
      <c r="X79">
        <v>6.0999999999999999E-2</v>
      </c>
      <c r="Y79" s="1" t="s">
        <v>707</v>
      </c>
      <c r="Z79">
        <v>-3.4</v>
      </c>
      <c r="AA79">
        <v>0.5</v>
      </c>
      <c r="AB79">
        <v>-2.9</v>
      </c>
      <c r="AC79">
        <v>-0.1</v>
      </c>
    </row>
    <row r="80" spans="1:29" x14ac:dyDescent="0.35">
      <c r="A80">
        <v>79</v>
      </c>
      <c r="B80" s="1" t="s">
        <v>144</v>
      </c>
      <c r="C80" s="1" t="s">
        <v>51</v>
      </c>
      <c r="D80">
        <v>22</v>
      </c>
      <c r="E80" s="1" t="s">
        <v>75</v>
      </c>
      <c r="F80">
        <v>66</v>
      </c>
      <c r="G80">
        <v>1055</v>
      </c>
      <c r="H80">
        <v>10.1</v>
      </c>
      <c r="I80">
        <v>0.52500000000000002</v>
      </c>
      <c r="J80">
        <v>0.51600000000000001</v>
      </c>
      <c r="K80">
        <v>0.10100000000000001</v>
      </c>
      <c r="L80">
        <v>4.2</v>
      </c>
      <c r="M80">
        <v>17.399999999999999</v>
      </c>
      <c r="N80">
        <v>10.8</v>
      </c>
      <c r="O80">
        <v>8.1999999999999993</v>
      </c>
      <c r="P80">
        <v>1.7</v>
      </c>
      <c r="Q80">
        <v>0.4</v>
      </c>
      <c r="R80">
        <v>8.8000000000000007</v>
      </c>
      <c r="S80">
        <v>12.3</v>
      </c>
      <c r="T80" s="1" t="s">
        <v>707</v>
      </c>
      <c r="U80">
        <v>0.5</v>
      </c>
      <c r="V80">
        <v>0.9</v>
      </c>
      <c r="W80">
        <v>1.4</v>
      </c>
      <c r="X80">
        <v>6.5000000000000002E-2</v>
      </c>
      <c r="Y80" s="1" t="s">
        <v>707</v>
      </c>
      <c r="Z80">
        <v>-1.7</v>
      </c>
      <c r="AA80">
        <v>-0.2</v>
      </c>
      <c r="AB80">
        <v>-1.8</v>
      </c>
      <c r="AC80">
        <v>0.1</v>
      </c>
    </row>
    <row r="81" spans="1:29" x14ac:dyDescent="0.35">
      <c r="A81">
        <v>80</v>
      </c>
      <c r="B81" s="1" t="s">
        <v>145</v>
      </c>
      <c r="C81" s="1" t="s">
        <v>48</v>
      </c>
      <c r="D81">
        <v>25</v>
      </c>
      <c r="E81" s="1" t="s">
        <v>143</v>
      </c>
      <c r="F81">
        <v>79</v>
      </c>
      <c r="G81">
        <v>2524</v>
      </c>
      <c r="H81">
        <v>17.100000000000001</v>
      </c>
      <c r="I81">
        <v>0.58299999999999996</v>
      </c>
      <c r="J81">
        <v>0.25</v>
      </c>
      <c r="K81">
        <v>0.21099999999999999</v>
      </c>
      <c r="L81">
        <v>1.9</v>
      </c>
      <c r="M81">
        <v>11.7</v>
      </c>
      <c r="N81">
        <v>6.8</v>
      </c>
      <c r="O81">
        <v>24.3</v>
      </c>
      <c r="P81">
        <v>1.3</v>
      </c>
      <c r="Q81">
        <v>0.1</v>
      </c>
      <c r="R81">
        <v>10.1</v>
      </c>
      <c r="S81">
        <v>21.9</v>
      </c>
      <c r="T81" s="1" t="s">
        <v>707</v>
      </c>
      <c r="U81">
        <v>4.9000000000000004</v>
      </c>
      <c r="V81">
        <v>2.7</v>
      </c>
      <c r="W81">
        <v>7.5</v>
      </c>
      <c r="X81">
        <v>0.14299999999999999</v>
      </c>
      <c r="Y81" s="1" t="s">
        <v>707</v>
      </c>
      <c r="Z81">
        <v>0.9</v>
      </c>
      <c r="AA81">
        <v>0</v>
      </c>
      <c r="AB81">
        <v>0.9</v>
      </c>
      <c r="AC81">
        <v>1.9</v>
      </c>
    </row>
    <row r="82" spans="1:29" x14ac:dyDescent="0.35">
      <c r="A82">
        <v>81</v>
      </c>
      <c r="B82" s="1" t="s">
        <v>146</v>
      </c>
      <c r="C82" s="1" t="s">
        <v>31</v>
      </c>
      <c r="D82">
        <v>24</v>
      </c>
      <c r="E82" s="1" t="s">
        <v>65</v>
      </c>
      <c r="F82">
        <v>27</v>
      </c>
      <c r="G82">
        <v>439</v>
      </c>
      <c r="H82">
        <v>16.600000000000001</v>
      </c>
      <c r="I82">
        <v>0.60699999999999998</v>
      </c>
      <c r="J82">
        <v>0.28399999999999997</v>
      </c>
      <c r="K82">
        <v>0.27</v>
      </c>
      <c r="L82">
        <v>6.7</v>
      </c>
      <c r="M82">
        <v>20.399999999999999</v>
      </c>
      <c r="N82">
        <v>13.6</v>
      </c>
      <c r="O82">
        <v>7.9</v>
      </c>
      <c r="P82">
        <v>0.7</v>
      </c>
      <c r="Q82">
        <v>4.0999999999999996</v>
      </c>
      <c r="R82">
        <v>10.3</v>
      </c>
      <c r="S82">
        <v>18.7</v>
      </c>
      <c r="T82" s="1" t="s">
        <v>707</v>
      </c>
      <c r="U82">
        <v>0.7</v>
      </c>
      <c r="V82">
        <v>0.4</v>
      </c>
      <c r="W82">
        <v>1.1000000000000001</v>
      </c>
      <c r="X82">
        <v>0.11799999999999999</v>
      </c>
      <c r="Y82" s="1" t="s">
        <v>707</v>
      </c>
      <c r="Z82">
        <v>-0.4</v>
      </c>
      <c r="AA82">
        <v>-0.7</v>
      </c>
      <c r="AB82">
        <v>-1</v>
      </c>
      <c r="AC82">
        <v>0.1</v>
      </c>
    </row>
    <row r="83" spans="1:29" x14ac:dyDescent="0.35">
      <c r="A83">
        <v>82</v>
      </c>
      <c r="B83" s="1" t="s">
        <v>147</v>
      </c>
      <c r="C83" s="1" t="s">
        <v>48</v>
      </c>
      <c r="D83">
        <v>25</v>
      </c>
      <c r="E83" s="1" t="s">
        <v>34</v>
      </c>
      <c r="F83">
        <v>2</v>
      </c>
      <c r="G83">
        <v>10</v>
      </c>
      <c r="H83">
        <v>0.6</v>
      </c>
      <c r="I83">
        <v>0.25</v>
      </c>
      <c r="J83">
        <v>0.5</v>
      </c>
      <c r="K83">
        <v>0</v>
      </c>
      <c r="L83">
        <v>10.199999999999999</v>
      </c>
      <c r="M83">
        <v>10.7</v>
      </c>
      <c r="N83">
        <v>10.5</v>
      </c>
      <c r="O83">
        <v>24.9</v>
      </c>
      <c r="P83">
        <v>4.8</v>
      </c>
      <c r="Q83">
        <v>0</v>
      </c>
      <c r="R83">
        <v>33.299999999999997</v>
      </c>
      <c r="S83">
        <v>24.6</v>
      </c>
      <c r="T83" s="1" t="s">
        <v>707</v>
      </c>
      <c r="U83">
        <v>-0.1</v>
      </c>
      <c r="V83">
        <v>0</v>
      </c>
      <c r="W83">
        <v>0</v>
      </c>
      <c r="X83">
        <v>-0.23</v>
      </c>
      <c r="Y83" s="1" t="s">
        <v>707</v>
      </c>
      <c r="Z83">
        <v>-11.2</v>
      </c>
      <c r="AA83">
        <v>0.1</v>
      </c>
      <c r="AB83">
        <v>-11.2</v>
      </c>
      <c r="AC83">
        <v>0</v>
      </c>
    </row>
    <row r="84" spans="1:29" x14ac:dyDescent="0.35">
      <c r="A84">
        <v>83</v>
      </c>
      <c r="B84" s="1" t="s">
        <v>148</v>
      </c>
      <c r="C84" s="1" t="s">
        <v>51</v>
      </c>
      <c r="D84">
        <v>30</v>
      </c>
      <c r="E84" s="1" t="s">
        <v>143</v>
      </c>
      <c r="F84">
        <v>68</v>
      </c>
      <c r="G84">
        <v>1902</v>
      </c>
      <c r="H84">
        <v>9.1999999999999993</v>
      </c>
      <c r="I84">
        <v>0.55800000000000005</v>
      </c>
      <c r="J84">
        <v>0.78200000000000003</v>
      </c>
      <c r="K84">
        <v>9.6000000000000002E-2</v>
      </c>
      <c r="L84">
        <v>1.9</v>
      </c>
      <c r="M84">
        <v>12.2</v>
      </c>
      <c r="N84">
        <v>7</v>
      </c>
      <c r="O84">
        <v>6.1</v>
      </c>
      <c r="P84">
        <v>1.1000000000000001</v>
      </c>
      <c r="Q84">
        <v>0.7</v>
      </c>
      <c r="R84">
        <v>7.1</v>
      </c>
      <c r="S84">
        <v>13.3</v>
      </c>
      <c r="T84" s="1" t="s">
        <v>707</v>
      </c>
      <c r="U84">
        <v>1.2</v>
      </c>
      <c r="V84">
        <v>2</v>
      </c>
      <c r="W84">
        <v>3.2</v>
      </c>
      <c r="X84">
        <v>0.08</v>
      </c>
      <c r="Y84" s="1" t="s">
        <v>707</v>
      </c>
      <c r="Z84">
        <v>-1.4</v>
      </c>
      <c r="AA84">
        <v>0</v>
      </c>
      <c r="AB84">
        <v>-1.4</v>
      </c>
      <c r="AC84">
        <v>0.3</v>
      </c>
    </row>
    <row r="85" spans="1:29" x14ac:dyDescent="0.35">
      <c r="A85">
        <v>84</v>
      </c>
      <c r="B85" s="1" t="s">
        <v>149</v>
      </c>
      <c r="C85" s="1" t="s">
        <v>48</v>
      </c>
      <c r="D85">
        <v>29</v>
      </c>
      <c r="E85" s="1" t="s">
        <v>143</v>
      </c>
      <c r="F85">
        <v>42</v>
      </c>
      <c r="G85">
        <v>441</v>
      </c>
      <c r="H85">
        <v>10</v>
      </c>
      <c r="I85">
        <v>0.47499999999999998</v>
      </c>
      <c r="J85">
        <v>0.38100000000000001</v>
      </c>
      <c r="K85">
        <v>0.107</v>
      </c>
      <c r="L85">
        <v>1</v>
      </c>
      <c r="M85">
        <v>7.3</v>
      </c>
      <c r="N85">
        <v>4.2</v>
      </c>
      <c r="O85">
        <v>20.7</v>
      </c>
      <c r="P85">
        <v>1.4</v>
      </c>
      <c r="Q85">
        <v>0</v>
      </c>
      <c r="R85">
        <v>10.4</v>
      </c>
      <c r="S85">
        <v>25.6</v>
      </c>
      <c r="T85" s="1" t="s">
        <v>707</v>
      </c>
      <c r="U85">
        <v>-0.4</v>
      </c>
      <c r="V85">
        <v>0.4</v>
      </c>
      <c r="W85">
        <v>0</v>
      </c>
      <c r="X85">
        <v>3.0000000000000001E-3</v>
      </c>
      <c r="Y85" s="1" t="s">
        <v>707</v>
      </c>
      <c r="Z85">
        <v>-3.6</v>
      </c>
      <c r="AA85">
        <v>-1.4</v>
      </c>
      <c r="AB85">
        <v>-5</v>
      </c>
      <c r="AC85">
        <v>-0.3</v>
      </c>
    </row>
    <row r="86" spans="1:29" x14ac:dyDescent="0.35">
      <c r="A86">
        <v>85</v>
      </c>
      <c r="B86" s="1" t="s">
        <v>150</v>
      </c>
      <c r="C86" s="1" t="s">
        <v>41</v>
      </c>
      <c r="D86">
        <v>30</v>
      </c>
      <c r="E86" s="1" t="s">
        <v>61</v>
      </c>
      <c r="F86">
        <v>81</v>
      </c>
      <c r="G86">
        <v>2318</v>
      </c>
      <c r="H86">
        <v>13.7</v>
      </c>
      <c r="I86">
        <v>0.55900000000000005</v>
      </c>
      <c r="J86">
        <v>0.53400000000000003</v>
      </c>
      <c r="K86">
        <v>0.36299999999999999</v>
      </c>
      <c r="L86">
        <v>2.1</v>
      </c>
      <c r="M86">
        <v>16.600000000000001</v>
      </c>
      <c r="N86">
        <v>9.1999999999999993</v>
      </c>
      <c r="O86">
        <v>15.7</v>
      </c>
      <c r="P86">
        <v>1.8</v>
      </c>
      <c r="Q86">
        <v>1.1000000000000001</v>
      </c>
      <c r="R86">
        <v>9.6999999999999993</v>
      </c>
      <c r="S86">
        <v>17.7</v>
      </c>
      <c r="T86" s="1" t="s">
        <v>707</v>
      </c>
      <c r="U86">
        <v>3.2</v>
      </c>
      <c r="V86">
        <v>2.9</v>
      </c>
      <c r="W86">
        <v>6.1</v>
      </c>
      <c r="X86">
        <v>0.126</v>
      </c>
      <c r="Y86" s="1" t="s">
        <v>707</v>
      </c>
      <c r="Z86">
        <v>-0.4</v>
      </c>
      <c r="AA86">
        <v>1.2</v>
      </c>
      <c r="AB86">
        <v>0.8</v>
      </c>
      <c r="AC86">
        <v>1.7</v>
      </c>
    </row>
    <row r="87" spans="1:29" x14ac:dyDescent="0.35">
      <c r="A87">
        <v>86</v>
      </c>
      <c r="B87" s="1" t="s">
        <v>151</v>
      </c>
      <c r="C87" s="1" t="s">
        <v>41</v>
      </c>
      <c r="D87">
        <v>21</v>
      </c>
      <c r="E87" s="1" t="s">
        <v>70</v>
      </c>
      <c r="F87">
        <v>42</v>
      </c>
      <c r="G87">
        <v>360</v>
      </c>
      <c r="H87">
        <v>12.1</v>
      </c>
      <c r="I87">
        <v>0.50900000000000001</v>
      </c>
      <c r="J87">
        <v>0.58299999999999996</v>
      </c>
      <c r="K87">
        <v>0.106</v>
      </c>
      <c r="L87">
        <v>1.6</v>
      </c>
      <c r="M87">
        <v>11.8</v>
      </c>
      <c r="N87">
        <v>6.8</v>
      </c>
      <c r="O87">
        <v>26</v>
      </c>
      <c r="P87">
        <v>2.2999999999999998</v>
      </c>
      <c r="Q87">
        <v>2</v>
      </c>
      <c r="R87">
        <v>17.3</v>
      </c>
      <c r="S87">
        <v>23.1</v>
      </c>
      <c r="T87" s="1" t="s">
        <v>707</v>
      </c>
      <c r="U87">
        <v>0</v>
      </c>
      <c r="V87">
        <v>0.5</v>
      </c>
      <c r="W87">
        <v>0.4</v>
      </c>
      <c r="X87">
        <v>5.7000000000000002E-2</v>
      </c>
      <c r="Y87" s="1" t="s">
        <v>707</v>
      </c>
      <c r="Z87">
        <v>-2.2999999999999998</v>
      </c>
      <c r="AA87">
        <v>0.7</v>
      </c>
      <c r="AB87">
        <v>-1.6</v>
      </c>
      <c r="AC87">
        <v>0</v>
      </c>
    </row>
    <row r="88" spans="1:29" x14ac:dyDescent="0.35">
      <c r="A88">
        <v>87</v>
      </c>
      <c r="B88" s="1" t="s">
        <v>152</v>
      </c>
      <c r="C88" s="1" t="s">
        <v>51</v>
      </c>
      <c r="D88">
        <v>32</v>
      </c>
      <c r="E88" s="1" t="s">
        <v>36</v>
      </c>
      <c r="F88">
        <v>57</v>
      </c>
      <c r="G88">
        <v>1931</v>
      </c>
      <c r="H88">
        <v>23.6</v>
      </c>
      <c r="I88">
        <v>0.59199999999999997</v>
      </c>
      <c r="J88">
        <v>0.14000000000000001</v>
      </c>
      <c r="K88">
        <v>0.54900000000000004</v>
      </c>
      <c r="L88">
        <v>6.1</v>
      </c>
      <c r="M88">
        <v>13.5</v>
      </c>
      <c r="N88">
        <v>9.9</v>
      </c>
      <c r="O88">
        <v>26.4</v>
      </c>
      <c r="P88">
        <v>2.4</v>
      </c>
      <c r="Q88">
        <v>1.5</v>
      </c>
      <c r="R88">
        <v>10.5</v>
      </c>
      <c r="S88">
        <v>26.5</v>
      </c>
      <c r="T88" s="1" t="s">
        <v>707</v>
      </c>
      <c r="U88">
        <v>6.2</v>
      </c>
      <c r="V88">
        <v>2.9</v>
      </c>
      <c r="W88">
        <v>9.1999999999999993</v>
      </c>
      <c r="X88">
        <v>0.22800000000000001</v>
      </c>
      <c r="Y88" s="1" t="s">
        <v>707</v>
      </c>
      <c r="Z88">
        <v>4.5</v>
      </c>
      <c r="AA88">
        <v>1.9</v>
      </c>
      <c r="AB88">
        <v>6.3</v>
      </c>
      <c r="AC88">
        <v>4</v>
      </c>
    </row>
    <row r="89" spans="1:29" x14ac:dyDescent="0.35">
      <c r="A89">
        <v>88</v>
      </c>
      <c r="B89" s="1" t="s">
        <v>153</v>
      </c>
      <c r="C89" s="1" t="s">
        <v>28</v>
      </c>
      <c r="D89">
        <v>25</v>
      </c>
      <c r="E89" s="1" t="s">
        <v>91</v>
      </c>
      <c r="F89">
        <v>15</v>
      </c>
      <c r="G89">
        <v>121</v>
      </c>
      <c r="H89">
        <v>20.2</v>
      </c>
      <c r="I89">
        <v>0.67500000000000004</v>
      </c>
      <c r="J89">
        <v>0</v>
      </c>
      <c r="K89">
        <v>0.22600000000000001</v>
      </c>
      <c r="L89">
        <v>6.9</v>
      </c>
      <c r="M89">
        <v>29.7</v>
      </c>
      <c r="N89">
        <v>18.2</v>
      </c>
      <c r="O89">
        <v>6.9</v>
      </c>
      <c r="P89">
        <v>3.2</v>
      </c>
      <c r="Q89">
        <v>4.9000000000000004</v>
      </c>
      <c r="R89">
        <v>8.1</v>
      </c>
      <c r="S89">
        <v>12.9</v>
      </c>
      <c r="T89" s="1" t="s">
        <v>707</v>
      </c>
      <c r="U89">
        <v>0.3</v>
      </c>
      <c r="V89">
        <v>0.3</v>
      </c>
      <c r="W89">
        <v>0.5</v>
      </c>
      <c r="X89">
        <v>0.20599999999999999</v>
      </c>
      <c r="Y89" s="1" t="s">
        <v>707</v>
      </c>
      <c r="Z89">
        <v>0.7</v>
      </c>
      <c r="AA89">
        <v>3.5</v>
      </c>
      <c r="AB89">
        <v>4.2</v>
      </c>
      <c r="AC89">
        <v>0.2</v>
      </c>
    </row>
    <row r="90" spans="1:29" x14ac:dyDescent="0.35">
      <c r="A90">
        <v>89</v>
      </c>
      <c r="B90" s="1" t="s">
        <v>154</v>
      </c>
      <c r="C90" s="1" t="s">
        <v>41</v>
      </c>
      <c r="D90">
        <v>28</v>
      </c>
      <c r="E90" s="1" t="s">
        <v>65</v>
      </c>
      <c r="F90">
        <v>77</v>
      </c>
      <c r="G90">
        <v>2329</v>
      </c>
      <c r="H90">
        <v>12.6</v>
      </c>
      <c r="I90">
        <v>0.56799999999999995</v>
      </c>
      <c r="J90">
        <v>0.49199999999999999</v>
      </c>
      <c r="K90">
        <v>0.186</v>
      </c>
      <c r="L90">
        <v>2</v>
      </c>
      <c r="M90">
        <v>10.3</v>
      </c>
      <c r="N90">
        <v>6.2</v>
      </c>
      <c r="O90">
        <v>9.1</v>
      </c>
      <c r="P90">
        <v>1.8</v>
      </c>
      <c r="Q90">
        <v>0.9</v>
      </c>
      <c r="R90">
        <v>9.8000000000000007</v>
      </c>
      <c r="S90">
        <v>19</v>
      </c>
      <c r="T90" s="1" t="s">
        <v>707</v>
      </c>
      <c r="U90">
        <v>1.4</v>
      </c>
      <c r="V90">
        <v>1.4</v>
      </c>
      <c r="W90">
        <v>2.8</v>
      </c>
      <c r="X90">
        <v>5.8000000000000003E-2</v>
      </c>
      <c r="Y90" s="1" t="s">
        <v>707</v>
      </c>
      <c r="Z90">
        <v>-0.9</v>
      </c>
      <c r="AA90">
        <v>-0.6</v>
      </c>
      <c r="AB90">
        <v>-1.5</v>
      </c>
      <c r="AC90">
        <v>0.3</v>
      </c>
    </row>
    <row r="91" spans="1:29" x14ac:dyDescent="0.35">
      <c r="A91">
        <v>90</v>
      </c>
      <c r="B91" s="1" t="s">
        <v>155</v>
      </c>
      <c r="C91" s="1" t="s">
        <v>48</v>
      </c>
      <c r="D91">
        <v>30</v>
      </c>
      <c r="E91" s="1" t="s">
        <v>86</v>
      </c>
      <c r="F91">
        <v>65</v>
      </c>
      <c r="G91">
        <v>1184</v>
      </c>
      <c r="H91">
        <v>11.1</v>
      </c>
      <c r="I91">
        <v>0.503</v>
      </c>
      <c r="J91">
        <v>0.65200000000000002</v>
      </c>
      <c r="K91">
        <v>0.26400000000000001</v>
      </c>
      <c r="L91">
        <v>2.2000000000000002</v>
      </c>
      <c r="M91">
        <v>8.6</v>
      </c>
      <c r="N91">
        <v>5.5</v>
      </c>
      <c r="O91">
        <v>24.1</v>
      </c>
      <c r="P91">
        <v>2.6</v>
      </c>
      <c r="Q91">
        <v>1.8</v>
      </c>
      <c r="R91">
        <v>16.899999999999999</v>
      </c>
      <c r="S91">
        <v>14.7</v>
      </c>
      <c r="T91" s="1" t="s">
        <v>707</v>
      </c>
      <c r="U91">
        <v>0.6</v>
      </c>
      <c r="V91">
        <v>1.3</v>
      </c>
      <c r="W91">
        <v>2</v>
      </c>
      <c r="X91">
        <v>8.1000000000000003E-2</v>
      </c>
      <c r="Y91" s="1" t="s">
        <v>707</v>
      </c>
      <c r="Z91">
        <v>-2.1</v>
      </c>
      <c r="AA91">
        <v>1.3</v>
      </c>
      <c r="AB91">
        <v>-0.8</v>
      </c>
      <c r="AC91">
        <v>0.4</v>
      </c>
    </row>
    <row r="92" spans="1:29" x14ac:dyDescent="0.35">
      <c r="A92">
        <v>91</v>
      </c>
      <c r="B92" s="1" t="s">
        <v>156</v>
      </c>
      <c r="C92" s="1" t="s">
        <v>28</v>
      </c>
      <c r="D92">
        <v>24</v>
      </c>
      <c r="E92" s="1" t="s">
        <v>86</v>
      </c>
      <c r="F92">
        <v>15</v>
      </c>
      <c r="G92">
        <v>176</v>
      </c>
      <c r="H92">
        <v>12.7</v>
      </c>
      <c r="I92">
        <v>0.65700000000000003</v>
      </c>
      <c r="J92">
        <v>0.29299999999999998</v>
      </c>
      <c r="K92">
        <v>0.34100000000000003</v>
      </c>
      <c r="L92">
        <v>5.2</v>
      </c>
      <c r="M92">
        <v>14.1</v>
      </c>
      <c r="N92">
        <v>9.8000000000000007</v>
      </c>
      <c r="O92">
        <v>13.2</v>
      </c>
      <c r="P92">
        <v>0.6</v>
      </c>
      <c r="Q92">
        <v>1.5</v>
      </c>
      <c r="R92">
        <v>16</v>
      </c>
      <c r="S92">
        <v>14</v>
      </c>
      <c r="T92" s="1" t="s">
        <v>707</v>
      </c>
      <c r="U92">
        <v>0.3</v>
      </c>
      <c r="V92">
        <v>0.1</v>
      </c>
      <c r="W92">
        <v>0.4</v>
      </c>
      <c r="X92">
        <v>0.114</v>
      </c>
      <c r="Y92" s="1" t="s">
        <v>707</v>
      </c>
      <c r="Z92">
        <v>-0.9</v>
      </c>
      <c r="AA92">
        <v>-0.9</v>
      </c>
      <c r="AB92">
        <v>-1.7</v>
      </c>
      <c r="AC92">
        <v>0</v>
      </c>
    </row>
    <row r="93" spans="1:29" x14ac:dyDescent="0.35">
      <c r="A93">
        <v>92</v>
      </c>
      <c r="B93" s="1" t="s">
        <v>157</v>
      </c>
      <c r="C93" s="1" t="s">
        <v>48</v>
      </c>
      <c r="D93">
        <v>25</v>
      </c>
      <c r="E93" s="1" t="s">
        <v>58</v>
      </c>
      <c r="F93">
        <v>5</v>
      </c>
      <c r="G93">
        <v>145</v>
      </c>
      <c r="H93">
        <v>8.6</v>
      </c>
      <c r="I93">
        <v>0.53100000000000003</v>
      </c>
      <c r="J93">
        <v>0.84099999999999997</v>
      </c>
      <c r="K93">
        <v>0.159</v>
      </c>
      <c r="L93">
        <v>0.7</v>
      </c>
      <c r="M93">
        <v>3.7</v>
      </c>
      <c r="N93">
        <v>2.2000000000000002</v>
      </c>
      <c r="O93">
        <v>10</v>
      </c>
      <c r="P93">
        <v>1.7</v>
      </c>
      <c r="Q93">
        <v>1.9</v>
      </c>
      <c r="R93">
        <v>9.6</v>
      </c>
      <c r="S93">
        <v>15.5</v>
      </c>
      <c r="T93" s="1" t="s">
        <v>707</v>
      </c>
      <c r="U93">
        <v>0</v>
      </c>
      <c r="V93">
        <v>0.1</v>
      </c>
      <c r="W93">
        <v>0.1</v>
      </c>
      <c r="X93">
        <v>3.3000000000000002E-2</v>
      </c>
      <c r="Y93" s="1" t="s">
        <v>707</v>
      </c>
      <c r="Z93">
        <v>-2.8</v>
      </c>
      <c r="AA93">
        <v>-0.4</v>
      </c>
      <c r="AB93">
        <v>-3.2</v>
      </c>
      <c r="AC93">
        <v>0</v>
      </c>
    </row>
    <row r="94" spans="1:29" x14ac:dyDescent="0.35">
      <c r="A94">
        <v>93</v>
      </c>
      <c r="B94" s="1" t="s">
        <v>158</v>
      </c>
      <c r="C94" s="1" t="s">
        <v>31</v>
      </c>
      <c r="D94">
        <v>27</v>
      </c>
      <c r="E94" s="1" t="s">
        <v>80</v>
      </c>
      <c r="F94">
        <v>74</v>
      </c>
      <c r="G94">
        <v>2042</v>
      </c>
      <c r="H94">
        <v>21.4</v>
      </c>
      <c r="I94">
        <v>0.60399999999999998</v>
      </c>
      <c r="J94">
        <v>2E-3</v>
      </c>
      <c r="K94">
        <v>0.28000000000000003</v>
      </c>
      <c r="L94">
        <v>15</v>
      </c>
      <c r="M94">
        <v>31.9</v>
      </c>
      <c r="N94">
        <v>23.5</v>
      </c>
      <c r="O94">
        <v>6.6</v>
      </c>
      <c r="P94">
        <v>1.3</v>
      </c>
      <c r="Q94">
        <v>4.0999999999999996</v>
      </c>
      <c r="R94">
        <v>6.1</v>
      </c>
      <c r="S94">
        <v>15.5</v>
      </c>
      <c r="T94" s="1" t="s">
        <v>707</v>
      </c>
      <c r="U94">
        <v>5.6</v>
      </c>
      <c r="V94">
        <v>2.7</v>
      </c>
      <c r="W94">
        <v>8.3000000000000007</v>
      </c>
      <c r="X94">
        <v>0.19500000000000001</v>
      </c>
      <c r="Y94" s="1" t="s">
        <v>707</v>
      </c>
      <c r="Z94">
        <v>2.2000000000000002</v>
      </c>
      <c r="AA94">
        <v>-0.1</v>
      </c>
      <c r="AB94">
        <v>2</v>
      </c>
      <c r="AC94">
        <v>2.1</v>
      </c>
    </row>
    <row r="95" spans="1:29" x14ac:dyDescent="0.35">
      <c r="A95">
        <v>94</v>
      </c>
      <c r="B95" s="1" t="s">
        <v>159</v>
      </c>
      <c r="C95" s="1" t="s">
        <v>31</v>
      </c>
      <c r="D95">
        <v>20</v>
      </c>
      <c r="E95" s="1" t="s">
        <v>42</v>
      </c>
      <c r="F95">
        <v>7</v>
      </c>
      <c r="G95">
        <v>44</v>
      </c>
      <c r="H95">
        <v>15.8</v>
      </c>
      <c r="I95">
        <v>0.53400000000000003</v>
      </c>
      <c r="J95">
        <v>0</v>
      </c>
      <c r="K95">
        <v>1</v>
      </c>
      <c r="L95">
        <v>19.899999999999999</v>
      </c>
      <c r="M95">
        <v>9.8000000000000007</v>
      </c>
      <c r="N95">
        <v>14.8</v>
      </c>
      <c r="O95">
        <v>0</v>
      </c>
      <c r="P95">
        <v>2.2000000000000002</v>
      </c>
      <c r="Q95">
        <v>1.9</v>
      </c>
      <c r="R95">
        <v>13.8</v>
      </c>
      <c r="S95">
        <v>21.6</v>
      </c>
      <c r="T95" s="1" t="s">
        <v>707</v>
      </c>
      <c r="U95">
        <v>0</v>
      </c>
      <c r="V95">
        <v>0</v>
      </c>
      <c r="W95">
        <v>0.1</v>
      </c>
      <c r="X95">
        <v>6.8000000000000005E-2</v>
      </c>
      <c r="Y95" s="1" t="s">
        <v>707</v>
      </c>
      <c r="Z95">
        <v>-3</v>
      </c>
      <c r="AA95">
        <v>-4.5</v>
      </c>
      <c r="AB95">
        <v>-7.5</v>
      </c>
      <c r="AC95">
        <v>-0.1</v>
      </c>
    </row>
    <row r="96" spans="1:29" x14ac:dyDescent="0.35">
      <c r="A96">
        <v>95</v>
      </c>
      <c r="B96" s="1" t="s">
        <v>160</v>
      </c>
      <c r="C96" s="1" t="s">
        <v>48</v>
      </c>
      <c r="D96">
        <v>26</v>
      </c>
      <c r="E96" s="1" t="s">
        <v>42</v>
      </c>
      <c r="F96">
        <v>66</v>
      </c>
      <c r="G96">
        <v>905</v>
      </c>
      <c r="H96">
        <v>9.6</v>
      </c>
      <c r="I96">
        <v>0.53100000000000003</v>
      </c>
      <c r="J96">
        <v>0.67200000000000004</v>
      </c>
      <c r="K96">
        <v>7.0999999999999994E-2</v>
      </c>
      <c r="L96">
        <v>1.7</v>
      </c>
      <c r="M96">
        <v>11.2</v>
      </c>
      <c r="N96">
        <v>6.6</v>
      </c>
      <c r="O96">
        <v>14</v>
      </c>
      <c r="P96">
        <v>1.3</v>
      </c>
      <c r="Q96">
        <v>1.4</v>
      </c>
      <c r="R96">
        <v>11.5</v>
      </c>
      <c r="S96">
        <v>14</v>
      </c>
      <c r="T96" s="1" t="s">
        <v>707</v>
      </c>
      <c r="U96">
        <v>0.5</v>
      </c>
      <c r="V96">
        <v>0.7</v>
      </c>
      <c r="W96">
        <v>1.2</v>
      </c>
      <c r="X96">
        <v>6.2E-2</v>
      </c>
      <c r="Y96" s="1" t="s">
        <v>707</v>
      </c>
      <c r="Z96">
        <v>-1.8</v>
      </c>
      <c r="AA96">
        <v>-0.4</v>
      </c>
      <c r="AB96">
        <v>-2.2000000000000002</v>
      </c>
      <c r="AC96">
        <v>-0.1</v>
      </c>
    </row>
    <row r="97" spans="1:29" x14ac:dyDescent="0.35">
      <c r="A97">
        <v>96</v>
      </c>
      <c r="B97" s="1" t="s">
        <v>161</v>
      </c>
      <c r="C97" s="1" t="s">
        <v>31</v>
      </c>
      <c r="D97">
        <v>22</v>
      </c>
      <c r="E97" s="1" t="s">
        <v>58</v>
      </c>
      <c r="F97">
        <v>62</v>
      </c>
      <c r="G97">
        <v>1852</v>
      </c>
      <c r="H97">
        <v>18.399999999999999</v>
      </c>
      <c r="I97">
        <v>0.60099999999999998</v>
      </c>
      <c r="J97">
        <v>0.313</v>
      </c>
      <c r="K97">
        <v>0.30299999999999999</v>
      </c>
      <c r="L97">
        <v>7.9</v>
      </c>
      <c r="M97">
        <v>29.1</v>
      </c>
      <c r="N97">
        <v>18.5</v>
      </c>
      <c r="O97">
        <v>15.4</v>
      </c>
      <c r="P97">
        <v>0.9</v>
      </c>
      <c r="Q97">
        <v>2.1</v>
      </c>
      <c r="R97">
        <v>13.1</v>
      </c>
      <c r="S97">
        <v>20.9</v>
      </c>
      <c r="T97" s="1" t="s">
        <v>707</v>
      </c>
      <c r="U97">
        <v>2.6</v>
      </c>
      <c r="V97">
        <v>2.4</v>
      </c>
      <c r="W97">
        <v>5</v>
      </c>
      <c r="X97">
        <v>0.129</v>
      </c>
      <c r="Y97" s="1" t="s">
        <v>707</v>
      </c>
      <c r="Z97">
        <v>1</v>
      </c>
      <c r="AA97">
        <v>0.6</v>
      </c>
      <c r="AB97">
        <v>1.6</v>
      </c>
      <c r="AC97">
        <v>1.7</v>
      </c>
    </row>
    <row r="98" spans="1:29" x14ac:dyDescent="0.35">
      <c r="A98">
        <v>97</v>
      </c>
      <c r="B98" s="1" t="s">
        <v>162</v>
      </c>
      <c r="C98" s="1" t="s">
        <v>41</v>
      </c>
      <c r="D98">
        <v>27</v>
      </c>
      <c r="E98" s="1" t="s">
        <v>75</v>
      </c>
      <c r="F98">
        <v>41</v>
      </c>
      <c r="G98">
        <v>1147</v>
      </c>
      <c r="H98">
        <v>11.7</v>
      </c>
      <c r="I98">
        <v>0.52800000000000002</v>
      </c>
      <c r="J98">
        <v>0.49199999999999999</v>
      </c>
      <c r="K98">
        <v>0.28499999999999998</v>
      </c>
      <c r="L98">
        <v>3.3</v>
      </c>
      <c r="M98">
        <v>11.2</v>
      </c>
      <c r="N98">
        <v>7.3</v>
      </c>
      <c r="O98">
        <v>18.5</v>
      </c>
      <c r="P98">
        <v>3</v>
      </c>
      <c r="Q98">
        <v>1.1000000000000001</v>
      </c>
      <c r="R98">
        <v>16.5</v>
      </c>
      <c r="S98">
        <v>13.3</v>
      </c>
      <c r="T98" s="1" t="s">
        <v>707</v>
      </c>
      <c r="U98">
        <v>0.7</v>
      </c>
      <c r="V98">
        <v>1.2</v>
      </c>
      <c r="W98">
        <v>2</v>
      </c>
      <c r="X98">
        <v>8.2000000000000003E-2</v>
      </c>
      <c r="Y98" s="1" t="s">
        <v>707</v>
      </c>
      <c r="Z98">
        <v>-2.2000000000000002</v>
      </c>
      <c r="AA98">
        <v>2.2999999999999998</v>
      </c>
      <c r="AB98">
        <v>0.2</v>
      </c>
      <c r="AC98">
        <v>0.6</v>
      </c>
    </row>
    <row r="99" spans="1:29" x14ac:dyDescent="0.35">
      <c r="A99">
        <v>98</v>
      </c>
      <c r="B99" s="1" t="s">
        <v>163</v>
      </c>
      <c r="C99" s="1" t="s">
        <v>31</v>
      </c>
      <c r="D99">
        <v>28</v>
      </c>
      <c r="E99" s="1" t="s">
        <v>42</v>
      </c>
      <c r="F99">
        <v>20</v>
      </c>
      <c r="G99">
        <v>183</v>
      </c>
      <c r="H99">
        <v>8.3000000000000007</v>
      </c>
      <c r="I99">
        <v>0.47399999999999998</v>
      </c>
      <c r="J99">
        <v>5.7000000000000002E-2</v>
      </c>
      <c r="K99">
        <v>5.7000000000000002E-2</v>
      </c>
      <c r="L99">
        <v>7.9</v>
      </c>
      <c r="M99">
        <v>16.399999999999999</v>
      </c>
      <c r="N99">
        <v>12.2</v>
      </c>
      <c r="O99">
        <v>7.5</v>
      </c>
      <c r="P99">
        <v>1.7</v>
      </c>
      <c r="Q99">
        <v>1.5</v>
      </c>
      <c r="R99">
        <v>16.3</v>
      </c>
      <c r="S99">
        <v>10.6</v>
      </c>
      <c r="T99" s="1" t="s">
        <v>707</v>
      </c>
      <c r="U99">
        <v>0</v>
      </c>
      <c r="V99">
        <v>0.3</v>
      </c>
      <c r="W99">
        <v>0.2</v>
      </c>
      <c r="X99">
        <v>6.6000000000000003E-2</v>
      </c>
      <c r="Y99" s="1" t="s">
        <v>707</v>
      </c>
      <c r="Z99">
        <v>-4.0999999999999996</v>
      </c>
      <c r="AA99">
        <v>1.1000000000000001</v>
      </c>
      <c r="AB99">
        <v>-3</v>
      </c>
      <c r="AC99">
        <v>0</v>
      </c>
    </row>
    <row r="100" spans="1:29" x14ac:dyDescent="0.35">
      <c r="A100">
        <v>99</v>
      </c>
      <c r="B100" s="1" t="s">
        <v>164</v>
      </c>
      <c r="C100" s="1" t="s">
        <v>48</v>
      </c>
      <c r="D100">
        <v>25</v>
      </c>
      <c r="E100" s="1" t="s">
        <v>108</v>
      </c>
      <c r="F100">
        <v>1</v>
      </c>
      <c r="G100">
        <v>1</v>
      </c>
      <c r="H100">
        <v>76.2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42.8</v>
      </c>
      <c r="T100" s="1" t="s">
        <v>707</v>
      </c>
      <c r="U100">
        <v>0</v>
      </c>
      <c r="V100">
        <v>0</v>
      </c>
      <c r="W100">
        <v>0</v>
      </c>
      <c r="X100">
        <v>1.204</v>
      </c>
      <c r="Y100" s="1" t="s">
        <v>707</v>
      </c>
      <c r="Z100">
        <v>30.2</v>
      </c>
      <c r="AA100">
        <v>6.3</v>
      </c>
      <c r="AB100">
        <v>36.5</v>
      </c>
      <c r="AC100">
        <v>0</v>
      </c>
    </row>
    <row r="101" spans="1:29" x14ac:dyDescent="0.35">
      <c r="A101">
        <v>100</v>
      </c>
      <c r="B101" s="1" t="s">
        <v>165</v>
      </c>
      <c r="C101" s="1" t="s">
        <v>51</v>
      </c>
      <c r="D101">
        <v>20</v>
      </c>
      <c r="E101" s="1" t="s">
        <v>32</v>
      </c>
      <c r="F101">
        <v>36</v>
      </c>
      <c r="G101">
        <v>281</v>
      </c>
      <c r="H101">
        <v>13.6</v>
      </c>
      <c r="I101">
        <v>0.57099999999999995</v>
      </c>
      <c r="J101">
        <v>0.41799999999999998</v>
      </c>
      <c r="K101">
        <v>0.13400000000000001</v>
      </c>
      <c r="L101">
        <v>13.5</v>
      </c>
      <c r="M101">
        <v>14.3</v>
      </c>
      <c r="N101">
        <v>13.9</v>
      </c>
      <c r="O101">
        <v>5.4</v>
      </c>
      <c r="P101">
        <v>1.4</v>
      </c>
      <c r="Q101">
        <v>1.4</v>
      </c>
      <c r="R101">
        <v>10.1</v>
      </c>
      <c r="S101">
        <v>12</v>
      </c>
      <c r="T101" s="1" t="s">
        <v>707</v>
      </c>
      <c r="U101">
        <v>0.5</v>
      </c>
      <c r="V101">
        <v>0.3</v>
      </c>
      <c r="W101">
        <v>0.8</v>
      </c>
      <c r="X101">
        <v>0.13800000000000001</v>
      </c>
      <c r="Y101" s="1" t="s">
        <v>707</v>
      </c>
      <c r="Z101">
        <v>-1.3</v>
      </c>
      <c r="AA101">
        <v>-0.7</v>
      </c>
      <c r="AB101">
        <v>-2</v>
      </c>
      <c r="AC101">
        <v>0</v>
      </c>
    </row>
    <row r="102" spans="1:29" x14ac:dyDescent="0.35">
      <c r="A102">
        <v>101</v>
      </c>
      <c r="B102" s="1" t="s">
        <v>166</v>
      </c>
      <c r="C102" s="1" t="s">
        <v>51</v>
      </c>
      <c r="D102">
        <v>26</v>
      </c>
      <c r="E102" s="1" t="s">
        <v>70</v>
      </c>
      <c r="F102">
        <v>1</v>
      </c>
      <c r="G102">
        <v>5</v>
      </c>
      <c r="H102">
        <v>-23.8</v>
      </c>
      <c r="I102">
        <v>0</v>
      </c>
      <c r="J102">
        <v>0.66700000000000004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26.1</v>
      </c>
      <c r="T102" s="1" t="s">
        <v>707</v>
      </c>
      <c r="U102">
        <v>-0.1</v>
      </c>
      <c r="V102">
        <v>0</v>
      </c>
      <c r="W102">
        <v>-0.1</v>
      </c>
      <c r="X102">
        <v>-0.61</v>
      </c>
      <c r="Y102" s="1" t="s">
        <v>707</v>
      </c>
      <c r="Z102">
        <v>-19.3</v>
      </c>
      <c r="AA102">
        <v>-11.3</v>
      </c>
      <c r="AB102">
        <v>-30.6</v>
      </c>
      <c r="AC102">
        <v>0</v>
      </c>
    </row>
    <row r="103" spans="1:29" x14ac:dyDescent="0.35">
      <c r="A103">
        <v>102</v>
      </c>
      <c r="B103" s="1" t="s">
        <v>167</v>
      </c>
      <c r="C103" s="1" t="s">
        <v>48</v>
      </c>
      <c r="D103">
        <v>26</v>
      </c>
      <c r="E103" s="1" t="s">
        <v>111</v>
      </c>
      <c r="F103">
        <v>34</v>
      </c>
      <c r="G103">
        <v>372</v>
      </c>
      <c r="H103">
        <v>4.4000000000000004</v>
      </c>
      <c r="I103">
        <v>0.40699999999999997</v>
      </c>
      <c r="J103">
        <v>0.65400000000000003</v>
      </c>
      <c r="K103">
        <v>3.6999999999999998E-2</v>
      </c>
      <c r="L103">
        <v>2.7</v>
      </c>
      <c r="M103">
        <v>7.7</v>
      </c>
      <c r="N103">
        <v>5.3</v>
      </c>
      <c r="O103">
        <v>22.5</v>
      </c>
      <c r="P103">
        <v>1.7</v>
      </c>
      <c r="Q103">
        <v>0</v>
      </c>
      <c r="R103">
        <v>28</v>
      </c>
      <c r="S103">
        <v>13.4</v>
      </c>
      <c r="T103" s="1" t="s">
        <v>707</v>
      </c>
      <c r="U103">
        <v>-0.5</v>
      </c>
      <c r="V103">
        <v>0.5</v>
      </c>
      <c r="W103">
        <v>0</v>
      </c>
      <c r="X103">
        <v>-4.0000000000000001E-3</v>
      </c>
      <c r="Y103" s="1" t="s">
        <v>707</v>
      </c>
      <c r="Z103">
        <v>-5.7</v>
      </c>
      <c r="AA103">
        <v>-0.2</v>
      </c>
      <c r="AB103">
        <v>-6</v>
      </c>
      <c r="AC103">
        <v>-0.4</v>
      </c>
    </row>
    <row r="104" spans="1:29" x14ac:dyDescent="0.35">
      <c r="A104">
        <v>103</v>
      </c>
      <c r="B104" s="1" t="s">
        <v>168</v>
      </c>
      <c r="C104" s="1" t="s">
        <v>28</v>
      </c>
      <c r="D104">
        <v>24</v>
      </c>
      <c r="E104" s="1" t="s">
        <v>143</v>
      </c>
      <c r="F104">
        <v>34</v>
      </c>
      <c r="G104">
        <v>346</v>
      </c>
      <c r="H104">
        <v>14.8</v>
      </c>
      <c r="I104">
        <v>0.51800000000000002</v>
      </c>
      <c r="J104">
        <v>0.187</v>
      </c>
      <c r="K104">
        <v>0.246</v>
      </c>
      <c r="L104">
        <v>10.6</v>
      </c>
      <c r="M104">
        <v>22.5</v>
      </c>
      <c r="N104">
        <v>16.5</v>
      </c>
      <c r="O104">
        <v>7.7</v>
      </c>
      <c r="P104">
        <v>1.9</v>
      </c>
      <c r="Q104">
        <v>3.1</v>
      </c>
      <c r="R104">
        <v>10.3</v>
      </c>
      <c r="S104">
        <v>21.5</v>
      </c>
      <c r="T104" s="1" t="s">
        <v>707</v>
      </c>
      <c r="U104">
        <v>0.2</v>
      </c>
      <c r="V104">
        <v>0.6</v>
      </c>
      <c r="W104">
        <v>0.8</v>
      </c>
      <c r="X104">
        <v>0.108</v>
      </c>
      <c r="Y104" s="1" t="s">
        <v>707</v>
      </c>
      <c r="Z104">
        <v>-3.8</v>
      </c>
      <c r="AA104">
        <v>0</v>
      </c>
      <c r="AB104">
        <v>-3.8</v>
      </c>
      <c r="AC104">
        <v>-0.2</v>
      </c>
    </row>
    <row r="105" spans="1:29" x14ac:dyDescent="0.35">
      <c r="A105">
        <v>104</v>
      </c>
      <c r="B105" s="1" t="s">
        <v>169</v>
      </c>
      <c r="C105" s="1" t="s">
        <v>41</v>
      </c>
      <c r="D105">
        <v>20</v>
      </c>
      <c r="E105" s="1" t="s">
        <v>170</v>
      </c>
      <c r="F105">
        <v>74</v>
      </c>
      <c r="G105">
        <v>1334</v>
      </c>
      <c r="H105">
        <v>12.2</v>
      </c>
      <c r="I105">
        <v>0.53400000000000003</v>
      </c>
      <c r="J105">
        <v>0.378</v>
      </c>
      <c r="K105">
        <v>0.22600000000000001</v>
      </c>
      <c r="L105">
        <v>4.3</v>
      </c>
      <c r="M105">
        <v>11.1</v>
      </c>
      <c r="N105">
        <v>7.7</v>
      </c>
      <c r="O105">
        <v>17.3</v>
      </c>
      <c r="P105">
        <v>2.2999999999999998</v>
      </c>
      <c r="Q105">
        <v>0.9</v>
      </c>
      <c r="R105">
        <v>17.2</v>
      </c>
      <c r="S105">
        <v>21.1</v>
      </c>
      <c r="T105" s="1" t="s">
        <v>707</v>
      </c>
      <c r="U105">
        <v>-0.4</v>
      </c>
      <c r="V105">
        <v>0.7</v>
      </c>
      <c r="W105">
        <v>0.3</v>
      </c>
      <c r="X105">
        <v>0.01</v>
      </c>
      <c r="Y105" s="1" t="s">
        <v>707</v>
      </c>
      <c r="Z105">
        <v>-2.2000000000000002</v>
      </c>
      <c r="AA105">
        <v>-1.3</v>
      </c>
      <c r="AB105">
        <v>-3.5</v>
      </c>
      <c r="AC105">
        <v>-0.5</v>
      </c>
    </row>
    <row r="106" spans="1:29" x14ac:dyDescent="0.35">
      <c r="A106">
        <v>105</v>
      </c>
      <c r="B106" s="1" t="s">
        <v>171</v>
      </c>
      <c r="C106" s="1" t="s">
        <v>28</v>
      </c>
      <c r="D106">
        <v>27</v>
      </c>
      <c r="E106" s="1" t="s">
        <v>49</v>
      </c>
      <c r="F106">
        <v>38</v>
      </c>
      <c r="G106">
        <v>378</v>
      </c>
      <c r="H106">
        <v>11.4</v>
      </c>
      <c r="I106">
        <v>0.54700000000000004</v>
      </c>
      <c r="J106">
        <v>0.79500000000000004</v>
      </c>
      <c r="K106">
        <v>0.114</v>
      </c>
      <c r="L106">
        <v>6.6</v>
      </c>
      <c r="M106">
        <v>20.100000000000001</v>
      </c>
      <c r="N106">
        <v>13.2</v>
      </c>
      <c r="O106">
        <v>6.4</v>
      </c>
      <c r="P106">
        <v>1.7</v>
      </c>
      <c r="Q106">
        <v>1.8</v>
      </c>
      <c r="R106">
        <v>9.8000000000000007</v>
      </c>
      <c r="S106">
        <v>11.6</v>
      </c>
      <c r="T106" s="1" t="s">
        <v>707</v>
      </c>
      <c r="U106">
        <v>0.3</v>
      </c>
      <c r="V106">
        <v>0.4</v>
      </c>
      <c r="W106">
        <v>0.7</v>
      </c>
      <c r="X106">
        <v>9.1999999999999998E-2</v>
      </c>
      <c r="Y106" s="1" t="s">
        <v>707</v>
      </c>
      <c r="Z106">
        <v>0.1</v>
      </c>
      <c r="AA106">
        <v>0</v>
      </c>
      <c r="AB106">
        <v>0.1</v>
      </c>
      <c r="AC106">
        <v>0.2</v>
      </c>
    </row>
    <row r="107" spans="1:29" x14ac:dyDescent="0.35">
      <c r="A107">
        <v>106</v>
      </c>
      <c r="B107" s="1" t="s">
        <v>172</v>
      </c>
      <c r="C107" s="1" t="s">
        <v>28</v>
      </c>
      <c r="D107">
        <v>25</v>
      </c>
      <c r="E107" s="1" t="s">
        <v>34</v>
      </c>
      <c r="F107">
        <v>64</v>
      </c>
      <c r="G107">
        <v>1246</v>
      </c>
      <c r="H107">
        <v>23.7</v>
      </c>
      <c r="I107">
        <v>0.66</v>
      </c>
      <c r="J107">
        <v>4.9000000000000002E-2</v>
      </c>
      <c r="K107">
        <v>0.29099999999999998</v>
      </c>
      <c r="L107">
        <v>11.1</v>
      </c>
      <c r="M107">
        <v>17.8</v>
      </c>
      <c r="N107">
        <v>14.4</v>
      </c>
      <c r="O107">
        <v>10.3</v>
      </c>
      <c r="P107">
        <v>1.5</v>
      </c>
      <c r="Q107">
        <v>4.9000000000000004</v>
      </c>
      <c r="R107">
        <v>6.3</v>
      </c>
      <c r="S107">
        <v>17.7</v>
      </c>
      <c r="T107" s="1" t="s">
        <v>707</v>
      </c>
      <c r="U107">
        <v>4.4000000000000004</v>
      </c>
      <c r="V107">
        <v>1.9</v>
      </c>
      <c r="W107">
        <v>6.3</v>
      </c>
      <c r="X107">
        <v>0.24099999999999999</v>
      </c>
      <c r="Y107" s="1" t="s">
        <v>707</v>
      </c>
      <c r="Z107">
        <v>3.1</v>
      </c>
      <c r="AA107">
        <v>1.1000000000000001</v>
      </c>
      <c r="AB107">
        <v>4.2</v>
      </c>
      <c r="AC107">
        <v>2</v>
      </c>
    </row>
    <row r="108" spans="1:29" x14ac:dyDescent="0.35">
      <c r="A108">
        <v>107</v>
      </c>
      <c r="B108" s="1" t="s">
        <v>173</v>
      </c>
      <c r="C108" s="1" t="s">
        <v>41</v>
      </c>
      <c r="D108">
        <v>29</v>
      </c>
      <c r="E108" s="1" t="s">
        <v>70</v>
      </c>
      <c r="F108">
        <v>79</v>
      </c>
      <c r="G108">
        <v>2141</v>
      </c>
      <c r="H108">
        <v>14.9</v>
      </c>
      <c r="I108">
        <v>0.53200000000000003</v>
      </c>
      <c r="J108">
        <v>0.53600000000000003</v>
      </c>
      <c r="K108">
        <v>0.156</v>
      </c>
      <c r="L108">
        <v>3.5</v>
      </c>
      <c r="M108">
        <v>10.199999999999999</v>
      </c>
      <c r="N108">
        <v>7</v>
      </c>
      <c r="O108">
        <v>14.5</v>
      </c>
      <c r="P108">
        <v>1.5</v>
      </c>
      <c r="Q108">
        <v>0.7</v>
      </c>
      <c r="R108">
        <v>9.8000000000000007</v>
      </c>
      <c r="S108">
        <v>26.8</v>
      </c>
      <c r="T108" s="1" t="s">
        <v>707</v>
      </c>
      <c r="U108">
        <v>1.5</v>
      </c>
      <c r="V108">
        <v>2</v>
      </c>
      <c r="W108">
        <v>3.5</v>
      </c>
      <c r="X108">
        <v>7.9000000000000001E-2</v>
      </c>
      <c r="Y108" s="1" t="s">
        <v>707</v>
      </c>
      <c r="Z108">
        <v>0.5</v>
      </c>
      <c r="AA108">
        <v>-1.2</v>
      </c>
      <c r="AB108">
        <v>-0.6</v>
      </c>
      <c r="AC108">
        <v>0.7</v>
      </c>
    </row>
    <row r="109" spans="1:29" x14ac:dyDescent="0.35">
      <c r="A109">
        <v>108</v>
      </c>
      <c r="B109" s="1" t="s">
        <v>174</v>
      </c>
      <c r="C109" s="1" t="s">
        <v>31</v>
      </c>
      <c r="D109">
        <v>22</v>
      </c>
      <c r="E109" s="1" t="s">
        <v>39</v>
      </c>
      <c r="F109">
        <v>47</v>
      </c>
      <c r="G109">
        <v>974</v>
      </c>
      <c r="H109">
        <v>18.600000000000001</v>
      </c>
      <c r="I109">
        <v>0.67200000000000004</v>
      </c>
      <c r="J109">
        <v>0</v>
      </c>
      <c r="K109">
        <v>0.35199999999999998</v>
      </c>
      <c r="L109">
        <v>10.4</v>
      </c>
      <c r="M109">
        <v>18.899999999999999</v>
      </c>
      <c r="N109">
        <v>14.8</v>
      </c>
      <c r="O109">
        <v>6.4</v>
      </c>
      <c r="P109">
        <v>1.2</v>
      </c>
      <c r="Q109">
        <v>4.7</v>
      </c>
      <c r="R109">
        <v>11.1</v>
      </c>
      <c r="S109">
        <v>15.1</v>
      </c>
      <c r="T109" s="1" t="s">
        <v>707</v>
      </c>
      <c r="U109">
        <v>2.2999999999999998</v>
      </c>
      <c r="V109">
        <v>1.2</v>
      </c>
      <c r="W109">
        <v>3.5</v>
      </c>
      <c r="X109">
        <v>0.17100000000000001</v>
      </c>
      <c r="Y109" s="1" t="s">
        <v>707</v>
      </c>
      <c r="Z109">
        <v>0.3</v>
      </c>
      <c r="AA109">
        <v>0.2</v>
      </c>
      <c r="AB109">
        <v>0.4</v>
      </c>
      <c r="AC109">
        <v>0.6</v>
      </c>
    </row>
    <row r="110" spans="1:29" x14ac:dyDescent="0.35">
      <c r="A110">
        <v>109</v>
      </c>
      <c r="B110" s="1" t="s">
        <v>175</v>
      </c>
      <c r="C110" s="1" t="s">
        <v>41</v>
      </c>
      <c r="D110">
        <v>24</v>
      </c>
      <c r="E110" s="1" t="s">
        <v>93</v>
      </c>
      <c r="F110">
        <v>69</v>
      </c>
      <c r="G110">
        <v>1567</v>
      </c>
      <c r="H110">
        <v>13</v>
      </c>
      <c r="I110">
        <v>0.59799999999999998</v>
      </c>
      <c r="J110">
        <v>0.54500000000000004</v>
      </c>
      <c r="K110">
        <v>0.251</v>
      </c>
      <c r="L110">
        <v>1.8</v>
      </c>
      <c r="M110">
        <v>11.2</v>
      </c>
      <c r="N110">
        <v>6.7</v>
      </c>
      <c r="O110">
        <v>11.4</v>
      </c>
      <c r="P110">
        <v>1.2</v>
      </c>
      <c r="Q110">
        <v>0.8</v>
      </c>
      <c r="R110">
        <v>8</v>
      </c>
      <c r="S110">
        <v>15.8</v>
      </c>
      <c r="T110" s="1" t="s">
        <v>707</v>
      </c>
      <c r="U110">
        <v>2.2999999999999998</v>
      </c>
      <c r="V110">
        <v>1.5</v>
      </c>
      <c r="W110">
        <v>3.8</v>
      </c>
      <c r="X110">
        <v>0.11600000000000001</v>
      </c>
      <c r="Y110" s="1" t="s">
        <v>707</v>
      </c>
      <c r="Z110">
        <v>-0.3</v>
      </c>
      <c r="AA110">
        <v>0</v>
      </c>
      <c r="AB110">
        <v>-0.3</v>
      </c>
      <c r="AC110">
        <v>0.7</v>
      </c>
    </row>
    <row r="111" spans="1:29" x14ac:dyDescent="0.35">
      <c r="A111">
        <v>110</v>
      </c>
      <c r="B111" s="1" t="s">
        <v>176</v>
      </c>
      <c r="C111" s="1" t="s">
        <v>28</v>
      </c>
      <c r="D111">
        <v>24</v>
      </c>
      <c r="E111" s="1" t="s">
        <v>80</v>
      </c>
      <c r="F111">
        <v>54</v>
      </c>
      <c r="G111">
        <v>1663</v>
      </c>
      <c r="H111">
        <v>18.7</v>
      </c>
      <c r="I111">
        <v>0.61</v>
      </c>
      <c r="J111">
        <v>0.27300000000000002</v>
      </c>
      <c r="K111">
        <v>0.26200000000000001</v>
      </c>
      <c r="L111">
        <v>6.2</v>
      </c>
      <c r="M111">
        <v>21.5</v>
      </c>
      <c r="N111">
        <v>13.9</v>
      </c>
      <c r="O111">
        <v>8.9</v>
      </c>
      <c r="P111">
        <v>1</v>
      </c>
      <c r="Q111">
        <v>3</v>
      </c>
      <c r="R111">
        <v>7.7</v>
      </c>
      <c r="S111">
        <v>20.5</v>
      </c>
      <c r="T111" s="1" t="s">
        <v>707</v>
      </c>
      <c r="U111">
        <v>3.6</v>
      </c>
      <c r="V111">
        <v>1.4</v>
      </c>
      <c r="W111">
        <v>5.0999999999999996</v>
      </c>
      <c r="X111">
        <v>0.14599999999999999</v>
      </c>
      <c r="Y111" s="1" t="s">
        <v>707</v>
      </c>
      <c r="Z111">
        <v>1.5</v>
      </c>
      <c r="AA111">
        <v>0</v>
      </c>
      <c r="AB111">
        <v>1.5</v>
      </c>
      <c r="AC111">
        <v>1.5</v>
      </c>
    </row>
    <row r="112" spans="1:29" x14ac:dyDescent="0.35">
      <c r="A112">
        <v>111</v>
      </c>
      <c r="B112" s="1" t="s">
        <v>177</v>
      </c>
      <c r="C112" s="1" t="s">
        <v>28</v>
      </c>
      <c r="D112">
        <v>24</v>
      </c>
      <c r="E112" s="1" t="s">
        <v>91</v>
      </c>
      <c r="F112">
        <v>28</v>
      </c>
      <c r="G112">
        <v>502</v>
      </c>
      <c r="H112">
        <v>16.399999999999999</v>
      </c>
      <c r="I112">
        <v>0.59399999999999997</v>
      </c>
      <c r="J112">
        <v>0.26500000000000001</v>
      </c>
      <c r="K112">
        <v>0.41899999999999998</v>
      </c>
      <c r="L112">
        <v>9.5</v>
      </c>
      <c r="M112">
        <v>22.5</v>
      </c>
      <c r="N112">
        <v>16</v>
      </c>
      <c r="O112">
        <v>16.3</v>
      </c>
      <c r="P112">
        <v>1.2</v>
      </c>
      <c r="Q112">
        <v>3.8</v>
      </c>
      <c r="R112">
        <v>19.7</v>
      </c>
      <c r="S112">
        <v>19.2</v>
      </c>
      <c r="T112" s="1" t="s">
        <v>707</v>
      </c>
      <c r="U112">
        <v>0.6</v>
      </c>
      <c r="V112">
        <v>0.7</v>
      </c>
      <c r="W112">
        <v>1.2</v>
      </c>
      <c r="X112">
        <v>0.11799999999999999</v>
      </c>
      <c r="Y112" s="1" t="s">
        <v>707</v>
      </c>
      <c r="Z112">
        <v>-1.2</v>
      </c>
      <c r="AA112">
        <v>1</v>
      </c>
      <c r="AB112">
        <v>-0.2</v>
      </c>
      <c r="AC112">
        <v>0.2</v>
      </c>
    </row>
    <row r="113" spans="1:29" x14ac:dyDescent="0.35">
      <c r="A113">
        <v>112</v>
      </c>
      <c r="B113" s="1" t="s">
        <v>178</v>
      </c>
      <c r="C113" s="1" t="s">
        <v>48</v>
      </c>
      <c r="D113">
        <v>34</v>
      </c>
      <c r="E113" s="1" t="s">
        <v>56</v>
      </c>
      <c r="F113">
        <v>3</v>
      </c>
      <c r="G113">
        <v>37</v>
      </c>
      <c r="H113">
        <v>-0.2</v>
      </c>
      <c r="I113">
        <v>0.28599999999999998</v>
      </c>
      <c r="J113">
        <v>0.42899999999999999</v>
      </c>
      <c r="K113">
        <v>0</v>
      </c>
      <c r="L113">
        <v>0</v>
      </c>
      <c r="M113">
        <v>11.6</v>
      </c>
      <c r="N113">
        <v>5.8</v>
      </c>
      <c r="O113">
        <v>6.8</v>
      </c>
      <c r="P113">
        <v>1.3</v>
      </c>
      <c r="Q113">
        <v>0</v>
      </c>
      <c r="R113">
        <v>12.5</v>
      </c>
      <c r="S113">
        <v>9.3000000000000007</v>
      </c>
      <c r="T113" s="1" t="s">
        <v>707</v>
      </c>
      <c r="U113">
        <v>-0.1</v>
      </c>
      <c r="V113">
        <v>0</v>
      </c>
      <c r="W113">
        <v>-0.1</v>
      </c>
      <c r="X113">
        <v>-7.0000000000000007E-2</v>
      </c>
      <c r="Y113" s="1" t="s">
        <v>707</v>
      </c>
      <c r="Z113">
        <v>-10</v>
      </c>
      <c r="AA113">
        <v>-0.9</v>
      </c>
      <c r="AB113">
        <v>-10.9</v>
      </c>
      <c r="AC113">
        <v>-0.1</v>
      </c>
    </row>
    <row r="114" spans="1:29" x14ac:dyDescent="0.35">
      <c r="A114">
        <v>113</v>
      </c>
      <c r="B114" s="1" t="s">
        <v>179</v>
      </c>
      <c r="C114" s="1" t="s">
        <v>48</v>
      </c>
      <c r="D114">
        <v>34</v>
      </c>
      <c r="E114" s="1" t="s">
        <v>70</v>
      </c>
      <c r="F114">
        <v>72</v>
      </c>
      <c r="G114">
        <v>2058</v>
      </c>
      <c r="H114">
        <v>17.2</v>
      </c>
      <c r="I114">
        <v>0.57199999999999995</v>
      </c>
      <c r="J114">
        <v>0.52300000000000002</v>
      </c>
      <c r="K114">
        <v>0.20499999999999999</v>
      </c>
      <c r="L114">
        <v>2.6</v>
      </c>
      <c r="M114">
        <v>8.8000000000000007</v>
      </c>
      <c r="N114">
        <v>5.8</v>
      </c>
      <c r="O114">
        <v>27.7</v>
      </c>
      <c r="P114">
        <v>2.2999999999999998</v>
      </c>
      <c r="Q114">
        <v>0.9</v>
      </c>
      <c r="R114">
        <v>12.5</v>
      </c>
      <c r="S114">
        <v>20.9</v>
      </c>
      <c r="T114" s="1" t="s">
        <v>707</v>
      </c>
      <c r="U114">
        <v>4.4000000000000004</v>
      </c>
      <c r="V114">
        <v>2.2999999999999998</v>
      </c>
      <c r="W114">
        <v>6.7</v>
      </c>
      <c r="X114">
        <v>0.157</v>
      </c>
      <c r="Y114" s="1" t="s">
        <v>707</v>
      </c>
      <c r="Z114">
        <v>2.4</v>
      </c>
      <c r="AA114">
        <v>0.7</v>
      </c>
      <c r="AB114">
        <v>3.1</v>
      </c>
      <c r="AC114">
        <v>2.7</v>
      </c>
    </row>
    <row r="115" spans="1:29" x14ac:dyDescent="0.35">
      <c r="A115">
        <v>114</v>
      </c>
      <c r="B115" s="1" t="s">
        <v>180</v>
      </c>
      <c r="C115" s="1" t="s">
        <v>41</v>
      </c>
      <c r="D115">
        <v>29</v>
      </c>
      <c r="E115" s="1" t="s">
        <v>44</v>
      </c>
      <c r="F115">
        <v>65</v>
      </c>
      <c r="G115">
        <v>1691</v>
      </c>
      <c r="H115">
        <v>13.4</v>
      </c>
      <c r="I115">
        <v>0.62</v>
      </c>
      <c r="J115">
        <v>0.746</v>
      </c>
      <c r="K115">
        <v>0.109</v>
      </c>
      <c r="L115">
        <v>2.9</v>
      </c>
      <c r="M115">
        <v>14</v>
      </c>
      <c r="N115">
        <v>8.6</v>
      </c>
      <c r="O115">
        <v>6.6</v>
      </c>
      <c r="P115">
        <v>1.7</v>
      </c>
      <c r="Q115">
        <v>0.9</v>
      </c>
      <c r="R115">
        <v>6.3</v>
      </c>
      <c r="S115">
        <v>14</v>
      </c>
      <c r="T115" s="1" t="s">
        <v>707</v>
      </c>
      <c r="U115">
        <v>2.8</v>
      </c>
      <c r="V115">
        <v>1.6</v>
      </c>
      <c r="W115">
        <v>4.4000000000000004</v>
      </c>
      <c r="X115">
        <v>0.125</v>
      </c>
      <c r="Y115" s="1" t="s">
        <v>707</v>
      </c>
      <c r="Z115">
        <v>0.8</v>
      </c>
      <c r="AA115">
        <v>0.4</v>
      </c>
      <c r="AB115">
        <v>1.2</v>
      </c>
      <c r="AC115">
        <v>1.4</v>
      </c>
    </row>
    <row r="116" spans="1:29" x14ac:dyDescent="0.35">
      <c r="A116">
        <v>115</v>
      </c>
      <c r="B116" s="1" t="s">
        <v>181</v>
      </c>
      <c r="C116" s="1" t="s">
        <v>28</v>
      </c>
      <c r="D116">
        <v>24</v>
      </c>
      <c r="E116" s="1" t="s">
        <v>75</v>
      </c>
      <c r="F116">
        <v>20</v>
      </c>
      <c r="G116">
        <v>200</v>
      </c>
      <c r="H116">
        <v>13</v>
      </c>
      <c r="I116">
        <v>0.64300000000000002</v>
      </c>
      <c r="J116">
        <v>0</v>
      </c>
      <c r="K116">
        <v>0.84199999999999997</v>
      </c>
      <c r="L116">
        <v>9.1</v>
      </c>
      <c r="M116">
        <v>20.7</v>
      </c>
      <c r="N116">
        <v>14.9</v>
      </c>
      <c r="O116">
        <v>2</v>
      </c>
      <c r="P116">
        <v>1</v>
      </c>
      <c r="Q116">
        <v>1.7</v>
      </c>
      <c r="R116">
        <v>11.8</v>
      </c>
      <c r="S116">
        <v>13</v>
      </c>
      <c r="T116" s="1" t="s">
        <v>707</v>
      </c>
      <c r="U116">
        <v>0.4</v>
      </c>
      <c r="V116">
        <v>0.2</v>
      </c>
      <c r="W116">
        <v>0.5</v>
      </c>
      <c r="X116">
        <v>0.127</v>
      </c>
      <c r="Y116" s="1" t="s">
        <v>707</v>
      </c>
      <c r="Z116">
        <v>-3</v>
      </c>
      <c r="AA116">
        <v>-1.1000000000000001</v>
      </c>
      <c r="AB116">
        <v>-4.0999999999999996</v>
      </c>
      <c r="AC116">
        <v>-0.1</v>
      </c>
    </row>
    <row r="117" spans="1:29" x14ac:dyDescent="0.35">
      <c r="A117">
        <v>116</v>
      </c>
      <c r="B117" s="1" t="s">
        <v>182</v>
      </c>
      <c r="C117" s="1" t="s">
        <v>48</v>
      </c>
      <c r="D117">
        <v>20</v>
      </c>
      <c r="E117" s="1" t="s">
        <v>80</v>
      </c>
      <c r="F117">
        <v>13</v>
      </c>
      <c r="G117">
        <v>39</v>
      </c>
      <c r="H117">
        <v>-5.4</v>
      </c>
      <c r="I117">
        <v>0.25</v>
      </c>
      <c r="J117">
        <v>0.42899999999999999</v>
      </c>
      <c r="K117">
        <v>0</v>
      </c>
      <c r="L117">
        <v>0</v>
      </c>
      <c r="M117">
        <v>14</v>
      </c>
      <c r="N117">
        <v>7</v>
      </c>
      <c r="O117">
        <v>16.3</v>
      </c>
      <c r="P117">
        <v>0</v>
      </c>
      <c r="Q117">
        <v>0</v>
      </c>
      <c r="R117">
        <v>26.3</v>
      </c>
      <c r="S117">
        <v>21.3</v>
      </c>
      <c r="T117" s="1" t="s">
        <v>707</v>
      </c>
      <c r="U117">
        <v>-0.2</v>
      </c>
      <c r="V117">
        <v>0</v>
      </c>
      <c r="W117">
        <v>-0.2</v>
      </c>
      <c r="X117">
        <v>-0.29699999999999999</v>
      </c>
      <c r="Y117" s="1" t="s">
        <v>707</v>
      </c>
      <c r="Z117">
        <v>-11.3</v>
      </c>
      <c r="AA117">
        <v>-5</v>
      </c>
      <c r="AB117">
        <v>-16.3</v>
      </c>
      <c r="AC117">
        <v>-0.1</v>
      </c>
    </row>
    <row r="118" spans="1:29" x14ac:dyDescent="0.35">
      <c r="A118">
        <v>117</v>
      </c>
      <c r="B118" s="1" t="s">
        <v>183</v>
      </c>
      <c r="C118" s="1" t="s">
        <v>28</v>
      </c>
      <c r="D118">
        <v>26</v>
      </c>
      <c r="E118" s="1" t="s">
        <v>86</v>
      </c>
      <c r="F118">
        <v>13</v>
      </c>
      <c r="G118">
        <v>38</v>
      </c>
      <c r="H118">
        <v>9.6</v>
      </c>
      <c r="I118">
        <v>0.41799999999999998</v>
      </c>
      <c r="J118">
        <v>0.53300000000000003</v>
      </c>
      <c r="K118">
        <v>0.26700000000000002</v>
      </c>
      <c r="L118">
        <v>21.3</v>
      </c>
      <c r="M118">
        <v>19.899999999999999</v>
      </c>
      <c r="N118">
        <v>20.6</v>
      </c>
      <c r="O118">
        <v>10.8</v>
      </c>
      <c r="P118">
        <v>1.3</v>
      </c>
      <c r="Q118">
        <v>2.4</v>
      </c>
      <c r="R118">
        <v>19.3</v>
      </c>
      <c r="S118">
        <v>24</v>
      </c>
      <c r="T118" s="1" t="s">
        <v>707</v>
      </c>
      <c r="U118">
        <v>-0.1</v>
      </c>
      <c r="V118">
        <v>0</v>
      </c>
      <c r="W118">
        <v>0</v>
      </c>
      <c r="X118">
        <v>-1.4999999999999999E-2</v>
      </c>
      <c r="Y118" s="1" t="s">
        <v>707</v>
      </c>
      <c r="Z118">
        <v>-6.1</v>
      </c>
      <c r="AA118">
        <v>-2.7</v>
      </c>
      <c r="AB118">
        <v>-8.8000000000000007</v>
      </c>
      <c r="AC118">
        <v>-0.1</v>
      </c>
    </row>
    <row r="119" spans="1:29" x14ac:dyDescent="0.35">
      <c r="A119">
        <v>118</v>
      </c>
      <c r="B119" s="1" t="s">
        <v>184</v>
      </c>
      <c r="C119" s="1" t="s">
        <v>31</v>
      </c>
      <c r="D119">
        <v>31</v>
      </c>
      <c r="E119" s="1" t="s">
        <v>42</v>
      </c>
      <c r="F119">
        <v>48</v>
      </c>
      <c r="G119">
        <v>718</v>
      </c>
      <c r="H119">
        <v>18.2</v>
      </c>
      <c r="I119">
        <v>0.56699999999999995</v>
      </c>
      <c r="J119">
        <v>0.377</v>
      </c>
      <c r="K119">
        <v>0.38600000000000001</v>
      </c>
      <c r="L119">
        <v>11.7</v>
      </c>
      <c r="M119">
        <v>29.1</v>
      </c>
      <c r="N119">
        <v>20.6</v>
      </c>
      <c r="O119">
        <v>15.2</v>
      </c>
      <c r="P119">
        <v>2.4</v>
      </c>
      <c r="Q119">
        <v>2.7</v>
      </c>
      <c r="R119">
        <v>18.3</v>
      </c>
      <c r="S119">
        <v>28.1</v>
      </c>
      <c r="T119" s="1" t="s">
        <v>707</v>
      </c>
      <c r="U119">
        <v>0.3</v>
      </c>
      <c r="V119">
        <v>1.3</v>
      </c>
      <c r="W119">
        <v>1.6</v>
      </c>
      <c r="X119">
        <v>0.104</v>
      </c>
      <c r="Y119" s="1" t="s">
        <v>707</v>
      </c>
      <c r="Z119">
        <v>-1.8</v>
      </c>
      <c r="AA119">
        <v>0.2</v>
      </c>
      <c r="AB119">
        <v>-1.6</v>
      </c>
      <c r="AC119">
        <v>0.1</v>
      </c>
    </row>
    <row r="120" spans="1:29" x14ac:dyDescent="0.35">
      <c r="A120">
        <v>119</v>
      </c>
      <c r="B120" s="1" t="s">
        <v>185</v>
      </c>
      <c r="C120" s="1" t="s">
        <v>186</v>
      </c>
      <c r="D120">
        <v>31</v>
      </c>
      <c r="E120" s="1" t="s">
        <v>42</v>
      </c>
      <c r="F120">
        <v>71</v>
      </c>
      <c r="G120">
        <v>1940</v>
      </c>
      <c r="H120">
        <v>12.4</v>
      </c>
      <c r="I120">
        <v>0.57199999999999995</v>
      </c>
      <c r="J120">
        <v>0.68100000000000005</v>
      </c>
      <c r="K120">
        <v>0.13900000000000001</v>
      </c>
      <c r="L120">
        <v>3.3</v>
      </c>
      <c r="M120">
        <v>18.899999999999999</v>
      </c>
      <c r="N120">
        <v>11</v>
      </c>
      <c r="O120">
        <v>6.8</v>
      </c>
      <c r="P120">
        <v>2.6</v>
      </c>
      <c r="Q120">
        <v>4.4000000000000004</v>
      </c>
      <c r="R120">
        <v>12.4</v>
      </c>
      <c r="S120">
        <v>13.5</v>
      </c>
      <c r="T120" s="1" t="s">
        <v>707</v>
      </c>
      <c r="U120">
        <v>0.8</v>
      </c>
      <c r="V120">
        <v>2.4</v>
      </c>
      <c r="W120">
        <v>3.2</v>
      </c>
      <c r="X120">
        <v>0.08</v>
      </c>
      <c r="Y120" s="1" t="s">
        <v>707</v>
      </c>
      <c r="Z120">
        <v>-1.6</v>
      </c>
      <c r="AA120">
        <v>1.8</v>
      </c>
      <c r="AB120">
        <v>0.2</v>
      </c>
      <c r="AC120">
        <v>1.1000000000000001</v>
      </c>
    </row>
    <row r="121" spans="1:29" x14ac:dyDescent="0.35">
      <c r="A121">
        <v>120</v>
      </c>
      <c r="B121" s="1" t="s">
        <v>187</v>
      </c>
      <c r="C121" s="1" t="s">
        <v>51</v>
      </c>
      <c r="D121">
        <v>31</v>
      </c>
      <c r="E121" s="1" t="s">
        <v>42</v>
      </c>
      <c r="F121">
        <v>78</v>
      </c>
      <c r="G121">
        <v>1596</v>
      </c>
      <c r="H121">
        <v>11</v>
      </c>
      <c r="I121">
        <v>0.55600000000000005</v>
      </c>
      <c r="J121">
        <v>0.53100000000000003</v>
      </c>
      <c r="K121">
        <v>0.11799999999999999</v>
      </c>
      <c r="L121">
        <v>5.9</v>
      </c>
      <c r="M121">
        <v>15.4</v>
      </c>
      <c r="N121">
        <v>10.7</v>
      </c>
      <c r="O121">
        <v>7.6</v>
      </c>
      <c r="P121">
        <v>1.4</v>
      </c>
      <c r="Q121">
        <v>2</v>
      </c>
      <c r="R121">
        <v>12.6</v>
      </c>
      <c r="S121">
        <v>14.3</v>
      </c>
      <c r="T121" s="1" t="s">
        <v>707</v>
      </c>
      <c r="U121">
        <v>0.9</v>
      </c>
      <c r="V121">
        <v>1.4</v>
      </c>
      <c r="W121">
        <v>2.2999999999999998</v>
      </c>
      <c r="X121">
        <v>7.0000000000000007E-2</v>
      </c>
      <c r="Y121" s="1" t="s">
        <v>707</v>
      </c>
      <c r="Z121">
        <v>-1.7</v>
      </c>
      <c r="AA121">
        <v>-0.1</v>
      </c>
      <c r="AB121">
        <v>-1.8</v>
      </c>
      <c r="AC121">
        <v>0.1</v>
      </c>
    </row>
    <row r="122" spans="1:29" x14ac:dyDescent="0.35">
      <c r="A122">
        <v>121</v>
      </c>
      <c r="B122" s="1" t="s">
        <v>188</v>
      </c>
      <c r="C122" s="1" t="s">
        <v>28</v>
      </c>
      <c r="D122">
        <v>31</v>
      </c>
      <c r="E122" s="1" t="s">
        <v>68</v>
      </c>
      <c r="F122">
        <v>67</v>
      </c>
      <c r="G122">
        <v>1886</v>
      </c>
      <c r="H122">
        <v>11.3</v>
      </c>
      <c r="I122">
        <v>0.54100000000000004</v>
      </c>
      <c r="J122">
        <v>0.67100000000000004</v>
      </c>
      <c r="K122">
        <v>0.16500000000000001</v>
      </c>
      <c r="L122">
        <v>1.8</v>
      </c>
      <c r="M122">
        <v>18</v>
      </c>
      <c r="N122">
        <v>10.1</v>
      </c>
      <c r="O122">
        <v>8.3000000000000007</v>
      </c>
      <c r="P122">
        <v>2.4</v>
      </c>
      <c r="Q122">
        <v>1.4</v>
      </c>
      <c r="R122">
        <v>8.6</v>
      </c>
      <c r="S122">
        <v>14.6</v>
      </c>
      <c r="T122" s="1" t="s">
        <v>707</v>
      </c>
      <c r="U122">
        <v>0.9</v>
      </c>
      <c r="V122">
        <v>3.4</v>
      </c>
      <c r="W122">
        <v>4.3</v>
      </c>
      <c r="X122">
        <v>0.11</v>
      </c>
      <c r="Y122" s="1" t="s">
        <v>707</v>
      </c>
      <c r="Z122">
        <v>-1.3</v>
      </c>
      <c r="AA122">
        <v>2.4</v>
      </c>
      <c r="AB122">
        <v>1.1000000000000001</v>
      </c>
      <c r="AC122">
        <v>1.5</v>
      </c>
    </row>
    <row r="123" spans="1:29" x14ac:dyDescent="0.35">
      <c r="A123">
        <v>122</v>
      </c>
      <c r="B123" s="1" t="s">
        <v>189</v>
      </c>
      <c r="C123" s="1" t="s">
        <v>41</v>
      </c>
      <c r="D123">
        <v>22</v>
      </c>
      <c r="E123" s="1" t="s">
        <v>34</v>
      </c>
      <c r="F123">
        <v>37</v>
      </c>
      <c r="G123">
        <v>338</v>
      </c>
      <c r="H123">
        <v>8.6999999999999993</v>
      </c>
      <c r="I123">
        <v>0.433</v>
      </c>
      <c r="J123">
        <v>0.34799999999999998</v>
      </c>
      <c r="K123">
        <v>0.252</v>
      </c>
      <c r="L123">
        <v>3.9</v>
      </c>
      <c r="M123">
        <v>11.1</v>
      </c>
      <c r="N123">
        <v>7.4</v>
      </c>
      <c r="O123">
        <v>13</v>
      </c>
      <c r="P123">
        <v>2.8</v>
      </c>
      <c r="Q123">
        <v>1.3</v>
      </c>
      <c r="R123">
        <v>11.8</v>
      </c>
      <c r="S123">
        <v>20.6</v>
      </c>
      <c r="T123" s="1" t="s">
        <v>707</v>
      </c>
      <c r="U123">
        <v>-0.4</v>
      </c>
      <c r="V123">
        <v>0.5</v>
      </c>
      <c r="W123">
        <v>0.1</v>
      </c>
      <c r="X123">
        <v>1.2E-2</v>
      </c>
      <c r="Y123" s="1" t="s">
        <v>707</v>
      </c>
      <c r="Z123">
        <v>-5.7</v>
      </c>
      <c r="AA123">
        <v>0.3</v>
      </c>
      <c r="AB123">
        <v>-5.4</v>
      </c>
      <c r="AC123">
        <v>-0.3</v>
      </c>
    </row>
    <row r="124" spans="1:29" x14ac:dyDescent="0.35">
      <c r="A124">
        <v>123</v>
      </c>
      <c r="B124" s="1" t="s">
        <v>190</v>
      </c>
      <c r="C124" s="1" t="s">
        <v>41</v>
      </c>
      <c r="D124">
        <v>24</v>
      </c>
      <c r="E124" s="1" t="s">
        <v>114</v>
      </c>
      <c r="F124">
        <v>3</v>
      </c>
      <c r="G124">
        <v>12</v>
      </c>
      <c r="H124">
        <v>8.4</v>
      </c>
      <c r="I124">
        <v>0.5</v>
      </c>
      <c r="J124">
        <v>0.5</v>
      </c>
      <c r="K124">
        <v>0</v>
      </c>
      <c r="L124">
        <v>8.8000000000000007</v>
      </c>
      <c r="M124">
        <v>19</v>
      </c>
      <c r="N124">
        <v>13.7</v>
      </c>
      <c r="O124">
        <v>11.6</v>
      </c>
      <c r="P124">
        <v>0</v>
      </c>
      <c r="Q124">
        <v>0</v>
      </c>
      <c r="R124">
        <v>0</v>
      </c>
      <c r="S124">
        <v>7.2</v>
      </c>
      <c r="T124" s="1" t="s">
        <v>707</v>
      </c>
      <c r="U124">
        <v>0</v>
      </c>
      <c r="V124">
        <v>0</v>
      </c>
      <c r="W124">
        <v>0</v>
      </c>
      <c r="X124">
        <v>7.9000000000000001E-2</v>
      </c>
      <c r="Y124" s="1" t="s">
        <v>707</v>
      </c>
      <c r="Z124">
        <v>-4.4000000000000004</v>
      </c>
      <c r="AA124">
        <v>-2.2000000000000002</v>
      </c>
      <c r="AB124">
        <v>-6.6</v>
      </c>
      <c r="AC124">
        <v>0</v>
      </c>
    </row>
    <row r="125" spans="1:29" x14ac:dyDescent="0.35">
      <c r="A125">
        <v>124</v>
      </c>
      <c r="B125" s="1" t="s">
        <v>191</v>
      </c>
      <c r="C125" s="1" t="s">
        <v>48</v>
      </c>
      <c r="D125">
        <v>20</v>
      </c>
      <c r="E125" s="1" t="s">
        <v>105</v>
      </c>
      <c r="F125">
        <v>64</v>
      </c>
      <c r="G125">
        <v>2088</v>
      </c>
      <c r="H125">
        <v>13.1</v>
      </c>
      <c r="I125">
        <v>0.504</v>
      </c>
      <c r="J125">
        <v>0.35199999999999998</v>
      </c>
      <c r="K125">
        <v>0.16300000000000001</v>
      </c>
      <c r="L125">
        <v>2.9</v>
      </c>
      <c r="M125">
        <v>16.2</v>
      </c>
      <c r="N125">
        <v>9.1999999999999993</v>
      </c>
      <c r="O125">
        <v>29.1</v>
      </c>
      <c r="P125">
        <v>1.8</v>
      </c>
      <c r="Q125">
        <v>1.9</v>
      </c>
      <c r="R125">
        <v>17.5</v>
      </c>
      <c r="S125">
        <v>27.5</v>
      </c>
      <c r="T125" s="1" t="s">
        <v>707</v>
      </c>
      <c r="U125">
        <v>-2.4</v>
      </c>
      <c r="V125">
        <v>1.9</v>
      </c>
      <c r="W125">
        <v>-0.5</v>
      </c>
      <c r="X125">
        <v>-1.0999999999999999E-2</v>
      </c>
      <c r="Y125" s="1" t="s">
        <v>707</v>
      </c>
      <c r="Z125">
        <v>-1.1000000000000001</v>
      </c>
      <c r="AA125">
        <v>-0.5</v>
      </c>
      <c r="AB125">
        <v>-1.6</v>
      </c>
      <c r="AC125">
        <v>0.2</v>
      </c>
    </row>
    <row r="126" spans="1:29" x14ac:dyDescent="0.35">
      <c r="A126">
        <v>125</v>
      </c>
      <c r="B126" s="1" t="s">
        <v>192</v>
      </c>
      <c r="C126" s="1" t="s">
        <v>41</v>
      </c>
      <c r="D126">
        <v>31</v>
      </c>
      <c r="E126" s="1" t="s">
        <v>42</v>
      </c>
      <c r="F126">
        <v>64</v>
      </c>
      <c r="G126">
        <v>2135</v>
      </c>
      <c r="H126">
        <v>13.7</v>
      </c>
      <c r="I126">
        <v>0.61499999999999999</v>
      </c>
      <c r="J126">
        <v>0.50600000000000001</v>
      </c>
      <c r="K126">
        <v>0.127</v>
      </c>
      <c r="L126">
        <v>1.1000000000000001</v>
      </c>
      <c r="M126">
        <v>9.1</v>
      </c>
      <c r="N126">
        <v>5.2</v>
      </c>
      <c r="O126">
        <v>16.3</v>
      </c>
      <c r="P126">
        <v>1.2</v>
      </c>
      <c r="Q126">
        <v>0.6</v>
      </c>
      <c r="R126">
        <v>12.3</v>
      </c>
      <c r="S126">
        <v>18.5</v>
      </c>
      <c r="T126" s="1" t="s">
        <v>707</v>
      </c>
      <c r="U126">
        <v>2.7</v>
      </c>
      <c r="V126">
        <v>1.5</v>
      </c>
      <c r="W126">
        <v>4.2</v>
      </c>
      <c r="X126">
        <v>9.5000000000000001E-2</v>
      </c>
      <c r="Y126" s="1" t="s">
        <v>707</v>
      </c>
      <c r="Z126">
        <v>0.3</v>
      </c>
      <c r="AA126">
        <v>-0.9</v>
      </c>
      <c r="AB126">
        <v>-0.6</v>
      </c>
      <c r="AC126">
        <v>0.8</v>
      </c>
    </row>
    <row r="127" spans="1:29" x14ac:dyDescent="0.35">
      <c r="A127">
        <v>126</v>
      </c>
      <c r="B127" s="1" t="s">
        <v>193</v>
      </c>
      <c r="C127" s="1" t="s">
        <v>48</v>
      </c>
      <c r="D127">
        <v>33</v>
      </c>
      <c r="E127" s="1" t="s">
        <v>111</v>
      </c>
      <c r="F127">
        <v>64</v>
      </c>
      <c r="G127">
        <v>2211</v>
      </c>
      <c r="H127">
        <v>21.4</v>
      </c>
      <c r="I127">
        <v>0.60099999999999998</v>
      </c>
      <c r="J127">
        <v>0.61299999999999999</v>
      </c>
      <c r="K127">
        <v>0.24299999999999999</v>
      </c>
      <c r="L127">
        <v>1.7</v>
      </c>
      <c r="M127">
        <v>14.4</v>
      </c>
      <c r="N127">
        <v>8.3000000000000007</v>
      </c>
      <c r="O127">
        <v>30.4</v>
      </c>
      <c r="P127">
        <v>1.9</v>
      </c>
      <c r="Q127">
        <v>1</v>
      </c>
      <c r="R127">
        <v>13.2</v>
      </c>
      <c r="S127">
        <v>30.8</v>
      </c>
      <c r="T127" s="1" t="s">
        <v>707</v>
      </c>
      <c r="U127">
        <v>4.5999999999999996</v>
      </c>
      <c r="V127">
        <v>3.4</v>
      </c>
      <c r="W127">
        <v>8</v>
      </c>
      <c r="X127">
        <v>0.17299999999999999</v>
      </c>
      <c r="Y127" s="1" t="s">
        <v>707</v>
      </c>
      <c r="Z127">
        <v>5.4</v>
      </c>
      <c r="AA127">
        <v>0.4</v>
      </c>
      <c r="AB127">
        <v>5.8</v>
      </c>
      <c r="AC127">
        <v>4.4000000000000004</v>
      </c>
    </row>
    <row r="128" spans="1:29" x14ac:dyDescent="0.35">
      <c r="A128">
        <v>127</v>
      </c>
      <c r="B128" s="1" t="s">
        <v>194</v>
      </c>
      <c r="C128" s="1" t="s">
        <v>31</v>
      </c>
      <c r="D128">
        <v>28</v>
      </c>
      <c r="E128" s="1" t="s">
        <v>56</v>
      </c>
      <c r="F128">
        <v>40</v>
      </c>
      <c r="G128">
        <v>1404</v>
      </c>
      <c r="H128">
        <v>23.9</v>
      </c>
      <c r="I128">
        <v>0.57799999999999996</v>
      </c>
      <c r="J128">
        <v>0.10100000000000001</v>
      </c>
      <c r="K128">
        <v>0.35099999999999998</v>
      </c>
      <c r="L128">
        <v>8.1</v>
      </c>
      <c r="M128">
        <v>22</v>
      </c>
      <c r="N128">
        <v>15.1</v>
      </c>
      <c r="O128">
        <v>14.7</v>
      </c>
      <c r="P128">
        <v>1.7</v>
      </c>
      <c r="Q128">
        <v>5.7</v>
      </c>
      <c r="R128">
        <v>9.3000000000000007</v>
      </c>
      <c r="S128">
        <v>27.1</v>
      </c>
      <c r="T128" s="1" t="s">
        <v>707</v>
      </c>
      <c r="U128">
        <v>2.6</v>
      </c>
      <c r="V128">
        <v>2</v>
      </c>
      <c r="W128">
        <v>4.5</v>
      </c>
      <c r="X128">
        <v>0.155</v>
      </c>
      <c r="Y128" s="1" t="s">
        <v>707</v>
      </c>
      <c r="Z128">
        <v>2.6</v>
      </c>
      <c r="AA128">
        <v>1.2</v>
      </c>
      <c r="AB128">
        <v>3.8</v>
      </c>
      <c r="AC128">
        <v>2</v>
      </c>
    </row>
    <row r="129" spans="1:29" x14ac:dyDescent="0.35">
      <c r="A129">
        <v>128</v>
      </c>
      <c r="B129" s="1" t="s">
        <v>195</v>
      </c>
      <c r="C129" s="1" t="s">
        <v>31</v>
      </c>
      <c r="D129">
        <v>32</v>
      </c>
      <c r="E129" s="1" t="s">
        <v>46</v>
      </c>
      <c r="F129">
        <v>31</v>
      </c>
      <c r="G129">
        <v>201</v>
      </c>
      <c r="H129">
        <v>9.3000000000000007</v>
      </c>
      <c r="I129">
        <v>0.63200000000000001</v>
      </c>
      <c r="J129">
        <v>0</v>
      </c>
      <c r="K129">
        <v>0.875</v>
      </c>
      <c r="L129">
        <v>7.9</v>
      </c>
      <c r="M129">
        <v>26.9</v>
      </c>
      <c r="N129">
        <v>17.600000000000001</v>
      </c>
      <c r="O129">
        <v>4.5</v>
      </c>
      <c r="P129">
        <v>0.7</v>
      </c>
      <c r="Q129">
        <v>4</v>
      </c>
      <c r="R129">
        <v>18.399999999999999</v>
      </c>
      <c r="S129">
        <v>6</v>
      </c>
      <c r="T129" s="1" t="s">
        <v>707</v>
      </c>
      <c r="U129">
        <v>0.2</v>
      </c>
      <c r="V129">
        <v>0.3</v>
      </c>
      <c r="W129">
        <v>0.5</v>
      </c>
      <c r="X129">
        <v>0.126</v>
      </c>
      <c r="Y129" s="1" t="s">
        <v>707</v>
      </c>
      <c r="Z129">
        <v>-4.2</v>
      </c>
      <c r="AA129">
        <v>2.5</v>
      </c>
      <c r="AB129">
        <v>-1.8</v>
      </c>
      <c r="AC129">
        <v>0</v>
      </c>
    </row>
    <row r="130" spans="1:29" x14ac:dyDescent="0.35">
      <c r="A130">
        <v>129</v>
      </c>
      <c r="B130" s="1" t="s">
        <v>196</v>
      </c>
      <c r="C130" s="1" t="s">
        <v>41</v>
      </c>
      <c r="D130">
        <v>24</v>
      </c>
      <c r="E130" s="1" t="s">
        <v>82</v>
      </c>
      <c r="F130">
        <v>30</v>
      </c>
      <c r="G130">
        <v>536</v>
      </c>
      <c r="H130">
        <v>14.6</v>
      </c>
      <c r="I130">
        <v>0.54300000000000004</v>
      </c>
      <c r="J130">
        <v>0.55800000000000005</v>
      </c>
      <c r="K130">
        <v>0.16500000000000001</v>
      </c>
      <c r="L130">
        <v>2.2000000000000002</v>
      </c>
      <c r="M130">
        <v>17</v>
      </c>
      <c r="N130">
        <v>9.5</v>
      </c>
      <c r="O130">
        <v>11.9</v>
      </c>
      <c r="P130">
        <v>2.2000000000000002</v>
      </c>
      <c r="Q130">
        <v>1.8</v>
      </c>
      <c r="R130">
        <v>10.3</v>
      </c>
      <c r="S130">
        <v>25.6</v>
      </c>
      <c r="T130" s="1" t="s">
        <v>707</v>
      </c>
      <c r="U130">
        <v>0</v>
      </c>
      <c r="V130">
        <v>0.5</v>
      </c>
      <c r="W130">
        <v>0.5</v>
      </c>
      <c r="X130">
        <v>4.3999999999999997E-2</v>
      </c>
      <c r="Y130" s="1" t="s">
        <v>707</v>
      </c>
      <c r="Z130">
        <v>-0.6</v>
      </c>
      <c r="AA130">
        <v>-0.4</v>
      </c>
      <c r="AB130">
        <v>-0.9</v>
      </c>
      <c r="AC130">
        <v>0.2</v>
      </c>
    </row>
    <row r="131" spans="1:29" x14ac:dyDescent="0.35">
      <c r="A131">
        <v>130</v>
      </c>
      <c r="B131" s="1" t="s">
        <v>197</v>
      </c>
      <c r="C131" s="1" t="s">
        <v>28</v>
      </c>
      <c r="D131">
        <v>26</v>
      </c>
      <c r="E131" s="1" t="s">
        <v>96</v>
      </c>
      <c r="F131">
        <v>7</v>
      </c>
      <c r="G131">
        <v>56</v>
      </c>
      <c r="H131">
        <v>11.5</v>
      </c>
      <c r="I131">
        <v>0.64300000000000002</v>
      </c>
      <c r="J131">
        <v>0.28599999999999998</v>
      </c>
      <c r="K131">
        <v>0</v>
      </c>
      <c r="L131">
        <v>1.8</v>
      </c>
      <c r="M131">
        <v>9.3000000000000007</v>
      </c>
      <c r="N131">
        <v>5.5</v>
      </c>
      <c r="O131">
        <v>13.7</v>
      </c>
      <c r="P131">
        <v>0.9</v>
      </c>
      <c r="Q131">
        <v>0</v>
      </c>
      <c r="R131">
        <v>12.5</v>
      </c>
      <c r="S131">
        <v>12.3</v>
      </c>
      <c r="T131" s="1" t="s">
        <v>707</v>
      </c>
      <c r="U131">
        <v>0.1</v>
      </c>
      <c r="V131">
        <v>0</v>
      </c>
      <c r="W131">
        <v>0.1</v>
      </c>
      <c r="X131">
        <v>0.08</v>
      </c>
      <c r="Y131" s="1" t="s">
        <v>707</v>
      </c>
      <c r="Z131">
        <v>-1.2</v>
      </c>
      <c r="AA131">
        <v>-1.3</v>
      </c>
      <c r="AB131">
        <v>-2.5</v>
      </c>
      <c r="AC131">
        <v>0</v>
      </c>
    </row>
    <row r="132" spans="1:29" x14ac:dyDescent="0.35">
      <c r="A132">
        <v>131</v>
      </c>
      <c r="B132" s="1" t="s">
        <v>198</v>
      </c>
      <c r="C132" s="1" t="s">
        <v>31</v>
      </c>
      <c r="D132">
        <v>32</v>
      </c>
      <c r="E132" s="1" t="s">
        <v>36</v>
      </c>
      <c r="F132">
        <v>67</v>
      </c>
      <c r="G132">
        <v>1065</v>
      </c>
      <c r="H132">
        <v>15.9</v>
      </c>
      <c r="I132">
        <v>0.63200000000000001</v>
      </c>
      <c r="J132">
        <v>0.16200000000000001</v>
      </c>
      <c r="K132">
        <v>0.34499999999999997</v>
      </c>
      <c r="L132">
        <v>11.4</v>
      </c>
      <c r="M132">
        <v>29.4</v>
      </c>
      <c r="N132">
        <v>20.6</v>
      </c>
      <c r="O132">
        <v>6.7</v>
      </c>
      <c r="P132">
        <v>1.1000000000000001</v>
      </c>
      <c r="Q132">
        <v>4.2</v>
      </c>
      <c r="R132">
        <v>17.3</v>
      </c>
      <c r="S132">
        <v>16.899999999999999</v>
      </c>
      <c r="T132" s="1" t="s">
        <v>707</v>
      </c>
      <c r="U132">
        <v>1.5</v>
      </c>
      <c r="V132">
        <v>2</v>
      </c>
      <c r="W132">
        <v>3.5</v>
      </c>
      <c r="X132">
        <v>0.157</v>
      </c>
      <c r="Y132" s="1" t="s">
        <v>707</v>
      </c>
      <c r="Z132">
        <v>-2.2000000000000002</v>
      </c>
      <c r="AA132">
        <v>1.1000000000000001</v>
      </c>
      <c r="AB132">
        <v>-1</v>
      </c>
      <c r="AC132">
        <v>0.3</v>
      </c>
    </row>
    <row r="133" spans="1:29" x14ac:dyDescent="0.35">
      <c r="A133">
        <v>132</v>
      </c>
      <c r="B133" s="1" t="s">
        <v>199</v>
      </c>
      <c r="C133" s="1" t="s">
        <v>28</v>
      </c>
      <c r="D133">
        <v>27</v>
      </c>
      <c r="E133" s="1" t="s">
        <v>32</v>
      </c>
      <c r="F133">
        <v>1</v>
      </c>
      <c r="G133">
        <v>1</v>
      </c>
      <c r="H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S133">
        <v>0</v>
      </c>
      <c r="T133" s="1" t="s">
        <v>707</v>
      </c>
      <c r="U133">
        <v>0</v>
      </c>
      <c r="V133">
        <v>0</v>
      </c>
      <c r="W133">
        <v>0</v>
      </c>
      <c r="X133">
        <v>3.0000000000000001E-3</v>
      </c>
      <c r="Y133" s="1" t="s">
        <v>707</v>
      </c>
      <c r="Z133">
        <v>-6.2</v>
      </c>
      <c r="AA133">
        <v>-3.4</v>
      </c>
      <c r="AB133">
        <v>-9.6</v>
      </c>
      <c r="AC133">
        <v>0</v>
      </c>
    </row>
    <row r="134" spans="1:29" x14ac:dyDescent="0.35">
      <c r="A134">
        <v>133</v>
      </c>
      <c r="B134" s="1" t="s">
        <v>200</v>
      </c>
      <c r="C134" s="1" t="s">
        <v>31</v>
      </c>
      <c r="D134">
        <v>23</v>
      </c>
      <c r="E134" s="1" t="s">
        <v>44</v>
      </c>
      <c r="F134">
        <v>1</v>
      </c>
      <c r="G134">
        <v>3</v>
      </c>
      <c r="H134">
        <v>15.6</v>
      </c>
      <c r="L134">
        <v>0</v>
      </c>
      <c r="M134">
        <v>34.6</v>
      </c>
      <c r="N134">
        <v>17.7</v>
      </c>
      <c r="O134">
        <v>0</v>
      </c>
      <c r="P134">
        <v>16</v>
      </c>
      <c r="Q134">
        <v>0</v>
      </c>
      <c r="S134">
        <v>0</v>
      </c>
      <c r="T134" s="1" t="s">
        <v>707</v>
      </c>
      <c r="U134">
        <v>0</v>
      </c>
      <c r="V134">
        <v>0</v>
      </c>
      <c r="W134">
        <v>0</v>
      </c>
      <c r="X134">
        <v>0.26</v>
      </c>
      <c r="Y134" s="1" t="s">
        <v>707</v>
      </c>
      <c r="Z134">
        <v>-4.8</v>
      </c>
      <c r="AA134">
        <v>11.8</v>
      </c>
      <c r="AB134">
        <v>7</v>
      </c>
      <c r="AC134">
        <v>0</v>
      </c>
    </row>
    <row r="135" spans="1:29" x14ac:dyDescent="0.35">
      <c r="A135">
        <v>134</v>
      </c>
      <c r="B135" s="1" t="s">
        <v>201</v>
      </c>
      <c r="C135" s="1" t="s">
        <v>28</v>
      </c>
      <c r="D135">
        <v>32</v>
      </c>
      <c r="E135" s="1" t="s">
        <v>75</v>
      </c>
      <c r="F135">
        <v>76</v>
      </c>
      <c r="G135">
        <v>2743</v>
      </c>
      <c r="H135">
        <v>23.1</v>
      </c>
      <c r="I135">
        <v>0.59</v>
      </c>
      <c r="J135">
        <v>9.2999999999999999E-2</v>
      </c>
      <c r="K135">
        <v>0.38600000000000001</v>
      </c>
      <c r="L135">
        <v>2.2999999999999998</v>
      </c>
      <c r="M135">
        <v>13.7</v>
      </c>
      <c r="N135">
        <v>8</v>
      </c>
      <c r="O135">
        <v>23.3</v>
      </c>
      <c r="P135">
        <v>1.2</v>
      </c>
      <c r="Q135">
        <v>0.8</v>
      </c>
      <c r="R135">
        <v>9.1999999999999993</v>
      </c>
      <c r="S135">
        <v>31.8</v>
      </c>
      <c r="T135" s="1" t="s">
        <v>707</v>
      </c>
      <c r="U135">
        <v>7</v>
      </c>
      <c r="V135">
        <v>1.8</v>
      </c>
      <c r="W135">
        <v>8.8000000000000007</v>
      </c>
      <c r="X135">
        <v>0.154</v>
      </c>
      <c r="Y135" s="1" t="s">
        <v>707</v>
      </c>
      <c r="Z135">
        <v>3.4</v>
      </c>
      <c r="AA135">
        <v>-0.9</v>
      </c>
      <c r="AB135">
        <v>2.5</v>
      </c>
      <c r="AC135">
        <v>3.1</v>
      </c>
    </row>
    <row r="136" spans="1:29" x14ac:dyDescent="0.35">
      <c r="A136">
        <v>135</v>
      </c>
      <c r="B136" s="1" t="s">
        <v>202</v>
      </c>
      <c r="C136" s="1" t="s">
        <v>28</v>
      </c>
      <c r="D136">
        <v>25</v>
      </c>
      <c r="E136" s="1" t="s">
        <v>96</v>
      </c>
      <c r="F136">
        <v>13</v>
      </c>
      <c r="G136">
        <v>188</v>
      </c>
      <c r="H136">
        <v>11.6</v>
      </c>
      <c r="I136">
        <v>0.54</v>
      </c>
      <c r="J136">
        <v>0.106</v>
      </c>
      <c r="K136">
        <v>0.23400000000000001</v>
      </c>
      <c r="L136">
        <v>9.1999999999999993</v>
      </c>
      <c r="M136">
        <v>23.3</v>
      </c>
      <c r="N136">
        <v>16.100000000000001</v>
      </c>
      <c r="O136">
        <v>1.6</v>
      </c>
      <c r="P136">
        <v>1.3</v>
      </c>
      <c r="Q136">
        <v>4.5</v>
      </c>
      <c r="R136">
        <v>11.9</v>
      </c>
      <c r="S136">
        <v>13.5</v>
      </c>
      <c r="T136" s="1" t="s">
        <v>707</v>
      </c>
      <c r="U136">
        <v>0.1</v>
      </c>
      <c r="V136">
        <v>0.3</v>
      </c>
      <c r="W136">
        <v>0.3</v>
      </c>
      <c r="X136">
        <v>0.08</v>
      </c>
      <c r="Y136" s="1" t="s">
        <v>707</v>
      </c>
      <c r="Z136">
        <v>-5.9</v>
      </c>
      <c r="AA136">
        <v>0.9</v>
      </c>
      <c r="AB136">
        <v>-5</v>
      </c>
      <c r="AC136">
        <v>-0.1</v>
      </c>
    </row>
    <row r="137" spans="1:29" x14ac:dyDescent="0.35">
      <c r="A137">
        <v>136</v>
      </c>
      <c r="B137" s="1" t="s">
        <v>203</v>
      </c>
      <c r="C137" s="1" t="s">
        <v>31</v>
      </c>
      <c r="D137">
        <v>25</v>
      </c>
      <c r="E137" s="1" t="s">
        <v>105</v>
      </c>
      <c r="F137">
        <v>3</v>
      </c>
      <c r="G137">
        <v>31</v>
      </c>
      <c r="H137">
        <v>12.3</v>
      </c>
      <c r="I137">
        <v>0.51700000000000002</v>
      </c>
      <c r="J137">
        <v>0</v>
      </c>
      <c r="K137">
        <v>0.75</v>
      </c>
      <c r="L137">
        <v>13.3</v>
      </c>
      <c r="M137">
        <v>29.4</v>
      </c>
      <c r="N137">
        <v>20.9</v>
      </c>
      <c r="O137">
        <v>0</v>
      </c>
      <c r="P137">
        <v>1.6</v>
      </c>
      <c r="Q137">
        <v>0</v>
      </c>
      <c r="R137">
        <v>8.6</v>
      </c>
      <c r="S137">
        <v>16.100000000000001</v>
      </c>
      <c r="T137" s="1" t="s">
        <v>707</v>
      </c>
      <c r="U137">
        <v>0</v>
      </c>
      <c r="V137">
        <v>0</v>
      </c>
      <c r="W137">
        <v>0.1</v>
      </c>
      <c r="X137">
        <v>0.108</v>
      </c>
      <c r="Y137" s="1" t="s">
        <v>707</v>
      </c>
      <c r="Z137">
        <v>-4.2</v>
      </c>
      <c r="AA137">
        <v>-3.3</v>
      </c>
      <c r="AB137">
        <v>-7.5</v>
      </c>
      <c r="AC137">
        <v>0</v>
      </c>
    </row>
    <row r="138" spans="1:29" x14ac:dyDescent="0.35">
      <c r="A138">
        <v>137</v>
      </c>
      <c r="B138" s="1" t="s">
        <v>204</v>
      </c>
      <c r="C138" s="1" t="s">
        <v>41</v>
      </c>
      <c r="D138">
        <v>23</v>
      </c>
      <c r="E138" s="1" t="s">
        <v>105</v>
      </c>
      <c r="F138">
        <v>58</v>
      </c>
      <c r="G138">
        <v>1269</v>
      </c>
      <c r="H138">
        <v>15.7</v>
      </c>
      <c r="I138">
        <v>0.54100000000000004</v>
      </c>
      <c r="J138">
        <v>0.17699999999999999</v>
      </c>
      <c r="K138">
        <v>0.26600000000000001</v>
      </c>
      <c r="L138">
        <v>5.6</v>
      </c>
      <c r="M138">
        <v>18.7</v>
      </c>
      <c r="N138">
        <v>11.8</v>
      </c>
      <c r="O138">
        <v>9.8000000000000007</v>
      </c>
      <c r="P138">
        <v>2.7</v>
      </c>
      <c r="Q138">
        <v>1.2</v>
      </c>
      <c r="R138">
        <v>9</v>
      </c>
      <c r="S138">
        <v>21.8</v>
      </c>
      <c r="T138" s="1" t="s">
        <v>707</v>
      </c>
      <c r="U138">
        <v>0.6</v>
      </c>
      <c r="V138">
        <v>1.5</v>
      </c>
      <c r="W138">
        <v>2.1</v>
      </c>
      <c r="X138">
        <v>7.9000000000000001E-2</v>
      </c>
      <c r="Y138" s="1" t="s">
        <v>707</v>
      </c>
      <c r="Z138">
        <v>-1.2</v>
      </c>
      <c r="AA138">
        <v>0.7</v>
      </c>
      <c r="AB138">
        <v>-0.5</v>
      </c>
      <c r="AC138">
        <v>0.5</v>
      </c>
    </row>
    <row r="139" spans="1:29" x14ac:dyDescent="0.35">
      <c r="A139">
        <v>138</v>
      </c>
      <c r="B139" s="1" t="s">
        <v>205</v>
      </c>
      <c r="C139" s="1" t="s">
        <v>31</v>
      </c>
      <c r="D139">
        <v>32</v>
      </c>
      <c r="E139" s="1" t="s">
        <v>80</v>
      </c>
      <c r="F139">
        <v>44</v>
      </c>
      <c r="G139">
        <v>371</v>
      </c>
      <c r="H139">
        <v>17.3</v>
      </c>
      <c r="I139">
        <v>0.624</v>
      </c>
      <c r="J139">
        <v>0.60699999999999998</v>
      </c>
      <c r="K139">
        <v>0.23200000000000001</v>
      </c>
      <c r="L139">
        <v>9.5</v>
      </c>
      <c r="M139">
        <v>26.1</v>
      </c>
      <c r="N139">
        <v>17.8</v>
      </c>
      <c r="O139">
        <v>12.7</v>
      </c>
      <c r="P139">
        <v>1.5</v>
      </c>
      <c r="Q139">
        <v>3.1</v>
      </c>
      <c r="R139">
        <v>13.9</v>
      </c>
      <c r="S139">
        <v>16.899999999999999</v>
      </c>
      <c r="T139" s="1" t="s">
        <v>707</v>
      </c>
      <c r="U139">
        <v>0.8</v>
      </c>
      <c r="V139">
        <v>0.4</v>
      </c>
      <c r="W139">
        <v>1.2</v>
      </c>
      <c r="X139">
        <v>0.155</v>
      </c>
      <c r="Y139" s="1" t="s">
        <v>707</v>
      </c>
      <c r="Z139">
        <v>1.4</v>
      </c>
      <c r="AA139">
        <v>0.8</v>
      </c>
      <c r="AB139">
        <v>2.1</v>
      </c>
      <c r="AC139">
        <v>0.4</v>
      </c>
    </row>
    <row r="140" spans="1:29" x14ac:dyDescent="0.35">
      <c r="A140">
        <v>139</v>
      </c>
      <c r="B140" s="1" t="s">
        <v>206</v>
      </c>
      <c r="C140" s="1" t="s">
        <v>48</v>
      </c>
      <c r="D140">
        <v>28</v>
      </c>
      <c r="E140" s="1" t="s">
        <v>42</v>
      </c>
      <c r="F140">
        <v>67</v>
      </c>
      <c r="G140">
        <v>1980</v>
      </c>
      <c r="H140">
        <v>15.1</v>
      </c>
      <c r="I140">
        <v>0.54300000000000004</v>
      </c>
      <c r="J140">
        <v>0.44900000000000001</v>
      </c>
      <c r="K140">
        <v>0.34300000000000003</v>
      </c>
      <c r="L140">
        <v>2.6</v>
      </c>
      <c r="M140">
        <v>13</v>
      </c>
      <c r="N140">
        <v>7.8</v>
      </c>
      <c r="O140">
        <v>25.7</v>
      </c>
      <c r="P140">
        <v>1.1000000000000001</v>
      </c>
      <c r="Q140">
        <v>0.6</v>
      </c>
      <c r="R140">
        <v>10.9</v>
      </c>
      <c r="S140">
        <v>21.4</v>
      </c>
      <c r="T140" s="1" t="s">
        <v>707</v>
      </c>
      <c r="U140">
        <v>2.7</v>
      </c>
      <c r="V140">
        <v>1.4</v>
      </c>
      <c r="W140">
        <v>4.0999999999999996</v>
      </c>
      <c r="X140">
        <v>9.8000000000000004E-2</v>
      </c>
      <c r="Y140" s="1" t="s">
        <v>707</v>
      </c>
      <c r="Z140">
        <v>0.8</v>
      </c>
      <c r="AA140">
        <v>-0.4</v>
      </c>
      <c r="AB140">
        <v>0.3</v>
      </c>
      <c r="AC140">
        <v>1.1000000000000001</v>
      </c>
    </row>
    <row r="141" spans="1:29" x14ac:dyDescent="0.35">
      <c r="A141">
        <v>140</v>
      </c>
      <c r="B141" s="1" t="s">
        <v>207</v>
      </c>
      <c r="C141" s="1" t="s">
        <v>41</v>
      </c>
      <c r="D141">
        <v>25</v>
      </c>
      <c r="E141" s="1" t="s">
        <v>42</v>
      </c>
      <c r="F141">
        <v>42</v>
      </c>
      <c r="G141">
        <v>1006</v>
      </c>
      <c r="H141">
        <v>11.3</v>
      </c>
      <c r="I141">
        <v>0.51</v>
      </c>
      <c r="J141">
        <v>0.64900000000000002</v>
      </c>
      <c r="K141">
        <v>0.247</v>
      </c>
      <c r="L141">
        <v>4.3</v>
      </c>
      <c r="M141">
        <v>14</v>
      </c>
      <c r="N141">
        <v>9.1</v>
      </c>
      <c r="O141">
        <v>16.100000000000001</v>
      </c>
      <c r="P141">
        <v>2.2999999999999998</v>
      </c>
      <c r="Q141">
        <v>0.7</v>
      </c>
      <c r="R141">
        <v>16.2</v>
      </c>
      <c r="S141">
        <v>18.899999999999999</v>
      </c>
      <c r="T141" s="1" t="s">
        <v>707</v>
      </c>
      <c r="U141">
        <v>-0.1</v>
      </c>
      <c r="V141">
        <v>0.9</v>
      </c>
      <c r="W141">
        <v>0.7</v>
      </c>
      <c r="X141">
        <v>3.5000000000000003E-2</v>
      </c>
      <c r="Y141" s="1" t="s">
        <v>707</v>
      </c>
      <c r="Z141">
        <v>-1.8</v>
      </c>
      <c r="AA141">
        <v>-0.5</v>
      </c>
      <c r="AB141">
        <v>-2.2999999999999998</v>
      </c>
      <c r="AC141">
        <v>-0.1</v>
      </c>
    </row>
    <row r="142" spans="1:29" x14ac:dyDescent="0.35">
      <c r="A142">
        <v>141</v>
      </c>
      <c r="B142" s="1" t="s">
        <v>208</v>
      </c>
      <c r="C142" s="1" t="s">
        <v>48</v>
      </c>
      <c r="D142">
        <v>22</v>
      </c>
      <c r="E142" s="1" t="s">
        <v>143</v>
      </c>
      <c r="F142">
        <v>65</v>
      </c>
      <c r="G142">
        <v>2301</v>
      </c>
      <c r="H142">
        <v>25.1</v>
      </c>
      <c r="I142">
        <v>0.57099999999999995</v>
      </c>
      <c r="J142">
        <v>0.40600000000000003</v>
      </c>
      <c r="K142">
        <v>0.34899999999999998</v>
      </c>
      <c r="L142">
        <v>2.7</v>
      </c>
      <c r="M142">
        <v>26</v>
      </c>
      <c r="N142">
        <v>14.3</v>
      </c>
      <c r="O142">
        <v>46</v>
      </c>
      <c r="P142">
        <v>1.6</v>
      </c>
      <c r="Q142">
        <v>1.4</v>
      </c>
      <c r="R142">
        <v>15.3</v>
      </c>
      <c r="S142">
        <v>37.4</v>
      </c>
      <c r="T142" s="1" t="s">
        <v>707</v>
      </c>
      <c r="U142">
        <v>3.8</v>
      </c>
      <c r="V142">
        <v>3.8</v>
      </c>
      <c r="W142">
        <v>7.6</v>
      </c>
      <c r="X142">
        <v>0.159</v>
      </c>
      <c r="Y142" s="1" t="s">
        <v>707</v>
      </c>
      <c r="Z142">
        <v>6.4</v>
      </c>
      <c r="AA142">
        <v>1.8</v>
      </c>
      <c r="AB142">
        <v>8.1999999999999993</v>
      </c>
      <c r="AC142">
        <v>5.9</v>
      </c>
    </row>
    <row r="143" spans="1:29" x14ac:dyDescent="0.35">
      <c r="A143">
        <v>142</v>
      </c>
      <c r="B143" s="1" t="s">
        <v>209</v>
      </c>
      <c r="C143" s="1" t="s">
        <v>51</v>
      </c>
      <c r="D143">
        <v>22</v>
      </c>
      <c r="E143" s="1" t="s">
        <v>96</v>
      </c>
      <c r="F143">
        <v>51</v>
      </c>
      <c r="G143">
        <v>1665</v>
      </c>
      <c r="H143">
        <v>12.3</v>
      </c>
      <c r="I143">
        <v>0.54100000000000004</v>
      </c>
      <c r="J143">
        <v>0.53900000000000003</v>
      </c>
      <c r="K143">
        <v>0.26300000000000001</v>
      </c>
      <c r="L143">
        <v>2.2999999999999998</v>
      </c>
      <c r="M143">
        <v>10.9</v>
      </c>
      <c r="N143">
        <v>6.5</v>
      </c>
      <c r="O143">
        <v>8.6</v>
      </c>
      <c r="P143">
        <v>1.3</v>
      </c>
      <c r="Q143">
        <v>1</v>
      </c>
      <c r="R143">
        <v>9.8000000000000007</v>
      </c>
      <c r="S143">
        <v>23.3</v>
      </c>
      <c r="T143" s="1" t="s">
        <v>707</v>
      </c>
      <c r="U143">
        <v>0.2</v>
      </c>
      <c r="V143">
        <v>1.1000000000000001</v>
      </c>
      <c r="W143">
        <v>1.4</v>
      </c>
      <c r="X143">
        <v>0.04</v>
      </c>
      <c r="Y143" s="1" t="s">
        <v>707</v>
      </c>
      <c r="Z143">
        <v>-1.5</v>
      </c>
      <c r="AA143">
        <v>-0.7</v>
      </c>
      <c r="AB143">
        <v>-2.2999999999999998</v>
      </c>
      <c r="AC143">
        <v>-0.1</v>
      </c>
    </row>
    <row r="144" spans="1:29" x14ac:dyDescent="0.35">
      <c r="A144">
        <v>143</v>
      </c>
      <c r="B144" s="1" t="s">
        <v>210</v>
      </c>
      <c r="C144" s="1" t="s">
        <v>41</v>
      </c>
      <c r="D144">
        <v>22</v>
      </c>
      <c r="E144" s="1" t="s">
        <v>75</v>
      </c>
      <c r="F144">
        <v>77</v>
      </c>
      <c r="G144">
        <v>2110</v>
      </c>
      <c r="H144">
        <v>11.2</v>
      </c>
      <c r="I144">
        <v>0.59599999999999997</v>
      </c>
      <c r="J144">
        <v>0.34799999999999998</v>
      </c>
      <c r="K144">
        <v>0.14599999999999999</v>
      </c>
      <c r="L144">
        <v>1.4</v>
      </c>
      <c r="M144">
        <v>9.9</v>
      </c>
      <c r="N144">
        <v>5.7</v>
      </c>
      <c r="O144">
        <v>16.5</v>
      </c>
      <c r="P144">
        <v>1.4</v>
      </c>
      <c r="Q144">
        <v>1.2</v>
      </c>
      <c r="R144">
        <v>15.9</v>
      </c>
      <c r="S144">
        <v>14.1</v>
      </c>
      <c r="T144" s="1" t="s">
        <v>707</v>
      </c>
      <c r="U144">
        <v>1.7</v>
      </c>
      <c r="V144">
        <v>1.3</v>
      </c>
      <c r="W144">
        <v>3</v>
      </c>
      <c r="X144">
        <v>6.9000000000000006E-2</v>
      </c>
      <c r="Y144" s="1" t="s">
        <v>707</v>
      </c>
      <c r="Z144">
        <v>-1.9</v>
      </c>
      <c r="AA144">
        <v>-0.1</v>
      </c>
      <c r="AB144">
        <v>-2</v>
      </c>
      <c r="AC144">
        <v>0</v>
      </c>
    </row>
    <row r="145" spans="1:29" x14ac:dyDescent="0.35">
      <c r="A145">
        <v>144</v>
      </c>
      <c r="B145" s="1" t="s">
        <v>211</v>
      </c>
      <c r="C145" s="1" t="s">
        <v>41</v>
      </c>
      <c r="D145">
        <v>27</v>
      </c>
      <c r="E145" s="1" t="s">
        <v>61</v>
      </c>
      <c r="F145">
        <v>2</v>
      </c>
      <c r="G145">
        <v>21</v>
      </c>
      <c r="H145">
        <v>6.4</v>
      </c>
      <c r="I145">
        <v>0.5</v>
      </c>
      <c r="J145">
        <v>0.25</v>
      </c>
      <c r="K145">
        <v>0</v>
      </c>
      <c r="L145">
        <v>0</v>
      </c>
      <c r="M145">
        <v>10.4</v>
      </c>
      <c r="N145">
        <v>5.0999999999999996</v>
      </c>
      <c r="O145">
        <v>6.9</v>
      </c>
      <c r="P145">
        <v>0</v>
      </c>
      <c r="Q145">
        <v>0</v>
      </c>
      <c r="R145">
        <v>0</v>
      </c>
      <c r="S145">
        <v>8.3000000000000007</v>
      </c>
      <c r="T145" s="1" t="s">
        <v>707</v>
      </c>
      <c r="U145">
        <v>0</v>
      </c>
      <c r="V145">
        <v>0</v>
      </c>
      <c r="W145">
        <v>0</v>
      </c>
      <c r="X145">
        <v>4.4999999999999998E-2</v>
      </c>
      <c r="Y145" s="1" t="s">
        <v>707</v>
      </c>
      <c r="Z145">
        <v>-3.7</v>
      </c>
      <c r="AA145">
        <v>-1.2</v>
      </c>
      <c r="AB145">
        <v>-4.9000000000000004</v>
      </c>
      <c r="AC145">
        <v>0</v>
      </c>
    </row>
    <row r="146" spans="1:29" x14ac:dyDescent="0.35">
      <c r="A146">
        <v>145</v>
      </c>
      <c r="B146" s="1" t="s">
        <v>212</v>
      </c>
      <c r="C146" s="1" t="s">
        <v>48</v>
      </c>
      <c r="D146">
        <v>22</v>
      </c>
      <c r="E146" s="1" t="s">
        <v>75</v>
      </c>
      <c r="F146">
        <v>11</v>
      </c>
      <c r="G146">
        <v>85</v>
      </c>
      <c r="H146">
        <v>9.8000000000000007</v>
      </c>
      <c r="I146">
        <v>0.53800000000000003</v>
      </c>
      <c r="J146">
        <v>0.39100000000000001</v>
      </c>
      <c r="K146">
        <v>0.39100000000000001</v>
      </c>
      <c r="L146">
        <v>1.3</v>
      </c>
      <c r="M146">
        <v>10.5</v>
      </c>
      <c r="N146">
        <v>6</v>
      </c>
      <c r="O146">
        <v>23.9</v>
      </c>
      <c r="P146">
        <v>0.6</v>
      </c>
      <c r="Q146">
        <v>0</v>
      </c>
      <c r="R146">
        <v>15.6</v>
      </c>
      <c r="S146">
        <v>16.600000000000001</v>
      </c>
      <c r="T146" s="1" t="s">
        <v>707</v>
      </c>
      <c r="U146">
        <v>0.1</v>
      </c>
      <c r="V146">
        <v>0</v>
      </c>
      <c r="W146">
        <v>0.1</v>
      </c>
      <c r="X146">
        <v>4.8000000000000001E-2</v>
      </c>
      <c r="Y146" s="1" t="s">
        <v>707</v>
      </c>
      <c r="Z146">
        <v>-3.4</v>
      </c>
      <c r="AA146">
        <v>-1.5</v>
      </c>
      <c r="AB146">
        <v>-4.9000000000000004</v>
      </c>
      <c r="AC146">
        <v>-0.1</v>
      </c>
    </row>
    <row r="147" spans="1:29" x14ac:dyDescent="0.35">
      <c r="A147">
        <v>146</v>
      </c>
      <c r="B147" s="1" t="s">
        <v>213</v>
      </c>
      <c r="C147" s="1" t="s">
        <v>28</v>
      </c>
      <c r="D147">
        <v>21</v>
      </c>
      <c r="E147" s="1" t="s">
        <v>56</v>
      </c>
      <c r="F147">
        <v>2</v>
      </c>
      <c r="G147">
        <v>16</v>
      </c>
      <c r="H147">
        <v>40.700000000000003</v>
      </c>
      <c r="I147">
        <v>0.71699999999999997</v>
      </c>
      <c r="J147">
        <v>0.25</v>
      </c>
      <c r="K147">
        <v>0.5</v>
      </c>
      <c r="L147">
        <v>13.5</v>
      </c>
      <c r="M147">
        <v>26.8</v>
      </c>
      <c r="N147">
        <v>20.2</v>
      </c>
      <c r="O147">
        <v>0</v>
      </c>
      <c r="P147">
        <v>9</v>
      </c>
      <c r="Q147">
        <v>11.1</v>
      </c>
      <c r="R147">
        <v>17</v>
      </c>
      <c r="S147">
        <v>31.6</v>
      </c>
      <c r="T147" s="1" t="s">
        <v>707</v>
      </c>
      <c r="U147">
        <v>0</v>
      </c>
      <c r="V147">
        <v>0.1</v>
      </c>
      <c r="W147">
        <v>0.1</v>
      </c>
      <c r="X147">
        <v>0.3</v>
      </c>
      <c r="Y147" s="1" t="s">
        <v>707</v>
      </c>
      <c r="Z147">
        <v>8.8000000000000007</v>
      </c>
      <c r="AA147">
        <v>10</v>
      </c>
      <c r="AB147">
        <v>18.8</v>
      </c>
      <c r="AC147">
        <v>0.1</v>
      </c>
    </row>
    <row r="148" spans="1:29" x14ac:dyDescent="0.35">
      <c r="A148">
        <v>147</v>
      </c>
      <c r="B148" s="1" t="s">
        <v>214</v>
      </c>
      <c r="C148" s="1" t="s">
        <v>48</v>
      </c>
      <c r="D148">
        <v>24</v>
      </c>
      <c r="E148" s="1" t="s">
        <v>42</v>
      </c>
      <c r="F148">
        <v>9</v>
      </c>
      <c r="G148">
        <v>108</v>
      </c>
      <c r="H148">
        <v>6.8</v>
      </c>
      <c r="I148">
        <v>0.35299999999999998</v>
      </c>
      <c r="J148">
        <v>0.34599999999999997</v>
      </c>
      <c r="K148">
        <v>7.6999999999999999E-2</v>
      </c>
      <c r="L148">
        <v>7.9</v>
      </c>
      <c r="M148">
        <v>9.8000000000000007</v>
      </c>
      <c r="N148">
        <v>8.9</v>
      </c>
      <c r="O148">
        <v>12.7</v>
      </c>
      <c r="P148">
        <v>2.2000000000000002</v>
      </c>
      <c r="Q148">
        <v>0.9</v>
      </c>
      <c r="R148">
        <v>15.7</v>
      </c>
      <c r="S148">
        <v>12.8</v>
      </c>
      <c r="T148" s="1" t="s">
        <v>707</v>
      </c>
      <c r="U148">
        <v>-0.1</v>
      </c>
      <c r="V148">
        <v>0.1</v>
      </c>
      <c r="W148">
        <v>0</v>
      </c>
      <c r="X148">
        <v>-0.01</v>
      </c>
      <c r="Y148" s="1" t="s">
        <v>707</v>
      </c>
      <c r="Z148">
        <v>-5.7</v>
      </c>
      <c r="AA148">
        <v>0.1</v>
      </c>
      <c r="AB148">
        <v>-5.6</v>
      </c>
      <c r="AC148">
        <v>-0.1</v>
      </c>
    </row>
    <row r="149" spans="1:29" x14ac:dyDescent="0.35">
      <c r="A149">
        <v>148</v>
      </c>
      <c r="B149" s="1" t="s">
        <v>215</v>
      </c>
      <c r="C149" s="1" t="s">
        <v>41</v>
      </c>
      <c r="D149">
        <v>25</v>
      </c>
      <c r="E149" s="1" t="s">
        <v>86</v>
      </c>
      <c r="F149">
        <v>18</v>
      </c>
      <c r="G149">
        <v>340</v>
      </c>
      <c r="H149">
        <v>8.6999999999999993</v>
      </c>
      <c r="I149">
        <v>0.46300000000000002</v>
      </c>
      <c r="J149">
        <v>0.48499999999999999</v>
      </c>
      <c r="K149">
        <v>0.13100000000000001</v>
      </c>
      <c r="L149">
        <v>4.8</v>
      </c>
      <c r="M149">
        <v>15.6</v>
      </c>
      <c r="N149">
        <v>10.3</v>
      </c>
      <c r="O149">
        <v>11.3</v>
      </c>
      <c r="P149">
        <v>1.6</v>
      </c>
      <c r="Q149">
        <v>1.6</v>
      </c>
      <c r="R149">
        <v>11</v>
      </c>
      <c r="S149">
        <v>15.2</v>
      </c>
      <c r="T149" s="1" t="s">
        <v>707</v>
      </c>
      <c r="U149">
        <v>-0.1</v>
      </c>
      <c r="V149">
        <v>0.4</v>
      </c>
      <c r="W149">
        <v>0.3</v>
      </c>
      <c r="X149">
        <v>3.7999999999999999E-2</v>
      </c>
      <c r="Y149" s="1" t="s">
        <v>707</v>
      </c>
      <c r="Z149">
        <v>-3</v>
      </c>
      <c r="AA149">
        <v>1</v>
      </c>
      <c r="AB149">
        <v>-2</v>
      </c>
      <c r="AC149">
        <v>0</v>
      </c>
    </row>
    <row r="150" spans="1:29" x14ac:dyDescent="0.35">
      <c r="A150">
        <v>149</v>
      </c>
      <c r="B150" s="1" t="s">
        <v>216</v>
      </c>
      <c r="C150" s="1" t="s">
        <v>48</v>
      </c>
      <c r="D150">
        <v>35</v>
      </c>
      <c r="E150" s="1" t="s">
        <v>42</v>
      </c>
      <c r="F150">
        <v>21</v>
      </c>
      <c r="G150">
        <v>498</v>
      </c>
      <c r="H150">
        <v>10</v>
      </c>
      <c r="I150">
        <v>0.47399999999999998</v>
      </c>
      <c r="J150">
        <v>0.41699999999999998</v>
      </c>
      <c r="K150">
        <v>0.219</v>
      </c>
      <c r="L150">
        <v>2.9</v>
      </c>
      <c r="M150">
        <v>11.3</v>
      </c>
      <c r="N150">
        <v>7.1</v>
      </c>
      <c r="O150">
        <v>22.9</v>
      </c>
      <c r="P150">
        <v>1.9</v>
      </c>
      <c r="Q150">
        <v>0.7</v>
      </c>
      <c r="R150">
        <v>17</v>
      </c>
      <c r="S150">
        <v>17.2</v>
      </c>
      <c r="T150" s="1" t="s">
        <v>707</v>
      </c>
      <c r="U150">
        <v>-0.1</v>
      </c>
      <c r="V150">
        <v>0.4</v>
      </c>
      <c r="W150">
        <v>0.4</v>
      </c>
      <c r="X150">
        <v>3.4000000000000002E-2</v>
      </c>
      <c r="Y150" s="1" t="s">
        <v>707</v>
      </c>
      <c r="Z150">
        <v>-2.8</v>
      </c>
      <c r="AA150">
        <v>-0.4</v>
      </c>
      <c r="AB150">
        <v>-3.3</v>
      </c>
      <c r="AC150">
        <v>-0.2</v>
      </c>
    </row>
    <row r="151" spans="1:29" x14ac:dyDescent="0.35">
      <c r="A151">
        <v>150</v>
      </c>
      <c r="B151" s="1" t="s">
        <v>217</v>
      </c>
      <c r="C151" s="1" t="s">
        <v>31</v>
      </c>
      <c r="D151">
        <v>28</v>
      </c>
      <c r="E151" s="1" t="s">
        <v>42</v>
      </c>
      <c r="F151">
        <v>73</v>
      </c>
      <c r="G151">
        <v>1437</v>
      </c>
      <c r="H151">
        <v>21</v>
      </c>
      <c r="I151">
        <v>0.57399999999999995</v>
      </c>
      <c r="J151">
        <v>7.0000000000000001E-3</v>
      </c>
      <c r="K151">
        <v>0.379</v>
      </c>
      <c r="L151">
        <v>18</v>
      </c>
      <c r="M151">
        <v>34.1</v>
      </c>
      <c r="N151">
        <v>26.2</v>
      </c>
      <c r="O151">
        <v>13.7</v>
      </c>
      <c r="P151">
        <v>2.7</v>
      </c>
      <c r="Q151">
        <v>4.2</v>
      </c>
      <c r="R151">
        <v>18.5</v>
      </c>
      <c r="S151">
        <v>19</v>
      </c>
      <c r="T151" s="1" t="s">
        <v>707</v>
      </c>
      <c r="U151">
        <v>2</v>
      </c>
      <c r="V151">
        <v>3.1</v>
      </c>
      <c r="W151">
        <v>5.0999999999999996</v>
      </c>
      <c r="X151">
        <v>0.17</v>
      </c>
      <c r="Y151" s="1" t="s">
        <v>707</v>
      </c>
      <c r="Z151">
        <v>-0.1</v>
      </c>
      <c r="AA151">
        <v>1.4</v>
      </c>
      <c r="AB151">
        <v>1.3</v>
      </c>
      <c r="AC151">
        <v>1.2</v>
      </c>
    </row>
    <row r="152" spans="1:29" x14ac:dyDescent="0.35">
      <c r="A152">
        <v>151</v>
      </c>
      <c r="B152" s="1" t="s">
        <v>218</v>
      </c>
      <c r="C152" s="1" t="s">
        <v>41</v>
      </c>
      <c r="D152">
        <v>24</v>
      </c>
      <c r="E152" s="1" t="s">
        <v>108</v>
      </c>
      <c r="F152">
        <v>55</v>
      </c>
      <c r="G152">
        <v>1541</v>
      </c>
      <c r="H152">
        <v>12.3</v>
      </c>
      <c r="I152">
        <v>0.53700000000000003</v>
      </c>
      <c r="J152">
        <v>0.41099999999999998</v>
      </c>
      <c r="K152">
        <v>0.18</v>
      </c>
      <c r="L152">
        <v>2.9</v>
      </c>
      <c r="M152">
        <v>13.6</v>
      </c>
      <c r="N152">
        <v>8.1999999999999993</v>
      </c>
      <c r="O152">
        <v>10.9</v>
      </c>
      <c r="P152">
        <v>1.8</v>
      </c>
      <c r="Q152">
        <v>0.6</v>
      </c>
      <c r="R152">
        <v>11.8</v>
      </c>
      <c r="S152">
        <v>21.1</v>
      </c>
      <c r="T152" s="1" t="s">
        <v>707</v>
      </c>
      <c r="U152">
        <v>0.2</v>
      </c>
      <c r="V152">
        <v>0.7</v>
      </c>
      <c r="W152">
        <v>0.9</v>
      </c>
      <c r="X152">
        <v>2.9000000000000001E-2</v>
      </c>
      <c r="Y152" s="1" t="s">
        <v>707</v>
      </c>
      <c r="Z152">
        <v>-1.2</v>
      </c>
      <c r="AA152">
        <v>-1.1000000000000001</v>
      </c>
      <c r="AB152">
        <v>-2.2999999999999998</v>
      </c>
      <c r="AC152">
        <v>-0.1</v>
      </c>
    </row>
    <row r="153" spans="1:29" x14ac:dyDescent="0.35">
      <c r="A153">
        <v>152</v>
      </c>
      <c r="B153" s="1" t="s">
        <v>219</v>
      </c>
      <c r="C153" s="1" t="s">
        <v>48</v>
      </c>
      <c r="D153">
        <v>22</v>
      </c>
      <c r="E153" s="1" t="s">
        <v>39</v>
      </c>
      <c r="F153">
        <v>22</v>
      </c>
      <c r="G153">
        <v>341</v>
      </c>
      <c r="H153">
        <v>10</v>
      </c>
      <c r="I153">
        <v>0.44400000000000001</v>
      </c>
      <c r="J153">
        <v>0.34300000000000003</v>
      </c>
      <c r="K153">
        <v>0.19400000000000001</v>
      </c>
      <c r="L153">
        <v>9.8000000000000007</v>
      </c>
      <c r="M153">
        <v>11.5</v>
      </c>
      <c r="N153">
        <v>10.7</v>
      </c>
      <c r="O153">
        <v>6.6</v>
      </c>
      <c r="P153">
        <v>2</v>
      </c>
      <c r="Q153">
        <v>1.8</v>
      </c>
      <c r="R153">
        <v>7.1</v>
      </c>
      <c r="S153">
        <v>15.9</v>
      </c>
      <c r="T153" s="1" t="s">
        <v>707</v>
      </c>
      <c r="U153">
        <v>0</v>
      </c>
      <c r="V153">
        <v>0.3</v>
      </c>
      <c r="W153">
        <v>0.3</v>
      </c>
      <c r="X153">
        <v>4.8000000000000001E-2</v>
      </c>
      <c r="Y153" s="1" t="s">
        <v>707</v>
      </c>
      <c r="Z153">
        <v>-3</v>
      </c>
      <c r="AA153">
        <v>-0.9</v>
      </c>
      <c r="AB153">
        <v>-3.9</v>
      </c>
      <c r="AC153">
        <v>-0.2</v>
      </c>
    </row>
    <row r="154" spans="1:29" x14ac:dyDescent="0.35">
      <c r="A154">
        <v>153</v>
      </c>
      <c r="B154" s="1" t="s">
        <v>220</v>
      </c>
      <c r="C154" s="1" t="s">
        <v>48</v>
      </c>
      <c r="D154">
        <v>27</v>
      </c>
      <c r="E154" s="1" t="s">
        <v>114</v>
      </c>
      <c r="F154">
        <v>14</v>
      </c>
      <c r="G154">
        <v>336</v>
      </c>
      <c r="H154">
        <v>12.5</v>
      </c>
      <c r="I154">
        <v>0.48199999999999998</v>
      </c>
      <c r="J154">
        <v>0.108</v>
      </c>
      <c r="K154">
        <v>0.17599999999999999</v>
      </c>
      <c r="L154">
        <v>2.8</v>
      </c>
      <c r="M154">
        <v>13.6</v>
      </c>
      <c r="N154">
        <v>8</v>
      </c>
      <c r="O154">
        <v>35.1</v>
      </c>
      <c r="P154">
        <v>3.3</v>
      </c>
      <c r="Q154">
        <v>0.9</v>
      </c>
      <c r="R154">
        <v>22.5</v>
      </c>
      <c r="S154">
        <v>18.3</v>
      </c>
      <c r="T154" s="1" t="s">
        <v>707</v>
      </c>
      <c r="U154">
        <v>-0.1</v>
      </c>
      <c r="V154">
        <v>0.3</v>
      </c>
      <c r="W154">
        <v>0.2</v>
      </c>
      <c r="X154">
        <v>2.4E-2</v>
      </c>
      <c r="Y154" s="1" t="s">
        <v>707</v>
      </c>
      <c r="Z154">
        <v>-4.5999999999999996</v>
      </c>
      <c r="AA154">
        <v>-0.8</v>
      </c>
      <c r="AB154">
        <v>-5.4</v>
      </c>
      <c r="AC154">
        <v>-0.3</v>
      </c>
    </row>
    <row r="155" spans="1:29" x14ac:dyDescent="0.35">
      <c r="A155">
        <v>154</v>
      </c>
      <c r="B155" s="1" t="s">
        <v>221</v>
      </c>
      <c r="C155" s="1" t="s">
        <v>28</v>
      </c>
      <c r="D155">
        <v>33</v>
      </c>
      <c r="E155" s="1" t="s">
        <v>39</v>
      </c>
      <c r="F155">
        <v>55</v>
      </c>
      <c r="G155">
        <v>2047</v>
      </c>
      <c r="H155">
        <v>25.6</v>
      </c>
      <c r="I155">
        <v>0.63400000000000001</v>
      </c>
      <c r="J155">
        <v>0.26900000000000002</v>
      </c>
      <c r="K155">
        <v>0.36699999999999999</v>
      </c>
      <c r="L155">
        <v>1.6</v>
      </c>
      <c r="M155">
        <v>19.600000000000001</v>
      </c>
      <c r="N155">
        <v>10.8</v>
      </c>
      <c r="O155">
        <v>29.1</v>
      </c>
      <c r="P155">
        <v>1.1000000000000001</v>
      </c>
      <c r="Q155">
        <v>2.2999999999999998</v>
      </c>
      <c r="R155">
        <v>12.9</v>
      </c>
      <c r="S155">
        <v>31.2</v>
      </c>
      <c r="T155" s="1" t="s">
        <v>707</v>
      </c>
      <c r="U155">
        <v>6.4</v>
      </c>
      <c r="V155">
        <v>2</v>
      </c>
      <c r="W155">
        <v>8.4</v>
      </c>
      <c r="X155">
        <v>0.19800000000000001</v>
      </c>
      <c r="Y155" s="1" t="s">
        <v>707</v>
      </c>
      <c r="Z155">
        <v>6.4</v>
      </c>
      <c r="AA155">
        <v>0.7</v>
      </c>
      <c r="AB155">
        <v>7.2</v>
      </c>
      <c r="AC155">
        <v>4.8</v>
      </c>
    </row>
    <row r="156" spans="1:29" x14ac:dyDescent="0.35">
      <c r="A156">
        <v>155</v>
      </c>
      <c r="B156" s="1" t="s">
        <v>222</v>
      </c>
      <c r="C156" s="1" t="s">
        <v>31</v>
      </c>
      <c r="D156">
        <v>24</v>
      </c>
      <c r="E156" s="1" t="s">
        <v>65</v>
      </c>
      <c r="F156">
        <v>1</v>
      </c>
      <c r="G156">
        <v>3</v>
      </c>
      <c r="H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S156">
        <v>0</v>
      </c>
      <c r="T156" s="1" t="s">
        <v>707</v>
      </c>
      <c r="U156">
        <v>0</v>
      </c>
      <c r="V156">
        <v>0</v>
      </c>
      <c r="W156">
        <v>0</v>
      </c>
      <c r="X156">
        <v>-1.2E-2</v>
      </c>
      <c r="Y156" s="1" t="s">
        <v>707</v>
      </c>
      <c r="Z156">
        <v>-5.5</v>
      </c>
      <c r="AA156">
        <v>-3</v>
      </c>
      <c r="AB156">
        <v>-8.5</v>
      </c>
      <c r="AC156">
        <v>0</v>
      </c>
    </row>
    <row r="157" spans="1:29" x14ac:dyDescent="0.35">
      <c r="A157">
        <v>156</v>
      </c>
      <c r="B157" s="1" t="s">
        <v>223</v>
      </c>
      <c r="C157" s="1" t="s">
        <v>41</v>
      </c>
      <c r="D157">
        <v>20</v>
      </c>
      <c r="E157" s="1" t="s">
        <v>99</v>
      </c>
      <c r="F157">
        <v>72</v>
      </c>
      <c r="G157">
        <v>2466</v>
      </c>
      <c r="H157">
        <v>16.5</v>
      </c>
      <c r="I157">
        <v>0.56000000000000005</v>
      </c>
      <c r="J157">
        <v>0.48399999999999999</v>
      </c>
      <c r="K157">
        <v>0.22500000000000001</v>
      </c>
      <c r="L157">
        <v>2.6</v>
      </c>
      <c r="M157">
        <v>12.5</v>
      </c>
      <c r="N157">
        <v>7.5</v>
      </c>
      <c r="O157">
        <v>17.399999999999999</v>
      </c>
      <c r="P157">
        <v>2</v>
      </c>
      <c r="Q157">
        <v>1.8</v>
      </c>
      <c r="R157">
        <v>12.2</v>
      </c>
      <c r="S157">
        <v>26.4</v>
      </c>
      <c r="T157" s="1" t="s">
        <v>707</v>
      </c>
      <c r="U157">
        <v>1.8</v>
      </c>
      <c r="V157">
        <v>2.4</v>
      </c>
      <c r="W157">
        <v>4.3</v>
      </c>
      <c r="X157">
        <v>8.4000000000000005E-2</v>
      </c>
      <c r="Y157" s="1" t="s">
        <v>707</v>
      </c>
      <c r="Z157">
        <v>1.6</v>
      </c>
      <c r="AA157">
        <v>-0.4</v>
      </c>
      <c r="AB157">
        <v>1.2</v>
      </c>
      <c r="AC157">
        <v>2</v>
      </c>
    </row>
    <row r="158" spans="1:29" x14ac:dyDescent="0.35">
      <c r="A158">
        <v>157</v>
      </c>
      <c r="B158" s="1" t="s">
        <v>224</v>
      </c>
      <c r="C158" s="1" t="s">
        <v>41</v>
      </c>
      <c r="D158">
        <v>23</v>
      </c>
      <c r="E158" s="1" t="s">
        <v>105</v>
      </c>
      <c r="F158">
        <v>4</v>
      </c>
      <c r="G158">
        <v>79</v>
      </c>
      <c r="H158">
        <v>5.5</v>
      </c>
      <c r="I158">
        <v>0.378</v>
      </c>
      <c r="J158">
        <v>0.53300000000000003</v>
      </c>
      <c r="K158">
        <v>3.3000000000000002E-2</v>
      </c>
      <c r="L158">
        <v>2.6</v>
      </c>
      <c r="M158">
        <v>5.8</v>
      </c>
      <c r="N158">
        <v>4.0999999999999996</v>
      </c>
      <c r="O158">
        <v>26.2</v>
      </c>
      <c r="P158">
        <v>1.2</v>
      </c>
      <c r="Q158">
        <v>0</v>
      </c>
      <c r="R158">
        <v>14.1</v>
      </c>
      <c r="S158">
        <v>19.2</v>
      </c>
      <c r="T158" s="1" t="s">
        <v>707</v>
      </c>
      <c r="U158">
        <v>-0.1</v>
      </c>
      <c r="V158">
        <v>0</v>
      </c>
      <c r="W158">
        <v>-0.1</v>
      </c>
      <c r="X158">
        <v>-7.4999999999999997E-2</v>
      </c>
      <c r="Y158" s="1" t="s">
        <v>707</v>
      </c>
      <c r="Z158">
        <v>-6</v>
      </c>
      <c r="AA158">
        <v>-3.4</v>
      </c>
      <c r="AB158">
        <v>-9.3000000000000007</v>
      </c>
      <c r="AC158">
        <v>-0.1</v>
      </c>
    </row>
    <row r="159" spans="1:29" x14ac:dyDescent="0.35">
      <c r="A159">
        <v>158</v>
      </c>
      <c r="B159" s="1" t="s">
        <v>225</v>
      </c>
      <c r="C159" s="1" t="s">
        <v>51</v>
      </c>
      <c r="D159">
        <v>21</v>
      </c>
      <c r="E159" s="1" t="s">
        <v>39</v>
      </c>
      <c r="F159">
        <v>48</v>
      </c>
      <c r="G159">
        <v>987</v>
      </c>
      <c r="H159">
        <v>8.3000000000000007</v>
      </c>
      <c r="I159">
        <v>0.51600000000000001</v>
      </c>
      <c r="J159">
        <v>0.50900000000000001</v>
      </c>
      <c r="K159">
        <v>7.0999999999999994E-2</v>
      </c>
      <c r="L159">
        <v>5</v>
      </c>
      <c r="M159">
        <v>13.8</v>
      </c>
      <c r="N159">
        <v>9.5</v>
      </c>
      <c r="O159">
        <v>4.0999999999999996</v>
      </c>
      <c r="P159">
        <v>1.4</v>
      </c>
      <c r="Q159">
        <v>2.2000000000000002</v>
      </c>
      <c r="R159">
        <v>13.2</v>
      </c>
      <c r="S159">
        <v>13.8</v>
      </c>
      <c r="T159" s="1" t="s">
        <v>707</v>
      </c>
      <c r="U159">
        <v>-0.2</v>
      </c>
      <c r="V159">
        <v>0.9</v>
      </c>
      <c r="W159">
        <v>0.6</v>
      </c>
      <c r="X159">
        <v>3.1E-2</v>
      </c>
      <c r="Y159" s="1" t="s">
        <v>707</v>
      </c>
      <c r="Z159">
        <v>-3.1</v>
      </c>
      <c r="AA159">
        <v>-0.8</v>
      </c>
      <c r="AB159">
        <v>-3.8</v>
      </c>
      <c r="AC159">
        <v>-0.5</v>
      </c>
    </row>
    <row r="160" spans="1:29" x14ac:dyDescent="0.35">
      <c r="A160">
        <v>159</v>
      </c>
      <c r="B160" s="1" t="s">
        <v>226</v>
      </c>
      <c r="C160" s="1" t="s">
        <v>41</v>
      </c>
      <c r="D160">
        <v>25</v>
      </c>
      <c r="E160" s="1" t="s">
        <v>96</v>
      </c>
      <c r="F160">
        <v>2</v>
      </c>
      <c r="G160">
        <v>11</v>
      </c>
      <c r="H160">
        <v>-0.8</v>
      </c>
      <c r="I160">
        <v>0.375</v>
      </c>
      <c r="J160">
        <v>1</v>
      </c>
      <c r="K160">
        <v>0</v>
      </c>
      <c r="L160">
        <v>0</v>
      </c>
      <c r="M160">
        <v>28.5</v>
      </c>
      <c r="N160">
        <v>14</v>
      </c>
      <c r="O160">
        <v>0</v>
      </c>
      <c r="P160">
        <v>0</v>
      </c>
      <c r="Q160">
        <v>0</v>
      </c>
      <c r="R160">
        <v>20</v>
      </c>
      <c r="S160">
        <v>19.600000000000001</v>
      </c>
      <c r="T160" s="1" t="s">
        <v>707</v>
      </c>
      <c r="U160">
        <v>-0.1</v>
      </c>
      <c r="V160">
        <v>0</v>
      </c>
      <c r="W160">
        <v>0</v>
      </c>
      <c r="X160">
        <v>-0.18099999999999999</v>
      </c>
      <c r="Y160" s="1" t="s">
        <v>707</v>
      </c>
      <c r="Z160">
        <v>-8.3000000000000007</v>
      </c>
      <c r="AA160">
        <v>-2.9</v>
      </c>
      <c r="AB160">
        <v>-11.2</v>
      </c>
      <c r="AC160">
        <v>0</v>
      </c>
    </row>
    <row r="161" spans="1:29" x14ac:dyDescent="0.35">
      <c r="A161">
        <v>160</v>
      </c>
      <c r="B161" s="1" t="s">
        <v>227</v>
      </c>
      <c r="C161" s="1" t="s">
        <v>51</v>
      </c>
      <c r="D161">
        <v>21</v>
      </c>
      <c r="E161" s="1" t="s">
        <v>114</v>
      </c>
      <c r="F161">
        <v>58</v>
      </c>
      <c r="G161">
        <v>1174</v>
      </c>
      <c r="H161">
        <v>9.1999999999999993</v>
      </c>
      <c r="I161">
        <v>0.49099999999999999</v>
      </c>
      <c r="J161">
        <v>0.40899999999999997</v>
      </c>
      <c r="K161">
        <v>0.27300000000000002</v>
      </c>
      <c r="L161">
        <v>6</v>
      </c>
      <c r="M161">
        <v>15.6</v>
      </c>
      <c r="N161">
        <v>10.6</v>
      </c>
      <c r="O161">
        <v>10.6</v>
      </c>
      <c r="P161">
        <v>1.5</v>
      </c>
      <c r="Q161">
        <v>1.6</v>
      </c>
      <c r="R161">
        <v>14</v>
      </c>
      <c r="S161">
        <v>14.8</v>
      </c>
      <c r="T161" s="1" t="s">
        <v>707</v>
      </c>
      <c r="U161">
        <v>-0.1</v>
      </c>
      <c r="V161">
        <v>0.5</v>
      </c>
      <c r="W161">
        <v>0.4</v>
      </c>
      <c r="X161">
        <v>1.6E-2</v>
      </c>
      <c r="Y161" s="1" t="s">
        <v>707</v>
      </c>
      <c r="Z161">
        <v>-3.8</v>
      </c>
      <c r="AA161">
        <v>-1.5</v>
      </c>
      <c r="AB161">
        <v>-5.3</v>
      </c>
      <c r="AC161">
        <v>-1</v>
      </c>
    </row>
    <row r="162" spans="1:29" x14ac:dyDescent="0.35">
      <c r="A162">
        <v>161</v>
      </c>
      <c r="B162" s="1" t="s">
        <v>228</v>
      </c>
      <c r="C162" s="1" t="s">
        <v>41</v>
      </c>
      <c r="D162">
        <v>34</v>
      </c>
      <c r="E162" s="1" t="s">
        <v>56</v>
      </c>
      <c r="F162">
        <v>43</v>
      </c>
      <c r="G162">
        <v>810</v>
      </c>
      <c r="H162">
        <v>9.9</v>
      </c>
      <c r="I162">
        <v>0.59299999999999997</v>
      </c>
      <c r="J162">
        <v>0.89</v>
      </c>
      <c r="K162">
        <v>4.5999999999999999E-2</v>
      </c>
      <c r="L162">
        <v>1.3</v>
      </c>
      <c r="M162">
        <v>8.9</v>
      </c>
      <c r="N162">
        <v>5.0999999999999996</v>
      </c>
      <c r="O162">
        <v>5</v>
      </c>
      <c r="P162">
        <v>1.4</v>
      </c>
      <c r="Q162">
        <v>0.5</v>
      </c>
      <c r="R162">
        <v>7.3</v>
      </c>
      <c r="S162">
        <v>13.8</v>
      </c>
      <c r="T162" s="1" t="s">
        <v>707</v>
      </c>
      <c r="U162">
        <v>0.6</v>
      </c>
      <c r="V162">
        <v>0.4</v>
      </c>
      <c r="W162">
        <v>1</v>
      </c>
      <c r="X162">
        <v>6.2E-2</v>
      </c>
      <c r="Y162" s="1" t="s">
        <v>707</v>
      </c>
      <c r="Z162">
        <v>-0.7</v>
      </c>
      <c r="AA162">
        <v>-0.6</v>
      </c>
      <c r="AB162">
        <v>-1.4</v>
      </c>
      <c r="AC162">
        <v>0.1</v>
      </c>
    </row>
    <row r="163" spans="1:29" x14ac:dyDescent="0.35">
      <c r="A163">
        <v>162</v>
      </c>
      <c r="B163" s="1" t="s">
        <v>229</v>
      </c>
      <c r="C163" s="1" t="s">
        <v>31</v>
      </c>
      <c r="D163">
        <v>27</v>
      </c>
      <c r="E163" s="1" t="s">
        <v>89</v>
      </c>
      <c r="F163">
        <v>68</v>
      </c>
      <c r="G163">
        <v>2297</v>
      </c>
      <c r="H163">
        <v>31.2</v>
      </c>
      <c r="I163">
        <v>0.61599999999999999</v>
      </c>
      <c r="J163">
        <v>0.188</v>
      </c>
      <c r="K163">
        <v>0.60199999999999998</v>
      </c>
      <c r="L163">
        <v>7.2</v>
      </c>
      <c r="M163">
        <v>31.1</v>
      </c>
      <c r="N163">
        <v>19.399999999999999</v>
      </c>
      <c r="O163">
        <v>23.5</v>
      </c>
      <c r="P163">
        <v>1.7</v>
      </c>
      <c r="Q163">
        <v>3.9</v>
      </c>
      <c r="R163">
        <v>11.3</v>
      </c>
      <c r="S163">
        <v>37.200000000000003</v>
      </c>
      <c r="T163" s="1" t="s">
        <v>707</v>
      </c>
      <c r="U163">
        <v>7.9</v>
      </c>
      <c r="V163">
        <v>4.0999999999999996</v>
      </c>
      <c r="W163">
        <v>12</v>
      </c>
      <c r="X163">
        <v>0.252</v>
      </c>
      <c r="Y163" s="1" t="s">
        <v>707</v>
      </c>
      <c r="Z163">
        <v>7.2</v>
      </c>
      <c r="AA163">
        <v>2</v>
      </c>
      <c r="AB163">
        <v>9.1999999999999993</v>
      </c>
      <c r="AC163">
        <v>6.5</v>
      </c>
    </row>
    <row r="164" spans="1:29" x14ac:dyDescent="0.35">
      <c r="A164">
        <v>163</v>
      </c>
      <c r="B164" s="1" t="s">
        <v>230</v>
      </c>
      <c r="C164" s="1" t="s">
        <v>51</v>
      </c>
      <c r="D164">
        <v>31</v>
      </c>
      <c r="E164" s="1" t="s">
        <v>42</v>
      </c>
      <c r="F164">
        <v>7</v>
      </c>
      <c r="G164">
        <v>56</v>
      </c>
      <c r="H164">
        <v>17.7</v>
      </c>
      <c r="I164">
        <v>0.55300000000000005</v>
      </c>
      <c r="J164">
        <v>0.33300000000000002</v>
      </c>
      <c r="K164">
        <v>0.20799999999999999</v>
      </c>
      <c r="L164">
        <v>9.9</v>
      </c>
      <c r="M164">
        <v>13.1</v>
      </c>
      <c r="N164">
        <v>11.6</v>
      </c>
      <c r="O164">
        <v>7.4</v>
      </c>
      <c r="P164">
        <v>1.7</v>
      </c>
      <c r="Q164">
        <v>3.1</v>
      </c>
      <c r="R164">
        <v>7.1</v>
      </c>
      <c r="S164">
        <v>22</v>
      </c>
      <c r="T164" s="1" t="s">
        <v>707</v>
      </c>
      <c r="U164">
        <v>0.1</v>
      </c>
      <c r="V164">
        <v>0.1</v>
      </c>
      <c r="W164">
        <v>0.1</v>
      </c>
      <c r="X164">
        <v>0.114</v>
      </c>
      <c r="Y164" s="1" t="s">
        <v>707</v>
      </c>
      <c r="Z164">
        <v>-0.1</v>
      </c>
      <c r="AA164">
        <v>-1</v>
      </c>
      <c r="AB164">
        <v>-1.1000000000000001</v>
      </c>
      <c r="AC164">
        <v>0</v>
      </c>
    </row>
    <row r="165" spans="1:29" x14ac:dyDescent="0.35">
      <c r="A165">
        <v>164</v>
      </c>
      <c r="B165" s="1" t="s">
        <v>231</v>
      </c>
      <c r="C165" s="1" t="s">
        <v>31</v>
      </c>
      <c r="D165">
        <v>24</v>
      </c>
      <c r="E165" s="1" t="s">
        <v>42</v>
      </c>
      <c r="F165">
        <v>71</v>
      </c>
      <c r="G165">
        <v>1245</v>
      </c>
      <c r="H165">
        <v>18</v>
      </c>
      <c r="I165">
        <v>0.63800000000000001</v>
      </c>
      <c r="J165">
        <v>6.2E-2</v>
      </c>
      <c r="K165">
        <v>0.35</v>
      </c>
      <c r="L165">
        <v>11</v>
      </c>
      <c r="M165">
        <v>22.2</v>
      </c>
      <c r="N165">
        <v>16.5</v>
      </c>
      <c r="O165">
        <v>10.1</v>
      </c>
      <c r="P165">
        <v>1.2</v>
      </c>
      <c r="Q165">
        <v>2.8</v>
      </c>
      <c r="R165">
        <v>15.9</v>
      </c>
      <c r="S165">
        <v>17.5</v>
      </c>
      <c r="T165" s="1" t="s">
        <v>707</v>
      </c>
      <c r="U165">
        <v>2.2000000000000002</v>
      </c>
      <c r="V165">
        <v>1.1000000000000001</v>
      </c>
      <c r="W165">
        <v>3.4</v>
      </c>
      <c r="X165">
        <v>0.13</v>
      </c>
      <c r="Y165" s="1" t="s">
        <v>707</v>
      </c>
      <c r="Z165">
        <v>-0.5</v>
      </c>
      <c r="AA165">
        <v>-0.9</v>
      </c>
      <c r="AB165">
        <v>-1.4</v>
      </c>
      <c r="AC165">
        <v>0.2</v>
      </c>
    </row>
    <row r="166" spans="1:29" x14ac:dyDescent="0.35">
      <c r="A166">
        <v>165</v>
      </c>
      <c r="B166" s="1" t="s">
        <v>232</v>
      </c>
      <c r="C166" s="1" t="s">
        <v>31</v>
      </c>
      <c r="D166">
        <v>26</v>
      </c>
      <c r="E166" s="1" t="s">
        <v>46</v>
      </c>
      <c r="F166">
        <v>11</v>
      </c>
      <c r="G166">
        <v>59</v>
      </c>
      <c r="H166">
        <v>11.3</v>
      </c>
      <c r="I166">
        <v>0.39800000000000002</v>
      </c>
      <c r="J166">
        <v>0</v>
      </c>
      <c r="K166">
        <v>0.58299999999999996</v>
      </c>
      <c r="L166">
        <v>13.4</v>
      </c>
      <c r="M166">
        <v>29.4</v>
      </c>
      <c r="N166">
        <v>21.6</v>
      </c>
      <c r="O166">
        <v>4.5999999999999996</v>
      </c>
      <c r="P166">
        <v>0</v>
      </c>
      <c r="Q166">
        <v>9.1</v>
      </c>
      <c r="R166">
        <v>16.600000000000001</v>
      </c>
      <c r="S166">
        <v>13.6</v>
      </c>
      <c r="T166" s="1" t="s">
        <v>707</v>
      </c>
      <c r="U166">
        <v>-0.1</v>
      </c>
      <c r="V166">
        <v>0.1</v>
      </c>
      <c r="W166">
        <v>0.1</v>
      </c>
      <c r="X166">
        <v>4.2999999999999997E-2</v>
      </c>
      <c r="Y166" s="1" t="s">
        <v>707</v>
      </c>
      <c r="Z166">
        <v>-4.0999999999999996</v>
      </c>
      <c r="AA166">
        <v>0.8</v>
      </c>
      <c r="AB166">
        <v>-3.4</v>
      </c>
      <c r="AC166">
        <v>0</v>
      </c>
    </row>
    <row r="167" spans="1:29" x14ac:dyDescent="0.35">
      <c r="A167">
        <v>166</v>
      </c>
      <c r="B167" s="1" t="s">
        <v>233</v>
      </c>
      <c r="C167" s="1" t="s">
        <v>31</v>
      </c>
      <c r="D167">
        <v>30</v>
      </c>
      <c r="E167" s="1" t="s">
        <v>96</v>
      </c>
      <c r="F167">
        <v>39</v>
      </c>
      <c r="G167">
        <v>653</v>
      </c>
      <c r="H167">
        <v>13.6</v>
      </c>
      <c r="I167">
        <v>0.53400000000000003</v>
      </c>
      <c r="J167">
        <v>8.7999999999999995E-2</v>
      </c>
      <c r="K167">
        <v>0.13700000000000001</v>
      </c>
      <c r="L167">
        <v>9</v>
      </c>
      <c r="M167">
        <v>20.2</v>
      </c>
      <c r="N167">
        <v>14.5</v>
      </c>
      <c r="O167">
        <v>5.9</v>
      </c>
      <c r="P167">
        <v>1.3</v>
      </c>
      <c r="Q167">
        <v>1.7</v>
      </c>
      <c r="R167">
        <v>4.5</v>
      </c>
      <c r="S167">
        <v>13.4</v>
      </c>
      <c r="T167" s="1" t="s">
        <v>707</v>
      </c>
      <c r="U167">
        <v>0.8</v>
      </c>
      <c r="V167">
        <v>0.7</v>
      </c>
      <c r="W167">
        <v>1.4</v>
      </c>
      <c r="X167">
        <v>0.105</v>
      </c>
      <c r="Y167" s="1" t="s">
        <v>707</v>
      </c>
      <c r="Z167">
        <v>-2.2999999999999998</v>
      </c>
      <c r="AA167">
        <v>0.3</v>
      </c>
      <c r="AB167">
        <v>-2.1</v>
      </c>
      <c r="AC167">
        <v>0</v>
      </c>
    </row>
    <row r="168" spans="1:29" x14ac:dyDescent="0.35">
      <c r="A168">
        <v>167</v>
      </c>
      <c r="B168" s="1" t="s">
        <v>234</v>
      </c>
      <c r="C168" s="1" t="s">
        <v>31</v>
      </c>
      <c r="D168">
        <v>23</v>
      </c>
      <c r="E168" s="1" t="s">
        <v>42</v>
      </c>
      <c r="F168">
        <v>30</v>
      </c>
      <c r="G168">
        <v>152</v>
      </c>
      <c r="H168">
        <v>21.2</v>
      </c>
      <c r="I168">
        <v>0.67100000000000004</v>
      </c>
      <c r="J168">
        <v>3.5999999999999997E-2</v>
      </c>
      <c r="K168">
        <v>0.436</v>
      </c>
      <c r="L168">
        <v>13</v>
      </c>
      <c r="M168">
        <v>26.6</v>
      </c>
      <c r="N168">
        <v>19.8</v>
      </c>
      <c r="O168">
        <v>7.5</v>
      </c>
      <c r="P168">
        <v>0.3</v>
      </c>
      <c r="Q168">
        <v>6.5</v>
      </c>
      <c r="R168">
        <v>17.600000000000001</v>
      </c>
      <c r="S168">
        <v>22.4</v>
      </c>
      <c r="T168" s="1" t="s">
        <v>707</v>
      </c>
      <c r="U168">
        <v>0.2</v>
      </c>
      <c r="V168">
        <v>0.2</v>
      </c>
      <c r="W168">
        <v>0.4</v>
      </c>
      <c r="X168">
        <v>0.14000000000000001</v>
      </c>
      <c r="Y168" s="1" t="s">
        <v>707</v>
      </c>
      <c r="Z168">
        <v>-0.4</v>
      </c>
      <c r="AA168">
        <v>0.2</v>
      </c>
      <c r="AB168">
        <v>-0.1</v>
      </c>
      <c r="AC168">
        <v>0.1</v>
      </c>
    </row>
    <row r="169" spans="1:29" x14ac:dyDescent="0.35">
      <c r="A169">
        <v>168</v>
      </c>
      <c r="B169" s="1" t="s">
        <v>235</v>
      </c>
      <c r="C169" s="1" t="s">
        <v>28</v>
      </c>
      <c r="D169">
        <v>28</v>
      </c>
      <c r="E169" s="1" t="s">
        <v>143</v>
      </c>
      <c r="F169">
        <v>80</v>
      </c>
      <c r="G169">
        <v>2644</v>
      </c>
      <c r="H169">
        <v>12.5</v>
      </c>
      <c r="I169">
        <v>0.60399999999999998</v>
      </c>
      <c r="J169">
        <v>0.629</v>
      </c>
      <c r="K169">
        <v>0.12</v>
      </c>
      <c r="L169">
        <v>5.0999999999999996</v>
      </c>
      <c r="M169">
        <v>10.7</v>
      </c>
      <c r="N169">
        <v>7.9</v>
      </c>
      <c r="O169">
        <v>8.1999999999999993</v>
      </c>
      <c r="P169">
        <v>1.7</v>
      </c>
      <c r="Q169">
        <v>1.3</v>
      </c>
      <c r="R169">
        <v>9.9</v>
      </c>
      <c r="S169">
        <v>13.8</v>
      </c>
      <c r="T169" s="1" t="s">
        <v>707</v>
      </c>
      <c r="U169">
        <v>3.4</v>
      </c>
      <c r="V169">
        <v>3.2</v>
      </c>
      <c r="W169">
        <v>6.6</v>
      </c>
      <c r="X169">
        <v>0.121</v>
      </c>
      <c r="Y169" s="1" t="s">
        <v>707</v>
      </c>
      <c r="Z169">
        <v>0.1</v>
      </c>
      <c r="AA169">
        <v>0.7</v>
      </c>
      <c r="AB169">
        <v>0.8</v>
      </c>
      <c r="AC169">
        <v>1.9</v>
      </c>
    </row>
    <row r="170" spans="1:29" x14ac:dyDescent="0.35">
      <c r="A170">
        <v>169</v>
      </c>
      <c r="B170" s="1" t="s">
        <v>236</v>
      </c>
      <c r="C170" s="1" t="s">
        <v>28</v>
      </c>
      <c r="D170">
        <v>24</v>
      </c>
      <c r="E170" s="1" t="s">
        <v>42</v>
      </c>
      <c r="F170">
        <v>15</v>
      </c>
      <c r="G170">
        <v>63</v>
      </c>
      <c r="H170">
        <v>10.7</v>
      </c>
      <c r="I170">
        <v>0.55300000000000005</v>
      </c>
      <c r="J170">
        <v>0.52600000000000002</v>
      </c>
      <c r="K170">
        <v>0</v>
      </c>
      <c r="L170">
        <v>3.5</v>
      </c>
      <c r="M170">
        <v>25.2</v>
      </c>
      <c r="N170">
        <v>14.7</v>
      </c>
      <c r="O170">
        <v>12.7</v>
      </c>
      <c r="P170">
        <v>0</v>
      </c>
      <c r="Q170">
        <v>0</v>
      </c>
      <c r="R170">
        <v>9.5</v>
      </c>
      <c r="S170">
        <v>14.6</v>
      </c>
      <c r="T170" s="1" t="s">
        <v>707</v>
      </c>
      <c r="U170">
        <v>0.1</v>
      </c>
      <c r="V170">
        <v>0.1</v>
      </c>
      <c r="W170">
        <v>0.1</v>
      </c>
      <c r="X170">
        <v>9.7000000000000003E-2</v>
      </c>
      <c r="Y170" s="1" t="s">
        <v>707</v>
      </c>
      <c r="Z170">
        <v>-0.6</v>
      </c>
      <c r="AA170">
        <v>-0.5</v>
      </c>
      <c r="AB170">
        <v>-1.1000000000000001</v>
      </c>
      <c r="AC170">
        <v>0</v>
      </c>
    </row>
    <row r="171" spans="1:29" x14ac:dyDescent="0.35">
      <c r="A171">
        <v>170</v>
      </c>
      <c r="B171" s="1" t="s">
        <v>237</v>
      </c>
      <c r="C171" s="1" t="s">
        <v>48</v>
      </c>
      <c r="D171">
        <v>23</v>
      </c>
      <c r="E171" s="1" t="s">
        <v>32</v>
      </c>
      <c r="F171">
        <v>44</v>
      </c>
      <c r="G171">
        <v>537</v>
      </c>
      <c r="H171">
        <v>11.7</v>
      </c>
      <c r="I171">
        <v>0.48799999999999999</v>
      </c>
      <c r="J171">
        <v>0.49199999999999999</v>
      </c>
      <c r="K171">
        <v>0.13100000000000001</v>
      </c>
      <c r="L171">
        <v>1.9</v>
      </c>
      <c r="M171">
        <v>11.3</v>
      </c>
      <c r="N171">
        <v>6.4</v>
      </c>
      <c r="O171">
        <v>18.5</v>
      </c>
      <c r="P171">
        <v>1.9</v>
      </c>
      <c r="Q171">
        <v>0.7</v>
      </c>
      <c r="R171">
        <v>6.3</v>
      </c>
      <c r="S171">
        <v>16.5</v>
      </c>
      <c r="T171" s="1" t="s">
        <v>707</v>
      </c>
      <c r="U171">
        <v>0.5</v>
      </c>
      <c r="V171">
        <v>0.5</v>
      </c>
      <c r="W171">
        <v>1</v>
      </c>
      <c r="X171">
        <v>9.1999999999999998E-2</v>
      </c>
      <c r="Y171" s="1" t="s">
        <v>707</v>
      </c>
      <c r="Z171">
        <v>-1.8</v>
      </c>
      <c r="AA171">
        <v>0.4</v>
      </c>
      <c r="AB171">
        <v>-1.5</v>
      </c>
      <c r="AC171">
        <v>0.1</v>
      </c>
    </row>
    <row r="172" spans="1:29" x14ac:dyDescent="0.35">
      <c r="A172">
        <v>171</v>
      </c>
      <c r="B172" s="1" t="s">
        <v>238</v>
      </c>
      <c r="C172" s="1" t="s">
        <v>41</v>
      </c>
      <c r="D172">
        <v>28</v>
      </c>
      <c r="E172" s="1" t="s">
        <v>42</v>
      </c>
      <c r="F172">
        <v>75</v>
      </c>
      <c r="G172">
        <v>1286</v>
      </c>
      <c r="H172">
        <v>11.5</v>
      </c>
      <c r="I172">
        <v>0.57399999999999995</v>
      </c>
      <c r="J172">
        <v>0.54700000000000004</v>
      </c>
      <c r="K172">
        <v>0.161</v>
      </c>
      <c r="L172">
        <v>0.9</v>
      </c>
      <c r="M172">
        <v>6.9</v>
      </c>
      <c r="N172">
        <v>3.9</v>
      </c>
      <c r="O172">
        <v>8.3000000000000007</v>
      </c>
      <c r="P172">
        <v>0.9</v>
      </c>
      <c r="Q172">
        <v>0.3</v>
      </c>
      <c r="R172">
        <v>8.8000000000000007</v>
      </c>
      <c r="S172">
        <v>21.2</v>
      </c>
      <c r="T172" s="1" t="s">
        <v>707</v>
      </c>
      <c r="U172">
        <v>0.8</v>
      </c>
      <c r="V172">
        <v>0.6</v>
      </c>
      <c r="W172">
        <v>1.4</v>
      </c>
      <c r="X172">
        <v>5.3999999999999999E-2</v>
      </c>
      <c r="Y172" s="1" t="s">
        <v>707</v>
      </c>
      <c r="Z172">
        <v>-0.7</v>
      </c>
      <c r="AA172">
        <v>-2.2000000000000002</v>
      </c>
      <c r="AB172">
        <v>-2.9</v>
      </c>
      <c r="AC172">
        <v>-0.3</v>
      </c>
    </row>
    <row r="173" spans="1:29" x14ac:dyDescent="0.35">
      <c r="A173">
        <v>172</v>
      </c>
      <c r="B173" s="1" t="s">
        <v>239</v>
      </c>
      <c r="C173" s="1" t="s">
        <v>51</v>
      </c>
      <c r="D173">
        <v>24</v>
      </c>
      <c r="E173" s="1" t="s">
        <v>58</v>
      </c>
      <c r="F173">
        <v>5</v>
      </c>
      <c r="G173">
        <v>74</v>
      </c>
      <c r="H173">
        <v>0.5</v>
      </c>
      <c r="I173">
        <v>0.35</v>
      </c>
      <c r="J173">
        <v>0.75</v>
      </c>
      <c r="K173">
        <v>0</v>
      </c>
      <c r="L173">
        <v>2.8</v>
      </c>
      <c r="M173">
        <v>18.600000000000001</v>
      </c>
      <c r="N173">
        <v>10.7</v>
      </c>
      <c r="O173">
        <v>3.8</v>
      </c>
      <c r="P173">
        <v>0.7</v>
      </c>
      <c r="Q173">
        <v>0</v>
      </c>
      <c r="R173">
        <v>16.7</v>
      </c>
      <c r="S173">
        <v>14</v>
      </c>
      <c r="T173" s="1" t="s">
        <v>707</v>
      </c>
      <c r="U173">
        <v>-0.2</v>
      </c>
      <c r="V173">
        <v>0.1</v>
      </c>
      <c r="W173">
        <v>-0.2</v>
      </c>
      <c r="X173">
        <v>-0.10299999999999999</v>
      </c>
      <c r="Y173" s="1" t="s">
        <v>707</v>
      </c>
      <c r="Z173">
        <v>-9.1</v>
      </c>
      <c r="AA173">
        <v>-2.2000000000000002</v>
      </c>
      <c r="AB173">
        <v>-11.4</v>
      </c>
      <c r="AC173">
        <v>-0.2</v>
      </c>
    </row>
    <row r="174" spans="1:29" x14ac:dyDescent="0.35">
      <c r="A174">
        <v>173</v>
      </c>
      <c r="B174" s="1" t="s">
        <v>240</v>
      </c>
      <c r="C174" s="1" t="s">
        <v>48</v>
      </c>
      <c r="D174">
        <v>23</v>
      </c>
      <c r="E174" s="1" t="s">
        <v>70</v>
      </c>
      <c r="F174">
        <v>60</v>
      </c>
      <c r="G174">
        <v>765</v>
      </c>
      <c r="H174">
        <v>10.9</v>
      </c>
      <c r="I174">
        <v>0.55400000000000005</v>
      </c>
      <c r="J174">
        <v>0.17399999999999999</v>
      </c>
      <c r="K174">
        <v>0.31</v>
      </c>
      <c r="L174">
        <v>3.4</v>
      </c>
      <c r="M174">
        <v>10.5</v>
      </c>
      <c r="N174">
        <v>7.1</v>
      </c>
      <c r="O174">
        <v>18.600000000000001</v>
      </c>
      <c r="P174">
        <v>1.9</v>
      </c>
      <c r="Q174">
        <v>0.7</v>
      </c>
      <c r="R174">
        <v>21.4</v>
      </c>
      <c r="S174">
        <v>12.8</v>
      </c>
      <c r="T174" s="1" t="s">
        <v>707</v>
      </c>
      <c r="U174">
        <v>0.5</v>
      </c>
      <c r="V174">
        <v>0.8</v>
      </c>
      <c r="W174">
        <v>1.3</v>
      </c>
      <c r="X174">
        <v>8.4000000000000005E-2</v>
      </c>
      <c r="Y174" s="1" t="s">
        <v>707</v>
      </c>
      <c r="Z174">
        <v>-2.2999999999999998</v>
      </c>
      <c r="AA174">
        <v>1.2</v>
      </c>
      <c r="AB174">
        <v>-1</v>
      </c>
      <c r="AC174">
        <v>0.2</v>
      </c>
    </row>
    <row r="175" spans="1:29" x14ac:dyDescent="0.35">
      <c r="A175">
        <v>174</v>
      </c>
      <c r="B175" s="1" t="s">
        <v>241</v>
      </c>
      <c r="C175" s="1" t="s">
        <v>41</v>
      </c>
      <c r="D175">
        <v>29</v>
      </c>
      <c r="E175" s="1" t="s">
        <v>61</v>
      </c>
      <c r="F175">
        <v>80</v>
      </c>
      <c r="G175">
        <v>2358</v>
      </c>
      <c r="H175">
        <v>12.3</v>
      </c>
      <c r="I175">
        <v>0.55400000000000005</v>
      </c>
      <c r="J175">
        <v>0.64100000000000001</v>
      </c>
      <c r="K175">
        <v>0.11700000000000001</v>
      </c>
      <c r="L175">
        <v>1.5</v>
      </c>
      <c r="M175">
        <v>8.1999999999999993</v>
      </c>
      <c r="N175">
        <v>4.8</v>
      </c>
      <c r="O175">
        <v>11.9</v>
      </c>
      <c r="P175">
        <v>1.7</v>
      </c>
      <c r="Q175">
        <v>0.8</v>
      </c>
      <c r="R175">
        <v>9.4</v>
      </c>
      <c r="S175">
        <v>20.8</v>
      </c>
      <c r="T175" s="1" t="s">
        <v>707</v>
      </c>
      <c r="U175">
        <v>1.5</v>
      </c>
      <c r="V175">
        <v>2.2000000000000002</v>
      </c>
      <c r="W175">
        <v>3.7</v>
      </c>
      <c r="X175">
        <v>7.4999999999999997E-2</v>
      </c>
      <c r="Y175" s="1" t="s">
        <v>707</v>
      </c>
      <c r="Z175">
        <v>-0.4</v>
      </c>
      <c r="AA175">
        <v>-0.3</v>
      </c>
      <c r="AB175">
        <v>-0.7</v>
      </c>
      <c r="AC175">
        <v>0.7</v>
      </c>
    </row>
    <row r="176" spans="1:29" x14ac:dyDescent="0.35">
      <c r="A176">
        <v>175</v>
      </c>
      <c r="B176" s="1" t="s">
        <v>242</v>
      </c>
      <c r="C176" s="1" t="s">
        <v>48</v>
      </c>
      <c r="D176">
        <v>24</v>
      </c>
      <c r="E176" s="1" t="s">
        <v>82</v>
      </c>
      <c r="F176">
        <v>59</v>
      </c>
      <c r="G176">
        <v>2083</v>
      </c>
      <c r="H176">
        <v>17.399999999999999</v>
      </c>
      <c r="I176">
        <v>0.54900000000000004</v>
      </c>
      <c r="J176">
        <v>0.22800000000000001</v>
      </c>
      <c r="K176">
        <v>0.31900000000000001</v>
      </c>
      <c r="L176">
        <v>1.3</v>
      </c>
      <c r="M176">
        <v>10.9</v>
      </c>
      <c r="N176">
        <v>6</v>
      </c>
      <c r="O176">
        <v>26.8</v>
      </c>
      <c r="P176">
        <v>1.6</v>
      </c>
      <c r="Q176">
        <v>1</v>
      </c>
      <c r="R176">
        <v>11.9</v>
      </c>
      <c r="S176">
        <v>29.1</v>
      </c>
      <c r="T176" s="1" t="s">
        <v>707</v>
      </c>
      <c r="U176">
        <v>1.5</v>
      </c>
      <c r="V176">
        <v>1</v>
      </c>
      <c r="W176">
        <v>2.5</v>
      </c>
      <c r="X176">
        <v>5.8000000000000003E-2</v>
      </c>
      <c r="Y176" s="1" t="s">
        <v>707</v>
      </c>
      <c r="Z176">
        <v>0.6</v>
      </c>
      <c r="AA176">
        <v>-1.2</v>
      </c>
      <c r="AB176">
        <v>-0.6</v>
      </c>
      <c r="AC176">
        <v>0.7</v>
      </c>
    </row>
    <row r="177" spans="1:29" x14ac:dyDescent="0.35">
      <c r="A177">
        <v>176</v>
      </c>
      <c r="B177" s="1" t="s">
        <v>243</v>
      </c>
      <c r="C177" s="1" t="s">
        <v>41</v>
      </c>
      <c r="D177">
        <v>25</v>
      </c>
      <c r="E177" s="1" t="s">
        <v>96</v>
      </c>
      <c r="F177">
        <v>3</v>
      </c>
      <c r="G177">
        <v>120</v>
      </c>
      <c r="H177">
        <v>-0.4</v>
      </c>
      <c r="I177">
        <v>0.313</v>
      </c>
      <c r="J177">
        <v>0.438</v>
      </c>
      <c r="K177">
        <v>0.14599999999999999</v>
      </c>
      <c r="L177">
        <v>4.2</v>
      </c>
      <c r="M177">
        <v>7</v>
      </c>
      <c r="N177">
        <v>5.6</v>
      </c>
      <c r="O177">
        <v>1.2</v>
      </c>
      <c r="P177">
        <v>0.4</v>
      </c>
      <c r="Q177">
        <v>0</v>
      </c>
      <c r="R177">
        <v>5.5</v>
      </c>
      <c r="S177">
        <v>19.5</v>
      </c>
      <c r="T177" s="1" t="s">
        <v>707</v>
      </c>
      <c r="U177">
        <v>-0.4</v>
      </c>
      <c r="V177">
        <v>0</v>
      </c>
      <c r="W177">
        <v>-0.4</v>
      </c>
      <c r="X177">
        <v>-0.16</v>
      </c>
      <c r="Y177" s="1" t="s">
        <v>707</v>
      </c>
      <c r="Z177">
        <v>-9.6999999999999993</v>
      </c>
      <c r="AA177">
        <v>-6.7</v>
      </c>
      <c r="AB177">
        <v>-16.399999999999999</v>
      </c>
      <c r="AC177">
        <v>-0.4</v>
      </c>
    </row>
    <row r="178" spans="1:29" x14ac:dyDescent="0.35">
      <c r="A178">
        <v>177</v>
      </c>
      <c r="B178" s="1" t="s">
        <v>244</v>
      </c>
      <c r="C178" s="1" t="s">
        <v>48</v>
      </c>
      <c r="D178">
        <v>31</v>
      </c>
      <c r="E178" s="1" t="s">
        <v>42</v>
      </c>
      <c r="F178">
        <v>12</v>
      </c>
      <c r="G178">
        <v>208</v>
      </c>
      <c r="H178">
        <v>3.3</v>
      </c>
      <c r="I178">
        <v>0.39800000000000002</v>
      </c>
      <c r="J178">
        <v>0.378</v>
      </c>
      <c r="K178">
        <v>0.2</v>
      </c>
      <c r="L178">
        <v>2.5</v>
      </c>
      <c r="M178">
        <v>7.1</v>
      </c>
      <c r="N178">
        <v>4.8</v>
      </c>
      <c r="O178">
        <v>22.5</v>
      </c>
      <c r="P178">
        <v>0.7</v>
      </c>
      <c r="Q178">
        <v>0.4</v>
      </c>
      <c r="R178">
        <v>23.5</v>
      </c>
      <c r="S178">
        <v>13.3</v>
      </c>
      <c r="T178" s="1" t="s">
        <v>707</v>
      </c>
      <c r="U178">
        <v>-0.3</v>
      </c>
      <c r="V178">
        <v>0.1</v>
      </c>
      <c r="W178">
        <v>-0.2</v>
      </c>
      <c r="X178">
        <v>-4.5999999999999999E-2</v>
      </c>
      <c r="Y178" s="1" t="s">
        <v>707</v>
      </c>
      <c r="Z178">
        <v>-6.8</v>
      </c>
      <c r="AA178">
        <v>-1.8</v>
      </c>
      <c r="AB178">
        <v>-8.6</v>
      </c>
      <c r="AC178">
        <v>-0.3</v>
      </c>
    </row>
    <row r="179" spans="1:29" x14ac:dyDescent="0.35">
      <c r="A179">
        <v>178</v>
      </c>
      <c r="B179" s="1" t="s">
        <v>245</v>
      </c>
      <c r="C179" s="1" t="s">
        <v>31</v>
      </c>
      <c r="D179">
        <v>29</v>
      </c>
      <c r="E179" s="1" t="s">
        <v>140</v>
      </c>
      <c r="F179">
        <v>35</v>
      </c>
      <c r="G179">
        <v>411</v>
      </c>
      <c r="H179">
        <v>15</v>
      </c>
      <c r="I179">
        <v>0.58499999999999996</v>
      </c>
      <c r="J179">
        <v>5.1999999999999998E-2</v>
      </c>
      <c r="K179">
        <v>0.28899999999999998</v>
      </c>
      <c r="L179">
        <v>16.5</v>
      </c>
      <c r="M179">
        <v>25.4</v>
      </c>
      <c r="N179">
        <v>21</v>
      </c>
      <c r="O179">
        <v>2.7</v>
      </c>
      <c r="P179">
        <v>0.6</v>
      </c>
      <c r="Q179">
        <v>3.1</v>
      </c>
      <c r="R179">
        <v>15.5</v>
      </c>
      <c r="S179">
        <v>13.9</v>
      </c>
      <c r="T179" s="1" t="s">
        <v>707</v>
      </c>
      <c r="U179">
        <v>0.6</v>
      </c>
      <c r="V179">
        <v>0.7</v>
      </c>
      <c r="W179">
        <v>1.4</v>
      </c>
      <c r="X179">
        <v>0.16</v>
      </c>
      <c r="Y179" s="1" t="s">
        <v>707</v>
      </c>
      <c r="Z179">
        <v>-1.2</v>
      </c>
      <c r="AA179">
        <v>-0.2</v>
      </c>
      <c r="AB179">
        <v>-1.4</v>
      </c>
      <c r="AC179">
        <v>0.1</v>
      </c>
    </row>
    <row r="180" spans="1:29" x14ac:dyDescent="0.35">
      <c r="A180">
        <v>179</v>
      </c>
      <c r="B180" s="1" t="s">
        <v>246</v>
      </c>
      <c r="C180" s="1" t="s">
        <v>48</v>
      </c>
      <c r="D180">
        <v>23</v>
      </c>
      <c r="E180" s="1" t="s">
        <v>58</v>
      </c>
      <c r="F180">
        <v>18</v>
      </c>
      <c r="G180">
        <v>360</v>
      </c>
      <c r="H180">
        <v>17.7</v>
      </c>
      <c r="I180">
        <v>0.51700000000000002</v>
      </c>
      <c r="J180">
        <v>9.7000000000000003E-2</v>
      </c>
      <c r="K180">
        <v>0.17699999999999999</v>
      </c>
      <c r="L180">
        <v>1.2</v>
      </c>
      <c r="M180">
        <v>13.2</v>
      </c>
      <c r="N180">
        <v>7.2</v>
      </c>
      <c r="O180">
        <v>48.9</v>
      </c>
      <c r="P180">
        <v>2.7</v>
      </c>
      <c r="Q180">
        <v>1.3</v>
      </c>
      <c r="R180">
        <v>17.5</v>
      </c>
      <c r="S180">
        <v>27.5</v>
      </c>
      <c r="T180" s="1" t="s">
        <v>707</v>
      </c>
      <c r="U180">
        <v>0</v>
      </c>
      <c r="V180">
        <v>0.4</v>
      </c>
      <c r="W180">
        <v>0.4</v>
      </c>
      <c r="X180">
        <v>5.2999999999999999E-2</v>
      </c>
      <c r="Y180" s="1" t="s">
        <v>707</v>
      </c>
      <c r="Z180">
        <v>-0.1</v>
      </c>
      <c r="AA180">
        <v>0.4</v>
      </c>
      <c r="AB180">
        <v>0.2</v>
      </c>
      <c r="AC180">
        <v>0.2</v>
      </c>
    </row>
    <row r="181" spans="1:29" x14ac:dyDescent="0.35">
      <c r="A181">
        <v>180</v>
      </c>
      <c r="B181" s="1" t="s">
        <v>247</v>
      </c>
      <c r="C181" s="1" t="s">
        <v>28</v>
      </c>
      <c r="D181">
        <v>24</v>
      </c>
      <c r="E181" s="1" t="s">
        <v>42</v>
      </c>
      <c r="F181">
        <v>26</v>
      </c>
      <c r="G181">
        <v>358</v>
      </c>
      <c r="H181">
        <v>12.5</v>
      </c>
      <c r="I181">
        <v>0.54900000000000004</v>
      </c>
      <c r="J181">
        <v>0.255</v>
      </c>
      <c r="K181">
        <v>0.38200000000000001</v>
      </c>
      <c r="L181">
        <v>11.8</v>
      </c>
      <c r="M181">
        <v>17.2</v>
      </c>
      <c r="N181">
        <v>14.5</v>
      </c>
      <c r="O181">
        <v>5.6</v>
      </c>
      <c r="P181">
        <v>0.7</v>
      </c>
      <c r="Q181">
        <v>2.7</v>
      </c>
      <c r="R181">
        <v>11.1</v>
      </c>
      <c r="S181">
        <v>17.399999999999999</v>
      </c>
      <c r="T181" s="1" t="s">
        <v>707</v>
      </c>
      <c r="U181">
        <v>0.4</v>
      </c>
      <c r="V181">
        <v>0.3</v>
      </c>
      <c r="W181">
        <v>0.7</v>
      </c>
      <c r="X181">
        <v>0.09</v>
      </c>
      <c r="Y181" s="1" t="s">
        <v>707</v>
      </c>
      <c r="Z181">
        <v>-3.7</v>
      </c>
      <c r="AA181">
        <v>-2.1</v>
      </c>
      <c r="AB181">
        <v>-5.9</v>
      </c>
      <c r="AC181">
        <v>-0.4</v>
      </c>
    </row>
    <row r="182" spans="1:29" x14ac:dyDescent="0.35">
      <c r="A182">
        <v>181</v>
      </c>
      <c r="B182" s="1" t="s">
        <v>248</v>
      </c>
      <c r="C182" s="1" t="s">
        <v>31</v>
      </c>
      <c r="D182">
        <v>23</v>
      </c>
      <c r="E182" s="1" t="s">
        <v>65</v>
      </c>
      <c r="F182">
        <v>72</v>
      </c>
      <c r="G182">
        <v>1444</v>
      </c>
      <c r="H182">
        <v>21.8</v>
      </c>
      <c r="I182">
        <v>0.70799999999999996</v>
      </c>
      <c r="J182">
        <v>2E-3</v>
      </c>
      <c r="K182">
        <v>0.372</v>
      </c>
      <c r="L182">
        <v>12.1</v>
      </c>
      <c r="M182">
        <v>19</v>
      </c>
      <c r="N182">
        <v>15.6</v>
      </c>
      <c r="O182">
        <v>7.3</v>
      </c>
      <c r="P182">
        <v>1</v>
      </c>
      <c r="Q182">
        <v>5.8</v>
      </c>
      <c r="R182">
        <v>12</v>
      </c>
      <c r="S182">
        <v>16.7</v>
      </c>
      <c r="T182" s="1" t="s">
        <v>707</v>
      </c>
      <c r="U182">
        <v>4.4000000000000004</v>
      </c>
      <c r="V182">
        <v>1.6</v>
      </c>
      <c r="W182">
        <v>6</v>
      </c>
      <c r="X182">
        <v>0.19800000000000001</v>
      </c>
      <c r="Y182" s="1" t="s">
        <v>707</v>
      </c>
      <c r="Z182">
        <v>1.1000000000000001</v>
      </c>
      <c r="AA182">
        <v>0.5</v>
      </c>
      <c r="AB182">
        <v>1.6</v>
      </c>
      <c r="AC182">
        <v>1.3</v>
      </c>
    </row>
    <row r="183" spans="1:29" x14ac:dyDescent="0.35">
      <c r="A183">
        <v>182</v>
      </c>
      <c r="B183" s="1" t="s">
        <v>249</v>
      </c>
      <c r="C183" s="1" t="s">
        <v>28</v>
      </c>
      <c r="D183">
        <v>33</v>
      </c>
      <c r="E183" s="1" t="s">
        <v>80</v>
      </c>
      <c r="F183">
        <v>66</v>
      </c>
      <c r="G183">
        <v>1672</v>
      </c>
      <c r="H183">
        <v>14.3</v>
      </c>
      <c r="I183">
        <v>0.57899999999999996</v>
      </c>
      <c r="J183">
        <v>0.49199999999999999</v>
      </c>
      <c r="K183">
        <v>0.26100000000000001</v>
      </c>
      <c r="L183">
        <v>2.2999999999999998</v>
      </c>
      <c r="M183">
        <v>17.8</v>
      </c>
      <c r="N183">
        <v>10.1</v>
      </c>
      <c r="O183">
        <v>8.5</v>
      </c>
      <c r="P183">
        <v>0.8</v>
      </c>
      <c r="Q183">
        <v>0.6</v>
      </c>
      <c r="R183">
        <v>5.4</v>
      </c>
      <c r="S183">
        <v>18.399999999999999</v>
      </c>
      <c r="T183" s="1" t="s">
        <v>707</v>
      </c>
      <c r="U183">
        <v>2.8</v>
      </c>
      <c r="V183">
        <v>0.8</v>
      </c>
      <c r="W183">
        <v>3.6</v>
      </c>
      <c r="X183">
        <v>0.105</v>
      </c>
      <c r="Y183" s="1" t="s">
        <v>707</v>
      </c>
      <c r="Z183">
        <v>1</v>
      </c>
      <c r="AA183">
        <v>-1.2</v>
      </c>
      <c r="AB183">
        <v>-0.2</v>
      </c>
      <c r="AC183">
        <v>0.8</v>
      </c>
    </row>
    <row r="184" spans="1:29" x14ac:dyDescent="0.35">
      <c r="A184">
        <v>183</v>
      </c>
      <c r="B184" s="1" t="s">
        <v>250</v>
      </c>
      <c r="C184" s="1" t="s">
        <v>41</v>
      </c>
      <c r="D184">
        <v>30</v>
      </c>
      <c r="E184" s="1" t="s">
        <v>42</v>
      </c>
      <c r="F184">
        <v>7</v>
      </c>
      <c r="G184">
        <v>107</v>
      </c>
      <c r="H184">
        <v>0.7</v>
      </c>
      <c r="I184">
        <v>0.26900000000000002</v>
      </c>
      <c r="J184">
        <v>0.61499999999999999</v>
      </c>
      <c r="K184">
        <v>0</v>
      </c>
      <c r="L184">
        <v>3.1</v>
      </c>
      <c r="M184">
        <v>14.7</v>
      </c>
      <c r="N184">
        <v>9</v>
      </c>
      <c r="O184">
        <v>13.7</v>
      </c>
      <c r="P184">
        <v>0.4</v>
      </c>
      <c r="Q184">
        <v>0</v>
      </c>
      <c r="R184">
        <v>18.8</v>
      </c>
      <c r="S184">
        <v>12.8</v>
      </c>
      <c r="T184" s="1" t="s">
        <v>707</v>
      </c>
      <c r="U184">
        <v>-0.3</v>
      </c>
      <c r="V184">
        <v>0.1</v>
      </c>
      <c r="W184">
        <v>-0.2</v>
      </c>
      <c r="X184">
        <v>-0.1</v>
      </c>
      <c r="Y184" s="1" t="s">
        <v>707</v>
      </c>
      <c r="Z184">
        <v>-8</v>
      </c>
      <c r="AA184">
        <v>-1.8</v>
      </c>
      <c r="AB184">
        <v>-9.8000000000000007</v>
      </c>
      <c r="AC184">
        <v>-0.2</v>
      </c>
    </row>
    <row r="185" spans="1:29" x14ac:dyDescent="0.35">
      <c r="A185">
        <v>184</v>
      </c>
      <c r="B185" s="1" t="s">
        <v>251</v>
      </c>
      <c r="C185" s="1" t="s">
        <v>48</v>
      </c>
      <c r="D185">
        <v>22</v>
      </c>
      <c r="E185" s="1" t="s">
        <v>46</v>
      </c>
      <c r="F185">
        <v>68</v>
      </c>
      <c r="G185">
        <v>2430</v>
      </c>
      <c r="H185">
        <v>19</v>
      </c>
      <c r="I185">
        <v>0.57599999999999996</v>
      </c>
      <c r="J185">
        <v>0.38700000000000001</v>
      </c>
      <c r="K185">
        <v>0.20499999999999999</v>
      </c>
      <c r="L185">
        <v>1.8</v>
      </c>
      <c r="M185">
        <v>8.1999999999999993</v>
      </c>
      <c r="N185">
        <v>5.0999999999999996</v>
      </c>
      <c r="O185">
        <v>39.9</v>
      </c>
      <c r="P185">
        <v>1.8</v>
      </c>
      <c r="Q185">
        <v>0.3</v>
      </c>
      <c r="R185">
        <v>16.2</v>
      </c>
      <c r="S185">
        <v>27.8</v>
      </c>
      <c r="T185" s="1" t="s">
        <v>707</v>
      </c>
      <c r="U185">
        <v>3.8</v>
      </c>
      <c r="V185">
        <v>2.5</v>
      </c>
      <c r="W185">
        <v>6.3</v>
      </c>
      <c r="X185">
        <v>0.125</v>
      </c>
      <c r="Y185" s="1" t="s">
        <v>707</v>
      </c>
      <c r="Z185">
        <v>3.4</v>
      </c>
      <c r="AA185">
        <v>-0.8</v>
      </c>
      <c r="AB185">
        <v>2.6</v>
      </c>
      <c r="AC185">
        <v>2.8</v>
      </c>
    </row>
    <row r="186" spans="1:29" x14ac:dyDescent="0.35">
      <c r="A186">
        <v>185</v>
      </c>
      <c r="B186" s="1" t="s">
        <v>252</v>
      </c>
      <c r="C186" s="1" t="s">
        <v>41</v>
      </c>
      <c r="D186">
        <v>23</v>
      </c>
      <c r="E186" s="1" t="s">
        <v>36</v>
      </c>
      <c r="F186">
        <v>12</v>
      </c>
      <c r="G186">
        <v>128</v>
      </c>
      <c r="H186">
        <v>4.7</v>
      </c>
      <c r="I186">
        <v>0.28000000000000003</v>
      </c>
      <c r="J186">
        <v>0.19</v>
      </c>
      <c r="K186">
        <v>0.23799999999999999</v>
      </c>
      <c r="L186">
        <v>8.1</v>
      </c>
      <c r="M186">
        <v>12.2</v>
      </c>
      <c r="N186">
        <v>10.199999999999999</v>
      </c>
      <c r="O186">
        <v>7</v>
      </c>
      <c r="P186">
        <v>2</v>
      </c>
      <c r="Q186">
        <v>2.5</v>
      </c>
      <c r="R186">
        <v>7.9</v>
      </c>
      <c r="S186">
        <v>8.8000000000000007</v>
      </c>
      <c r="T186" s="1" t="s">
        <v>707</v>
      </c>
      <c r="U186">
        <v>-0.1</v>
      </c>
      <c r="V186">
        <v>0.2</v>
      </c>
      <c r="W186">
        <v>0.1</v>
      </c>
      <c r="X186">
        <v>3.2000000000000001E-2</v>
      </c>
      <c r="Y186" s="1" t="s">
        <v>707</v>
      </c>
      <c r="Z186">
        <v>-6.4</v>
      </c>
      <c r="AA186">
        <v>1</v>
      </c>
      <c r="AB186">
        <v>-5.4</v>
      </c>
      <c r="AC186">
        <v>-0.1</v>
      </c>
    </row>
    <row r="187" spans="1:29" x14ac:dyDescent="0.35">
      <c r="A187">
        <v>186</v>
      </c>
      <c r="B187" s="1" t="s">
        <v>253</v>
      </c>
      <c r="C187" s="1" t="s">
        <v>28</v>
      </c>
      <c r="D187">
        <v>19</v>
      </c>
      <c r="E187" s="1" t="s">
        <v>170</v>
      </c>
      <c r="F187">
        <v>24</v>
      </c>
      <c r="G187">
        <v>239</v>
      </c>
      <c r="H187">
        <v>12.9</v>
      </c>
      <c r="I187">
        <v>0.51</v>
      </c>
      <c r="J187">
        <v>0.45500000000000002</v>
      </c>
      <c r="K187">
        <v>0.159</v>
      </c>
      <c r="L187">
        <v>9.6</v>
      </c>
      <c r="M187">
        <v>28.7</v>
      </c>
      <c r="N187">
        <v>19.100000000000001</v>
      </c>
      <c r="O187">
        <v>9.6</v>
      </c>
      <c r="P187">
        <v>2</v>
      </c>
      <c r="Q187">
        <v>4.0999999999999996</v>
      </c>
      <c r="R187">
        <v>11.3</v>
      </c>
      <c r="S187">
        <v>9.4</v>
      </c>
      <c r="T187" s="1" t="s">
        <v>707</v>
      </c>
      <c r="U187">
        <v>0.2</v>
      </c>
      <c r="V187">
        <v>0.3</v>
      </c>
      <c r="W187">
        <v>0.5</v>
      </c>
      <c r="X187">
        <v>0.105</v>
      </c>
      <c r="Y187" s="1" t="s">
        <v>707</v>
      </c>
      <c r="Z187">
        <v>-1.8</v>
      </c>
      <c r="AA187">
        <v>0.9</v>
      </c>
      <c r="AB187">
        <v>-0.9</v>
      </c>
      <c r="AC187">
        <v>0.1</v>
      </c>
    </row>
    <row r="188" spans="1:29" x14ac:dyDescent="0.35">
      <c r="A188">
        <v>187</v>
      </c>
      <c r="B188" s="1" t="s">
        <v>254</v>
      </c>
      <c r="C188" s="1" t="s">
        <v>31</v>
      </c>
      <c r="D188">
        <v>23</v>
      </c>
      <c r="E188" s="1" t="s">
        <v>105</v>
      </c>
      <c r="F188">
        <v>32</v>
      </c>
      <c r="G188">
        <v>389</v>
      </c>
      <c r="H188">
        <v>15.6</v>
      </c>
      <c r="I188">
        <v>0.53500000000000003</v>
      </c>
      <c r="J188">
        <v>0.33300000000000002</v>
      </c>
      <c r="K188">
        <v>0.41499999999999998</v>
      </c>
      <c r="L188">
        <v>15.3</v>
      </c>
      <c r="M188">
        <v>12.3</v>
      </c>
      <c r="N188">
        <v>13.9</v>
      </c>
      <c r="O188">
        <v>8.3000000000000007</v>
      </c>
      <c r="P188">
        <v>1.1000000000000001</v>
      </c>
      <c r="Q188">
        <v>1.4</v>
      </c>
      <c r="R188">
        <v>9.4</v>
      </c>
      <c r="S188">
        <v>21.1</v>
      </c>
      <c r="T188" s="1" t="s">
        <v>707</v>
      </c>
      <c r="U188">
        <v>0.5</v>
      </c>
      <c r="V188">
        <v>0.2</v>
      </c>
      <c r="W188">
        <v>0.8</v>
      </c>
      <c r="X188">
        <v>9.2999999999999999E-2</v>
      </c>
      <c r="Y188" s="1" t="s">
        <v>707</v>
      </c>
      <c r="Z188">
        <v>-0.5</v>
      </c>
      <c r="AA188">
        <v>-2</v>
      </c>
      <c r="AB188">
        <v>-2.5</v>
      </c>
      <c r="AC188">
        <v>-0.1</v>
      </c>
    </row>
    <row r="189" spans="1:29" x14ac:dyDescent="0.35">
      <c r="A189">
        <v>188</v>
      </c>
      <c r="B189" s="1" t="s">
        <v>255</v>
      </c>
      <c r="C189" s="1" t="s">
        <v>28</v>
      </c>
      <c r="D189">
        <v>35</v>
      </c>
      <c r="E189" s="1" t="s">
        <v>70</v>
      </c>
      <c r="F189">
        <v>55</v>
      </c>
      <c r="G189">
        <v>1038</v>
      </c>
      <c r="H189">
        <v>13</v>
      </c>
      <c r="I189">
        <v>0.53900000000000003</v>
      </c>
      <c r="J189">
        <v>0.53600000000000003</v>
      </c>
      <c r="K189">
        <v>0.20799999999999999</v>
      </c>
      <c r="L189">
        <v>6</v>
      </c>
      <c r="M189">
        <v>19.100000000000001</v>
      </c>
      <c r="N189">
        <v>12.8</v>
      </c>
      <c r="O189">
        <v>7.8</v>
      </c>
      <c r="P189">
        <v>1.2</v>
      </c>
      <c r="Q189">
        <v>1.6</v>
      </c>
      <c r="R189">
        <v>10.199999999999999</v>
      </c>
      <c r="S189">
        <v>19.3</v>
      </c>
      <c r="T189" s="1" t="s">
        <v>707</v>
      </c>
      <c r="U189">
        <v>0.8</v>
      </c>
      <c r="V189">
        <v>1.3</v>
      </c>
      <c r="W189">
        <v>2.1</v>
      </c>
      <c r="X189">
        <v>9.7000000000000003E-2</v>
      </c>
      <c r="Y189" s="1" t="s">
        <v>707</v>
      </c>
      <c r="Z189">
        <v>-0.7</v>
      </c>
      <c r="AA189">
        <v>-0.3</v>
      </c>
      <c r="AB189">
        <v>-1</v>
      </c>
      <c r="AC189">
        <v>0.3</v>
      </c>
    </row>
    <row r="190" spans="1:29" x14ac:dyDescent="0.35">
      <c r="A190">
        <v>189</v>
      </c>
      <c r="B190" s="1" t="s">
        <v>256</v>
      </c>
      <c r="C190" s="1" t="s">
        <v>51</v>
      </c>
      <c r="D190">
        <v>31</v>
      </c>
      <c r="E190" s="1" t="s">
        <v>93</v>
      </c>
      <c r="F190">
        <v>31</v>
      </c>
      <c r="G190">
        <v>1077</v>
      </c>
      <c r="H190">
        <v>18.600000000000001</v>
      </c>
      <c r="I190">
        <v>0.53800000000000003</v>
      </c>
      <c r="J190">
        <v>0.40400000000000003</v>
      </c>
      <c r="K190">
        <v>0.23300000000000001</v>
      </c>
      <c r="L190">
        <v>1.2</v>
      </c>
      <c r="M190">
        <v>19.2</v>
      </c>
      <c r="N190">
        <v>10.5</v>
      </c>
      <c r="O190">
        <v>28.1</v>
      </c>
      <c r="P190">
        <v>3</v>
      </c>
      <c r="Q190">
        <v>1</v>
      </c>
      <c r="R190">
        <v>15.2</v>
      </c>
      <c r="S190">
        <v>33.700000000000003</v>
      </c>
      <c r="T190" s="1" t="s">
        <v>707</v>
      </c>
      <c r="U190">
        <v>-0.6</v>
      </c>
      <c r="V190">
        <v>1.9</v>
      </c>
      <c r="W190">
        <v>1.3</v>
      </c>
      <c r="X190">
        <v>5.7000000000000002E-2</v>
      </c>
      <c r="Y190" s="1" t="s">
        <v>707</v>
      </c>
      <c r="Z190">
        <v>1.7</v>
      </c>
      <c r="AA190">
        <v>1.9</v>
      </c>
      <c r="AB190">
        <v>3.6</v>
      </c>
      <c r="AC190">
        <v>1.5</v>
      </c>
    </row>
    <row r="191" spans="1:29" x14ac:dyDescent="0.35">
      <c r="A191">
        <v>190</v>
      </c>
      <c r="B191" s="1" t="s">
        <v>257</v>
      </c>
      <c r="C191" s="1" t="s">
        <v>31</v>
      </c>
      <c r="D191">
        <v>36</v>
      </c>
      <c r="E191" s="1" t="s">
        <v>61</v>
      </c>
      <c r="F191">
        <v>52</v>
      </c>
      <c r="G191">
        <v>946</v>
      </c>
      <c r="H191">
        <v>12</v>
      </c>
      <c r="I191">
        <v>0.60599999999999998</v>
      </c>
      <c r="J191">
        <v>0.22900000000000001</v>
      </c>
      <c r="K191">
        <v>0.313</v>
      </c>
      <c r="L191">
        <v>9.8000000000000007</v>
      </c>
      <c r="M191">
        <v>16.3</v>
      </c>
      <c r="N191">
        <v>13</v>
      </c>
      <c r="O191">
        <v>4.9000000000000004</v>
      </c>
      <c r="P191">
        <v>1.2</v>
      </c>
      <c r="Q191">
        <v>4.2</v>
      </c>
      <c r="R191">
        <v>12.5</v>
      </c>
      <c r="S191">
        <v>10</v>
      </c>
      <c r="T191" s="1" t="s">
        <v>707</v>
      </c>
      <c r="U191">
        <v>1.4</v>
      </c>
      <c r="V191">
        <v>1.2</v>
      </c>
      <c r="W191">
        <v>2.7</v>
      </c>
      <c r="X191">
        <v>0.13500000000000001</v>
      </c>
      <c r="Y191" s="1" t="s">
        <v>707</v>
      </c>
      <c r="Z191">
        <v>-3</v>
      </c>
      <c r="AA191">
        <v>1</v>
      </c>
      <c r="AB191">
        <v>-2</v>
      </c>
      <c r="AC191">
        <v>0</v>
      </c>
    </row>
    <row r="192" spans="1:29" x14ac:dyDescent="0.35">
      <c r="A192">
        <v>191</v>
      </c>
      <c r="B192" s="1" t="s">
        <v>258</v>
      </c>
      <c r="C192" s="1" t="s">
        <v>41</v>
      </c>
      <c r="D192">
        <v>19</v>
      </c>
      <c r="E192" s="1" t="s">
        <v>96</v>
      </c>
      <c r="F192">
        <v>54</v>
      </c>
      <c r="G192">
        <v>1700</v>
      </c>
      <c r="H192">
        <v>13.3</v>
      </c>
      <c r="I192">
        <v>0.47799999999999998</v>
      </c>
      <c r="J192">
        <v>0.318</v>
      </c>
      <c r="K192">
        <v>0.11799999999999999</v>
      </c>
      <c r="L192">
        <v>5.8</v>
      </c>
      <c r="M192">
        <v>19.8</v>
      </c>
      <c r="N192">
        <v>12.7</v>
      </c>
      <c r="O192">
        <v>32.299999999999997</v>
      </c>
      <c r="P192">
        <v>1.5</v>
      </c>
      <c r="Q192">
        <v>1.1000000000000001</v>
      </c>
      <c r="R192">
        <v>19.5</v>
      </c>
      <c r="S192">
        <v>22.2</v>
      </c>
      <c r="T192" s="1" t="s">
        <v>707</v>
      </c>
      <c r="U192">
        <v>-1.3</v>
      </c>
      <c r="V192">
        <v>1.7</v>
      </c>
      <c r="W192">
        <v>0.4</v>
      </c>
      <c r="X192">
        <v>0.01</v>
      </c>
      <c r="Y192" s="1" t="s">
        <v>707</v>
      </c>
      <c r="Z192">
        <v>-1.2</v>
      </c>
      <c r="AA192">
        <v>0.3</v>
      </c>
      <c r="AB192">
        <v>-1</v>
      </c>
      <c r="AC192">
        <v>0.4</v>
      </c>
    </row>
    <row r="193" spans="1:29" x14ac:dyDescent="0.35">
      <c r="A193">
        <v>192</v>
      </c>
      <c r="B193" s="1" t="s">
        <v>259</v>
      </c>
      <c r="C193" s="1" t="s">
        <v>48</v>
      </c>
      <c r="D193">
        <v>23</v>
      </c>
      <c r="E193" s="1" t="s">
        <v>96</v>
      </c>
      <c r="F193">
        <v>56</v>
      </c>
      <c r="G193">
        <v>1942</v>
      </c>
      <c r="H193">
        <v>20.9</v>
      </c>
      <c r="I193">
        <v>0.55700000000000005</v>
      </c>
      <c r="J193">
        <v>0.28199999999999997</v>
      </c>
      <c r="K193">
        <v>0.38500000000000001</v>
      </c>
      <c r="L193">
        <v>1.9</v>
      </c>
      <c r="M193">
        <v>13</v>
      </c>
      <c r="N193">
        <v>7.4</v>
      </c>
      <c r="O193">
        <v>31.1</v>
      </c>
      <c r="P193">
        <v>1.8</v>
      </c>
      <c r="Q193">
        <v>2.2000000000000002</v>
      </c>
      <c r="R193">
        <v>11.1</v>
      </c>
      <c r="S193">
        <v>30.8</v>
      </c>
      <c r="T193" s="1" t="s">
        <v>707</v>
      </c>
      <c r="U193">
        <v>2.8</v>
      </c>
      <c r="V193">
        <v>1.8</v>
      </c>
      <c r="W193">
        <v>4.5999999999999996</v>
      </c>
      <c r="X193">
        <v>0.113</v>
      </c>
      <c r="Y193" s="1" t="s">
        <v>707</v>
      </c>
      <c r="Z193">
        <v>2.9</v>
      </c>
      <c r="AA193">
        <v>0.5</v>
      </c>
      <c r="AB193">
        <v>3.4</v>
      </c>
      <c r="AC193">
        <v>2.7</v>
      </c>
    </row>
    <row r="194" spans="1:29" x14ac:dyDescent="0.35">
      <c r="A194">
        <v>193</v>
      </c>
      <c r="B194" s="1" t="s">
        <v>260</v>
      </c>
      <c r="C194" s="1" t="s">
        <v>28</v>
      </c>
      <c r="D194">
        <v>29</v>
      </c>
      <c r="E194" s="1" t="s">
        <v>65</v>
      </c>
      <c r="F194">
        <v>44</v>
      </c>
      <c r="G194">
        <v>463</v>
      </c>
      <c r="H194">
        <v>14.7</v>
      </c>
      <c r="I194">
        <v>0.68200000000000005</v>
      </c>
      <c r="J194">
        <v>0.23899999999999999</v>
      </c>
      <c r="K194">
        <v>0.47699999999999998</v>
      </c>
      <c r="L194">
        <v>8</v>
      </c>
      <c r="M194">
        <v>12.2</v>
      </c>
      <c r="N194">
        <v>10.199999999999999</v>
      </c>
      <c r="O194">
        <v>8.3000000000000007</v>
      </c>
      <c r="P194">
        <v>0.5</v>
      </c>
      <c r="Q194">
        <v>2</v>
      </c>
      <c r="R194">
        <v>12</v>
      </c>
      <c r="S194">
        <v>14.4</v>
      </c>
      <c r="T194" s="1" t="s">
        <v>707</v>
      </c>
      <c r="U194">
        <v>1.1000000000000001</v>
      </c>
      <c r="V194">
        <v>0.2</v>
      </c>
      <c r="W194">
        <v>1.4</v>
      </c>
      <c r="X194">
        <v>0.14000000000000001</v>
      </c>
      <c r="Y194" s="1" t="s">
        <v>707</v>
      </c>
      <c r="Z194">
        <v>-0.6</v>
      </c>
      <c r="AA194">
        <v>-1.3</v>
      </c>
      <c r="AB194">
        <v>-1.9</v>
      </c>
      <c r="AC194">
        <v>0</v>
      </c>
    </row>
    <row r="195" spans="1:29" x14ac:dyDescent="0.35">
      <c r="A195">
        <v>194</v>
      </c>
      <c r="B195" s="1" t="s">
        <v>261</v>
      </c>
      <c r="C195" s="1" t="s">
        <v>28</v>
      </c>
      <c r="D195">
        <v>24</v>
      </c>
      <c r="E195" s="1" t="s">
        <v>58</v>
      </c>
      <c r="F195">
        <v>9</v>
      </c>
      <c r="G195">
        <v>119</v>
      </c>
      <c r="H195">
        <v>9.5</v>
      </c>
      <c r="I195">
        <v>0.41899999999999998</v>
      </c>
      <c r="J195">
        <v>4.4999999999999998E-2</v>
      </c>
      <c r="K195">
        <v>0.318</v>
      </c>
      <c r="L195">
        <v>11.5</v>
      </c>
      <c r="M195">
        <v>20.5</v>
      </c>
      <c r="N195">
        <v>16</v>
      </c>
      <c r="O195">
        <v>5.9</v>
      </c>
      <c r="P195">
        <v>1.2</v>
      </c>
      <c r="Q195">
        <v>6.9</v>
      </c>
      <c r="R195">
        <v>16.600000000000001</v>
      </c>
      <c r="S195">
        <v>10.9</v>
      </c>
      <c r="T195" s="1" t="s">
        <v>707</v>
      </c>
      <c r="U195">
        <v>-0.1</v>
      </c>
      <c r="V195">
        <v>0.2</v>
      </c>
      <c r="W195">
        <v>0.1</v>
      </c>
      <c r="X195">
        <v>4.9000000000000002E-2</v>
      </c>
      <c r="Y195" s="1" t="s">
        <v>707</v>
      </c>
      <c r="Z195">
        <v>-5.6</v>
      </c>
      <c r="AA195">
        <v>1</v>
      </c>
      <c r="AB195">
        <v>-4.5999999999999996</v>
      </c>
      <c r="AC195">
        <v>-0.1</v>
      </c>
    </row>
    <row r="196" spans="1:29" x14ac:dyDescent="0.35">
      <c r="A196">
        <v>195</v>
      </c>
      <c r="B196" s="1" t="s">
        <v>262</v>
      </c>
      <c r="C196" s="1" t="s">
        <v>31</v>
      </c>
      <c r="D196">
        <v>29</v>
      </c>
      <c r="E196" s="1" t="s">
        <v>70</v>
      </c>
      <c r="F196">
        <v>66</v>
      </c>
      <c r="G196">
        <v>2120</v>
      </c>
      <c r="H196">
        <v>24.7</v>
      </c>
      <c r="I196">
        <v>0.73199999999999998</v>
      </c>
      <c r="J196">
        <v>8.0000000000000002E-3</v>
      </c>
      <c r="K196">
        <v>0.86399999999999999</v>
      </c>
      <c r="L196">
        <v>12.9</v>
      </c>
      <c r="M196">
        <v>36.299999999999997</v>
      </c>
      <c r="N196">
        <v>25</v>
      </c>
      <c r="O196">
        <v>5.0999999999999996</v>
      </c>
      <c r="P196">
        <v>1</v>
      </c>
      <c r="Q196">
        <v>5.7</v>
      </c>
      <c r="R196">
        <v>14.5</v>
      </c>
      <c r="S196">
        <v>16.899999999999999</v>
      </c>
      <c r="T196" s="1" t="s">
        <v>707</v>
      </c>
      <c r="U196">
        <v>7.3</v>
      </c>
      <c r="V196">
        <v>4.3</v>
      </c>
      <c r="W196">
        <v>11.7</v>
      </c>
      <c r="X196">
        <v>0.26400000000000001</v>
      </c>
      <c r="Y196" s="1" t="s">
        <v>707</v>
      </c>
      <c r="Z196">
        <v>2.9</v>
      </c>
      <c r="AA196">
        <v>1.7</v>
      </c>
      <c r="AB196">
        <v>4.5999999999999996</v>
      </c>
      <c r="AC196">
        <v>3.6</v>
      </c>
    </row>
    <row r="197" spans="1:29" x14ac:dyDescent="0.35">
      <c r="A197">
        <v>196</v>
      </c>
      <c r="B197" s="1" t="s">
        <v>263</v>
      </c>
      <c r="C197" s="1" t="s">
        <v>48</v>
      </c>
      <c r="D197">
        <v>26</v>
      </c>
      <c r="E197" s="1" t="s">
        <v>46</v>
      </c>
      <c r="F197">
        <v>36</v>
      </c>
      <c r="G197">
        <v>502</v>
      </c>
      <c r="H197">
        <v>11.8</v>
      </c>
      <c r="I197">
        <v>0.501</v>
      </c>
      <c r="J197">
        <v>0.35699999999999998</v>
      </c>
      <c r="K197">
        <v>0.247</v>
      </c>
      <c r="L197">
        <v>3.1</v>
      </c>
      <c r="M197">
        <v>11.4</v>
      </c>
      <c r="N197">
        <v>7.4</v>
      </c>
      <c r="O197">
        <v>26</v>
      </c>
      <c r="P197">
        <v>2.5</v>
      </c>
      <c r="Q197">
        <v>0.2</v>
      </c>
      <c r="R197">
        <v>17.399999999999999</v>
      </c>
      <c r="S197">
        <v>18.2</v>
      </c>
      <c r="T197" s="1" t="s">
        <v>707</v>
      </c>
      <c r="U197">
        <v>0.1</v>
      </c>
      <c r="V197">
        <v>0.7</v>
      </c>
      <c r="W197">
        <v>0.7</v>
      </c>
      <c r="X197">
        <v>6.9000000000000006E-2</v>
      </c>
      <c r="Y197" s="1" t="s">
        <v>707</v>
      </c>
      <c r="Z197">
        <v>-2.6</v>
      </c>
      <c r="AA197">
        <v>1.1000000000000001</v>
      </c>
      <c r="AB197">
        <v>-1.6</v>
      </c>
      <c r="AC197">
        <v>0.1</v>
      </c>
    </row>
    <row r="198" spans="1:29" x14ac:dyDescent="0.35">
      <c r="A198">
        <v>197</v>
      </c>
      <c r="B198" s="1" t="s">
        <v>264</v>
      </c>
      <c r="C198" s="1" t="s">
        <v>41</v>
      </c>
      <c r="D198">
        <v>23</v>
      </c>
      <c r="E198" s="1" t="s">
        <v>65</v>
      </c>
      <c r="F198">
        <v>2</v>
      </c>
      <c r="G198">
        <v>6</v>
      </c>
      <c r="H198">
        <v>-20.399999999999999</v>
      </c>
      <c r="I198">
        <v>0</v>
      </c>
      <c r="J198">
        <v>0.33300000000000002</v>
      </c>
      <c r="K198">
        <v>0</v>
      </c>
      <c r="L198">
        <v>0</v>
      </c>
      <c r="M198">
        <v>18.2</v>
      </c>
      <c r="N198">
        <v>9.1999999999999993</v>
      </c>
      <c r="O198">
        <v>0</v>
      </c>
      <c r="P198">
        <v>0</v>
      </c>
      <c r="Q198">
        <v>0</v>
      </c>
      <c r="R198">
        <v>0</v>
      </c>
      <c r="S198">
        <v>22.2</v>
      </c>
      <c r="T198" s="1" t="s">
        <v>707</v>
      </c>
      <c r="U198">
        <v>-0.1</v>
      </c>
      <c r="V198">
        <v>0</v>
      </c>
      <c r="W198">
        <v>-0.1</v>
      </c>
      <c r="X198">
        <v>-0.53300000000000003</v>
      </c>
      <c r="Y198" s="1" t="s">
        <v>707</v>
      </c>
      <c r="Z198">
        <v>-24.7</v>
      </c>
      <c r="AA198">
        <v>-9.4</v>
      </c>
      <c r="AB198">
        <v>-34.1</v>
      </c>
      <c r="AC198">
        <v>0</v>
      </c>
    </row>
    <row r="199" spans="1:29" x14ac:dyDescent="0.35">
      <c r="A199">
        <v>198</v>
      </c>
      <c r="B199" s="1" t="s">
        <v>265</v>
      </c>
      <c r="C199" s="1" t="s">
        <v>28</v>
      </c>
      <c r="D199">
        <v>26</v>
      </c>
      <c r="E199" s="1" t="s">
        <v>86</v>
      </c>
      <c r="F199">
        <v>75</v>
      </c>
      <c r="G199">
        <v>2376</v>
      </c>
      <c r="H199">
        <v>15.3</v>
      </c>
      <c r="I199">
        <v>0.60199999999999998</v>
      </c>
      <c r="J199">
        <v>0.312</v>
      </c>
      <c r="K199">
        <v>0.27600000000000002</v>
      </c>
      <c r="L199">
        <v>6.1</v>
      </c>
      <c r="M199">
        <v>14.3</v>
      </c>
      <c r="N199">
        <v>10.3</v>
      </c>
      <c r="O199">
        <v>11.6</v>
      </c>
      <c r="P199">
        <v>0.9</v>
      </c>
      <c r="Q199">
        <v>1.7</v>
      </c>
      <c r="R199">
        <v>12.5</v>
      </c>
      <c r="S199">
        <v>19.7</v>
      </c>
      <c r="T199" s="1" t="s">
        <v>707</v>
      </c>
      <c r="U199">
        <v>3.2</v>
      </c>
      <c r="V199">
        <v>2</v>
      </c>
      <c r="W199">
        <v>5.2</v>
      </c>
      <c r="X199">
        <v>0.105</v>
      </c>
      <c r="Y199" s="1" t="s">
        <v>707</v>
      </c>
      <c r="Z199">
        <v>0.5</v>
      </c>
      <c r="AA199">
        <v>-1.1000000000000001</v>
      </c>
      <c r="AB199">
        <v>-0.6</v>
      </c>
      <c r="AC199">
        <v>0.9</v>
      </c>
    </row>
    <row r="200" spans="1:29" x14ac:dyDescent="0.35">
      <c r="A200">
        <v>199</v>
      </c>
      <c r="B200" s="1" t="s">
        <v>266</v>
      </c>
      <c r="C200" s="1" t="s">
        <v>41</v>
      </c>
      <c r="D200">
        <v>33</v>
      </c>
      <c r="E200" s="1" t="s">
        <v>170</v>
      </c>
      <c r="F200">
        <v>57</v>
      </c>
      <c r="G200">
        <v>1669</v>
      </c>
      <c r="H200">
        <v>12.1</v>
      </c>
      <c r="I200">
        <v>0.61399999999999999</v>
      </c>
      <c r="J200">
        <v>0.53400000000000003</v>
      </c>
      <c r="K200">
        <v>0.23899999999999999</v>
      </c>
      <c r="L200">
        <v>1</v>
      </c>
      <c r="M200">
        <v>6.5</v>
      </c>
      <c r="N200">
        <v>3.7</v>
      </c>
      <c r="O200">
        <v>14.1</v>
      </c>
      <c r="P200">
        <v>0.8</v>
      </c>
      <c r="Q200">
        <v>1</v>
      </c>
      <c r="R200">
        <v>14.6</v>
      </c>
      <c r="S200">
        <v>18.600000000000001</v>
      </c>
      <c r="T200" s="1" t="s">
        <v>707</v>
      </c>
      <c r="U200">
        <v>1.5</v>
      </c>
      <c r="V200">
        <v>-0.1</v>
      </c>
      <c r="W200">
        <v>1.4</v>
      </c>
      <c r="X200">
        <v>0.04</v>
      </c>
      <c r="Y200" s="1" t="s">
        <v>707</v>
      </c>
      <c r="Z200">
        <v>-0.1</v>
      </c>
      <c r="AA200">
        <v>-2.2000000000000002</v>
      </c>
      <c r="AB200">
        <v>-2.2999999999999998</v>
      </c>
      <c r="AC200">
        <v>-0.1</v>
      </c>
    </row>
    <row r="201" spans="1:29" x14ac:dyDescent="0.35">
      <c r="A201">
        <v>200</v>
      </c>
      <c r="B201" s="1" t="s">
        <v>267</v>
      </c>
      <c r="C201" s="1" t="s">
        <v>48</v>
      </c>
      <c r="D201">
        <v>26</v>
      </c>
      <c r="E201" s="1" t="s">
        <v>49</v>
      </c>
      <c r="F201">
        <v>76</v>
      </c>
      <c r="G201">
        <v>2162</v>
      </c>
      <c r="H201">
        <v>12.1</v>
      </c>
      <c r="I201">
        <v>0.51400000000000001</v>
      </c>
      <c r="J201">
        <v>0.69099999999999995</v>
      </c>
      <c r="K201">
        <v>0.17199999999999999</v>
      </c>
      <c r="L201">
        <v>1.9</v>
      </c>
      <c r="M201">
        <v>7.3</v>
      </c>
      <c r="N201">
        <v>4.5</v>
      </c>
      <c r="O201">
        <v>21</v>
      </c>
      <c r="P201">
        <v>1.6</v>
      </c>
      <c r="Q201">
        <v>0.5</v>
      </c>
      <c r="R201">
        <v>10.7</v>
      </c>
      <c r="S201">
        <v>19.5</v>
      </c>
      <c r="T201" s="1" t="s">
        <v>707</v>
      </c>
      <c r="U201">
        <v>1.6</v>
      </c>
      <c r="V201">
        <v>1.2</v>
      </c>
      <c r="W201">
        <v>2.8</v>
      </c>
      <c r="X201">
        <v>6.2E-2</v>
      </c>
      <c r="Y201" s="1" t="s">
        <v>707</v>
      </c>
      <c r="Z201">
        <v>0.2</v>
      </c>
      <c r="AA201">
        <v>-1.2</v>
      </c>
      <c r="AB201">
        <v>-1</v>
      </c>
      <c r="AC201">
        <v>0.5</v>
      </c>
    </row>
    <row r="202" spans="1:29" x14ac:dyDescent="0.35">
      <c r="A202">
        <v>201</v>
      </c>
      <c r="B202" s="1" t="s">
        <v>268</v>
      </c>
      <c r="C202" s="1" t="s">
        <v>28</v>
      </c>
      <c r="D202">
        <v>27</v>
      </c>
      <c r="E202" s="1" t="s">
        <v>105</v>
      </c>
      <c r="F202">
        <v>47</v>
      </c>
      <c r="G202">
        <v>1500</v>
      </c>
      <c r="H202">
        <v>16.100000000000001</v>
      </c>
      <c r="I202">
        <v>0.55600000000000005</v>
      </c>
      <c r="J202">
        <v>0.36299999999999999</v>
      </c>
      <c r="K202">
        <v>0.371</v>
      </c>
      <c r="L202">
        <v>1.9</v>
      </c>
      <c r="M202">
        <v>12.4</v>
      </c>
      <c r="N202">
        <v>6.9</v>
      </c>
      <c r="O202">
        <v>12.5</v>
      </c>
      <c r="P202">
        <v>1.4</v>
      </c>
      <c r="Q202">
        <v>2.9</v>
      </c>
      <c r="R202">
        <v>9.5</v>
      </c>
      <c r="S202">
        <v>25.7</v>
      </c>
      <c r="T202" s="1" t="s">
        <v>707</v>
      </c>
      <c r="U202">
        <v>1.2</v>
      </c>
      <c r="V202">
        <v>1.1000000000000001</v>
      </c>
      <c r="W202">
        <v>2.2999999999999998</v>
      </c>
      <c r="X202">
        <v>7.4999999999999997E-2</v>
      </c>
      <c r="Y202" s="1" t="s">
        <v>707</v>
      </c>
      <c r="Z202">
        <v>1.4</v>
      </c>
      <c r="AA202">
        <v>-0.2</v>
      </c>
      <c r="AB202">
        <v>1.2</v>
      </c>
      <c r="AC202">
        <v>1.2</v>
      </c>
    </row>
    <row r="203" spans="1:29" x14ac:dyDescent="0.35">
      <c r="A203">
        <v>202</v>
      </c>
      <c r="B203" s="1" t="s">
        <v>269</v>
      </c>
      <c r="C203" s="1" t="s">
        <v>48</v>
      </c>
      <c r="D203">
        <v>25</v>
      </c>
      <c r="E203" s="1" t="s">
        <v>58</v>
      </c>
      <c r="F203">
        <v>8</v>
      </c>
      <c r="G203">
        <v>171</v>
      </c>
      <c r="H203">
        <v>10.1</v>
      </c>
      <c r="I203">
        <v>0.629</v>
      </c>
      <c r="J203">
        <v>0.68400000000000005</v>
      </c>
      <c r="K203">
        <v>0.105</v>
      </c>
      <c r="L203">
        <v>0.6</v>
      </c>
      <c r="M203">
        <v>12.4</v>
      </c>
      <c r="N203">
        <v>6.5</v>
      </c>
      <c r="O203">
        <v>17</v>
      </c>
      <c r="P203">
        <v>1.4</v>
      </c>
      <c r="Q203">
        <v>0.5</v>
      </c>
      <c r="R203">
        <v>18.5</v>
      </c>
      <c r="S203">
        <v>12.3</v>
      </c>
      <c r="T203" s="1" t="s">
        <v>707</v>
      </c>
      <c r="U203">
        <v>0.1</v>
      </c>
      <c r="V203">
        <v>0.1</v>
      </c>
      <c r="W203">
        <v>0.3</v>
      </c>
      <c r="X203">
        <v>7.0999999999999994E-2</v>
      </c>
      <c r="Y203" s="1" t="s">
        <v>707</v>
      </c>
      <c r="Z203">
        <v>-2.4</v>
      </c>
      <c r="AA203">
        <v>0.2</v>
      </c>
      <c r="AB203">
        <v>-2.2999999999999998</v>
      </c>
      <c r="AC203">
        <v>0</v>
      </c>
    </row>
    <row r="204" spans="1:29" x14ac:dyDescent="0.35">
      <c r="A204">
        <v>203</v>
      </c>
      <c r="B204" s="1" t="s">
        <v>270</v>
      </c>
      <c r="C204" s="1" t="s">
        <v>51</v>
      </c>
      <c r="D204">
        <v>34</v>
      </c>
      <c r="E204" s="1" t="s">
        <v>89</v>
      </c>
      <c r="F204">
        <v>62</v>
      </c>
      <c r="G204">
        <v>1353</v>
      </c>
      <c r="H204">
        <v>9.5</v>
      </c>
      <c r="I204">
        <v>0.56100000000000005</v>
      </c>
      <c r="J204">
        <v>0.84699999999999998</v>
      </c>
      <c r="K204">
        <v>4.3999999999999997E-2</v>
      </c>
      <c r="L204">
        <v>2.7</v>
      </c>
      <c r="M204">
        <v>10.1</v>
      </c>
      <c r="N204">
        <v>6.5</v>
      </c>
      <c r="O204">
        <v>6.5</v>
      </c>
      <c r="P204">
        <v>2.2000000000000002</v>
      </c>
      <c r="Q204">
        <v>2.5</v>
      </c>
      <c r="R204">
        <v>12.1</v>
      </c>
      <c r="S204">
        <v>12.3</v>
      </c>
      <c r="T204" s="1" t="s">
        <v>707</v>
      </c>
      <c r="U204">
        <v>0.3</v>
      </c>
      <c r="V204">
        <v>1.6</v>
      </c>
      <c r="W204">
        <v>1.9</v>
      </c>
      <c r="X204">
        <v>6.7000000000000004E-2</v>
      </c>
      <c r="Y204" s="1" t="s">
        <v>707</v>
      </c>
      <c r="Z204">
        <v>-1.4</v>
      </c>
      <c r="AA204">
        <v>0.8</v>
      </c>
      <c r="AB204">
        <v>-0.5</v>
      </c>
      <c r="AC204">
        <v>0.5</v>
      </c>
    </row>
    <row r="205" spans="1:29" x14ac:dyDescent="0.35">
      <c r="A205">
        <v>204</v>
      </c>
      <c r="B205" s="1" t="s">
        <v>271</v>
      </c>
      <c r="C205" s="1" t="s">
        <v>28</v>
      </c>
      <c r="D205">
        <v>31</v>
      </c>
      <c r="E205" s="1" t="s">
        <v>111</v>
      </c>
      <c r="F205">
        <v>46</v>
      </c>
      <c r="G205">
        <v>1329</v>
      </c>
      <c r="H205">
        <v>14.3</v>
      </c>
      <c r="I205">
        <v>0.58199999999999996</v>
      </c>
      <c r="J205">
        <v>0.21</v>
      </c>
      <c r="K205">
        <v>0.35399999999999998</v>
      </c>
      <c r="L205">
        <v>3.8</v>
      </c>
      <c r="M205">
        <v>23.2</v>
      </c>
      <c r="N205">
        <v>13.8</v>
      </c>
      <c r="O205">
        <v>32.5</v>
      </c>
      <c r="P205">
        <v>2.2000000000000002</v>
      </c>
      <c r="Q205">
        <v>3.6</v>
      </c>
      <c r="R205">
        <v>31.9</v>
      </c>
      <c r="S205">
        <v>14.3</v>
      </c>
      <c r="T205" s="1" t="s">
        <v>707</v>
      </c>
      <c r="U205">
        <v>0.8</v>
      </c>
      <c r="V205">
        <v>2.8</v>
      </c>
      <c r="W205">
        <v>3.6</v>
      </c>
      <c r="X205">
        <v>0.13100000000000001</v>
      </c>
      <c r="Y205" s="1" t="s">
        <v>707</v>
      </c>
      <c r="Z205">
        <v>-1.4</v>
      </c>
      <c r="AA205">
        <v>4.5999999999999996</v>
      </c>
      <c r="AB205">
        <v>3.2</v>
      </c>
      <c r="AC205">
        <v>1.8</v>
      </c>
    </row>
    <row r="206" spans="1:29" x14ac:dyDescent="0.35">
      <c r="A206">
        <v>205</v>
      </c>
      <c r="B206" s="1" t="s">
        <v>272</v>
      </c>
      <c r="C206" s="1" t="s">
        <v>41</v>
      </c>
      <c r="D206">
        <v>19</v>
      </c>
      <c r="E206" s="1" t="s">
        <v>170</v>
      </c>
      <c r="F206">
        <v>67</v>
      </c>
      <c r="G206">
        <v>2138</v>
      </c>
      <c r="H206">
        <v>12.5</v>
      </c>
      <c r="I206">
        <v>0.54700000000000004</v>
      </c>
      <c r="J206">
        <v>0.48</v>
      </c>
      <c r="K206">
        <v>0.247</v>
      </c>
      <c r="L206">
        <v>1.7</v>
      </c>
      <c r="M206">
        <v>10</v>
      </c>
      <c r="N206">
        <v>5.8</v>
      </c>
      <c r="O206">
        <v>13.1</v>
      </c>
      <c r="P206">
        <v>1</v>
      </c>
      <c r="Q206">
        <v>0.8</v>
      </c>
      <c r="R206">
        <v>11.3</v>
      </c>
      <c r="S206">
        <v>23.7</v>
      </c>
      <c r="T206" s="1" t="s">
        <v>707</v>
      </c>
      <c r="U206">
        <v>0.5</v>
      </c>
      <c r="V206">
        <v>0.2</v>
      </c>
      <c r="W206">
        <v>0.7</v>
      </c>
      <c r="X206">
        <v>1.4999999999999999E-2</v>
      </c>
      <c r="Y206" s="1" t="s">
        <v>707</v>
      </c>
      <c r="Z206">
        <v>-0.5</v>
      </c>
      <c r="AA206">
        <v>-2.4</v>
      </c>
      <c r="AB206">
        <v>-2.9</v>
      </c>
      <c r="AC206">
        <v>-0.5</v>
      </c>
    </row>
    <row r="207" spans="1:29" x14ac:dyDescent="0.35">
      <c r="A207">
        <v>206</v>
      </c>
      <c r="B207" s="1" t="s">
        <v>273</v>
      </c>
      <c r="C207" s="1" t="s">
        <v>28</v>
      </c>
      <c r="D207">
        <v>31</v>
      </c>
      <c r="E207" s="1" t="s">
        <v>86</v>
      </c>
      <c r="F207">
        <v>67</v>
      </c>
      <c r="G207">
        <v>1085</v>
      </c>
      <c r="H207">
        <v>14.1</v>
      </c>
      <c r="I207">
        <v>0.58699999999999997</v>
      </c>
      <c r="J207">
        <v>0.379</v>
      </c>
      <c r="K207">
        <v>0.28399999999999997</v>
      </c>
      <c r="L207">
        <v>8.6</v>
      </c>
      <c r="M207">
        <v>19.899999999999999</v>
      </c>
      <c r="N207">
        <v>14.5</v>
      </c>
      <c r="O207">
        <v>7.6</v>
      </c>
      <c r="P207">
        <v>1.9</v>
      </c>
      <c r="Q207">
        <v>2.2000000000000002</v>
      </c>
      <c r="R207">
        <v>13.4</v>
      </c>
      <c r="S207">
        <v>17.2</v>
      </c>
      <c r="T207" s="1" t="s">
        <v>707</v>
      </c>
      <c r="U207">
        <v>1.2</v>
      </c>
      <c r="V207">
        <v>1.4</v>
      </c>
      <c r="W207">
        <v>2.7</v>
      </c>
      <c r="X207">
        <v>0.11799999999999999</v>
      </c>
      <c r="Y207" s="1" t="s">
        <v>707</v>
      </c>
      <c r="Z207">
        <v>-2</v>
      </c>
      <c r="AA207">
        <v>0.1</v>
      </c>
      <c r="AB207">
        <v>-1.8</v>
      </c>
      <c r="AC207">
        <v>0</v>
      </c>
    </row>
    <row r="208" spans="1:29" x14ac:dyDescent="0.35">
      <c r="A208">
        <v>207</v>
      </c>
      <c r="B208" s="1" t="s">
        <v>274</v>
      </c>
      <c r="C208" s="1" t="s">
        <v>51</v>
      </c>
      <c r="D208">
        <v>28</v>
      </c>
      <c r="E208" s="1" t="s">
        <v>75</v>
      </c>
      <c r="F208">
        <v>65</v>
      </c>
      <c r="G208">
        <v>1519</v>
      </c>
      <c r="H208">
        <v>14</v>
      </c>
      <c r="I208">
        <v>0.63700000000000001</v>
      </c>
      <c r="J208">
        <v>0.311</v>
      </c>
      <c r="K208">
        <v>0.29499999999999998</v>
      </c>
      <c r="L208">
        <v>6.8</v>
      </c>
      <c r="M208">
        <v>13.6</v>
      </c>
      <c r="N208">
        <v>10.199999999999999</v>
      </c>
      <c r="O208">
        <v>5.3</v>
      </c>
      <c r="P208">
        <v>2.2000000000000002</v>
      </c>
      <c r="Q208">
        <v>1.8</v>
      </c>
      <c r="R208">
        <v>7.6</v>
      </c>
      <c r="S208">
        <v>11.5</v>
      </c>
      <c r="T208" s="1" t="s">
        <v>707</v>
      </c>
      <c r="U208">
        <v>2.9</v>
      </c>
      <c r="V208">
        <v>1.5</v>
      </c>
      <c r="W208">
        <v>4.4000000000000004</v>
      </c>
      <c r="X208">
        <v>0.13900000000000001</v>
      </c>
      <c r="Y208" s="1" t="s">
        <v>707</v>
      </c>
      <c r="Z208">
        <v>-0.6</v>
      </c>
      <c r="AA208">
        <v>0.7</v>
      </c>
      <c r="AB208">
        <v>0.1</v>
      </c>
      <c r="AC208">
        <v>0.8</v>
      </c>
    </row>
    <row r="209" spans="1:29" x14ac:dyDescent="0.35">
      <c r="A209">
        <v>208</v>
      </c>
      <c r="B209" s="1" t="s">
        <v>275</v>
      </c>
      <c r="C209" s="1" t="s">
        <v>31</v>
      </c>
      <c r="D209">
        <v>35</v>
      </c>
      <c r="E209" s="1" t="s">
        <v>86</v>
      </c>
      <c r="F209">
        <v>75</v>
      </c>
      <c r="G209">
        <v>1849</v>
      </c>
      <c r="H209">
        <v>12.5</v>
      </c>
      <c r="I209">
        <v>0.627</v>
      </c>
      <c r="J209">
        <v>0.318</v>
      </c>
      <c r="K209">
        <v>0.374</v>
      </c>
      <c r="L209">
        <v>2.6</v>
      </c>
      <c r="M209">
        <v>11.1</v>
      </c>
      <c r="N209">
        <v>7</v>
      </c>
      <c r="O209">
        <v>7.3</v>
      </c>
      <c r="P209">
        <v>0.7</v>
      </c>
      <c r="Q209">
        <v>1.3</v>
      </c>
      <c r="R209">
        <v>10.3</v>
      </c>
      <c r="S209">
        <v>16.3</v>
      </c>
      <c r="T209" s="1" t="s">
        <v>707</v>
      </c>
      <c r="U209">
        <v>2.7</v>
      </c>
      <c r="V209">
        <v>1.2</v>
      </c>
      <c r="W209">
        <v>3.9</v>
      </c>
      <c r="X209">
        <v>0.10100000000000001</v>
      </c>
      <c r="Y209" s="1" t="s">
        <v>707</v>
      </c>
      <c r="Z209">
        <v>-1.2</v>
      </c>
      <c r="AA209">
        <v>-1.2</v>
      </c>
      <c r="AB209">
        <v>-2.5</v>
      </c>
      <c r="AC209">
        <v>-0.2</v>
      </c>
    </row>
    <row r="210" spans="1:29" x14ac:dyDescent="0.35">
      <c r="A210">
        <v>209</v>
      </c>
      <c r="B210" s="1" t="s">
        <v>276</v>
      </c>
      <c r="C210" s="1" t="s">
        <v>41</v>
      </c>
      <c r="D210">
        <v>21</v>
      </c>
      <c r="E210" s="1" t="s">
        <v>143</v>
      </c>
      <c r="F210">
        <v>67</v>
      </c>
      <c r="G210">
        <v>1039</v>
      </c>
      <c r="H210">
        <v>11.9</v>
      </c>
      <c r="I210">
        <v>0.57799999999999996</v>
      </c>
      <c r="J210">
        <v>0.30499999999999999</v>
      </c>
      <c r="K210">
        <v>0.17599999999999999</v>
      </c>
      <c r="L210">
        <v>5.6</v>
      </c>
      <c r="M210">
        <v>11.7</v>
      </c>
      <c r="N210">
        <v>8.6</v>
      </c>
      <c r="O210">
        <v>11</v>
      </c>
      <c r="P210">
        <v>2.2000000000000002</v>
      </c>
      <c r="Q210">
        <v>1.2</v>
      </c>
      <c r="R210">
        <v>13.8</v>
      </c>
      <c r="S210">
        <v>13.9</v>
      </c>
      <c r="T210" s="1" t="s">
        <v>707</v>
      </c>
      <c r="U210">
        <v>1</v>
      </c>
      <c r="V210">
        <v>1.4</v>
      </c>
      <c r="W210">
        <v>2.4</v>
      </c>
      <c r="X210">
        <v>0.111</v>
      </c>
      <c r="Y210" s="1" t="s">
        <v>707</v>
      </c>
      <c r="Z210">
        <v>-2.4</v>
      </c>
      <c r="AA210">
        <v>1.4</v>
      </c>
      <c r="AB210">
        <v>-1</v>
      </c>
      <c r="AC210">
        <v>0.3</v>
      </c>
    </row>
    <row r="211" spans="1:29" x14ac:dyDescent="0.35">
      <c r="A211">
        <v>210</v>
      </c>
      <c r="B211" s="1" t="s">
        <v>277</v>
      </c>
      <c r="C211" s="1" t="s">
        <v>28</v>
      </c>
      <c r="D211">
        <v>32</v>
      </c>
      <c r="E211" s="1" t="s">
        <v>39</v>
      </c>
      <c r="F211">
        <v>56</v>
      </c>
      <c r="G211">
        <v>958</v>
      </c>
      <c r="H211">
        <v>13.7</v>
      </c>
      <c r="I211">
        <v>0.51800000000000002</v>
      </c>
      <c r="J211">
        <v>0.46300000000000002</v>
      </c>
      <c r="K211">
        <v>0.24299999999999999</v>
      </c>
      <c r="L211">
        <v>7</v>
      </c>
      <c r="M211">
        <v>18.600000000000001</v>
      </c>
      <c r="N211">
        <v>13</v>
      </c>
      <c r="O211">
        <v>15</v>
      </c>
      <c r="P211">
        <v>1.4</v>
      </c>
      <c r="Q211">
        <v>1.3</v>
      </c>
      <c r="R211">
        <v>8.1999999999999993</v>
      </c>
      <c r="S211">
        <v>16.899999999999999</v>
      </c>
      <c r="T211" s="1" t="s">
        <v>707</v>
      </c>
      <c r="U211">
        <v>1.2</v>
      </c>
      <c r="V211">
        <v>0.9</v>
      </c>
      <c r="W211">
        <v>2.1</v>
      </c>
      <c r="X211">
        <v>0.106</v>
      </c>
      <c r="Y211" s="1" t="s">
        <v>707</v>
      </c>
      <c r="Z211">
        <v>-0.6</v>
      </c>
      <c r="AA211">
        <v>0.1</v>
      </c>
      <c r="AB211">
        <v>-0.6</v>
      </c>
      <c r="AC211">
        <v>0.3</v>
      </c>
    </row>
    <row r="212" spans="1:29" x14ac:dyDescent="0.35">
      <c r="A212">
        <v>211</v>
      </c>
      <c r="B212" s="1" t="s">
        <v>278</v>
      </c>
      <c r="C212" s="1" t="s">
        <v>41</v>
      </c>
      <c r="D212">
        <v>21</v>
      </c>
      <c r="E212" s="1" t="s">
        <v>61</v>
      </c>
      <c r="F212">
        <v>46</v>
      </c>
      <c r="G212">
        <v>786</v>
      </c>
      <c r="H212">
        <v>10.7</v>
      </c>
      <c r="I212">
        <v>0.56499999999999995</v>
      </c>
      <c r="J212">
        <v>0.80400000000000005</v>
      </c>
      <c r="K212">
        <v>8.1000000000000003E-2</v>
      </c>
      <c r="L212">
        <v>3.2</v>
      </c>
      <c r="M212">
        <v>9.8000000000000007</v>
      </c>
      <c r="N212">
        <v>6.4</v>
      </c>
      <c r="O212">
        <v>8.5</v>
      </c>
      <c r="P212">
        <v>2</v>
      </c>
      <c r="Q212">
        <v>1.4</v>
      </c>
      <c r="R212">
        <v>10.3</v>
      </c>
      <c r="S212">
        <v>15.1</v>
      </c>
      <c r="T212" s="1" t="s">
        <v>707</v>
      </c>
      <c r="U212">
        <v>0.6</v>
      </c>
      <c r="V212">
        <v>0.9</v>
      </c>
      <c r="W212">
        <v>1.4</v>
      </c>
      <c r="X212">
        <v>8.6999999999999994E-2</v>
      </c>
      <c r="Y212" s="1" t="s">
        <v>707</v>
      </c>
      <c r="Z212">
        <v>-1.2</v>
      </c>
      <c r="AA212">
        <v>0.9</v>
      </c>
      <c r="AB212">
        <v>-0.3</v>
      </c>
      <c r="AC212">
        <v>0.3</v>
      </c>
    </row>
    <row r="213" spans="1:29" x14ac:dyDescent="0.35">
      <c r="A213">
        <v>212</v>
      </c>
      <c r="B213" s="1" t="s">
        <v>279</v>
      </c>
      <c r="C213" s="1" t="s">
        <v>41</v>
      </c>
      <c r="D213">
        <v>24</v>
      </c>
      <c r="E213" s="1" t="s">
        <v>36</v>
      </c>
      <c r="F213">
        <v>19</v>
      </c>
      <c r="G213">
        <v>186</v>
      </c>
      <c r="H213">
        <v>9.5</v>
      </c>
      <c r="I213">
        <v>0.52600000000000002</v>
      </c>
      <c r="J213">
        <v>0.61499999999999999</v>
      </c>
      <c r="K213">
        <v>0.185</v>
      </c>
      <c r="L213">
        <v>2.5</v>
      </c>
      <c r="M213">
        <v>7.8</v>
      </c>
      <c r="N213">
        <v>5.2</v>
      </c>
      <c r="O213">
        <v>13.5</v>
      </c>
      <c r="P213">
        <v>1.9</v>
      </c>
      <c r="Q213">
        <v>0.6</v>
      </c>
      <c r="R213">
        <v>15.6</v>
      </c>
      <c r="S213">
        <v>19.899999999999999</v>
      </c>
      <c r="T213" s="1" t="s">
        <v>707</v>
      </c>
      <c r="U213">
        <v>-0.1</v>
      </c>
      <c r="V213">
        <v>0.2</v>
      </c>
      <c r="W213">
        <v>0.1</v>
      </c>
      <c r="X213">
        <v>3.5000000000000003E-2</v>
      </c>
      <c r="Y213" s="1" t="s">
        <v>707</v>
      </c>
      <c r="Z213">
        <v>-3.1</v>
      </c>
      <c r="AA213">
        <v>-0.3</v>
      </c>
      <c r="AB213">
        <v>-3.4</v>
      </c>
      <c r="AC213">
        <v>-0.1</v>
      </c>
    </row>
    <row r="214" spans="1:29" x14ac:dyDescent="0.35">
      <c r="A214">
        <v>213</v>
      </c>
      <c r="B214" s="1" t="s">
        <v>280</v>
      </c>
      <c r="C214" s="1" t="s">
        <v>28</v>
      </c>
      <c r="D214">
        <v>23</v>
      </c>
      <c r="E214" s="1" t="s">
        <v>65</v>
      </c>
      <c r="F214">
        <v>42</v>
      </c>
      <c r="G214">
        <v>943</v>
      </c>
      <c r="H214">
        <v>14.9</v>
      </c>
      <c r="I214">
        <v>0.57899999999999996</v>
      </c>
      <c r="J214">
        <v>0.32300000000000001</v>
      </c>
      <c r="K214">
        <v>0.17299999999999999</v>
      </c>
      <c r="L214">
        <v>3</v>
      </c>
      <c r="M214">
        <v>15.6</v>
      </c>
      <c r="N214">
        <v>9.4</v>
      </c>
      <c r="O214">
        <v>7.9</v>
      </c>
      <c r="P214">
        <v>1.2</v>
      </c>
      <c r="Q214">
        <v>0.8</v>
      </c>
      <c r="R214">
        <v>7.4</v>
      </c>
      <c r="S214">
        <v>20.9</v>
      </c>
      <c r="T214" s="1" t="s">
        <v>707</v>
      </c>
      <c r="U214">
        <v>0.9</v>
      </c>
      <c r="V214">
        <v>0.6</v>
      </c>
      <c r="W214">
        <v>1.4</v>
      </c>
      <c r="X214">
        <v>7.2999999999999995E-2</v>
      </c>
      <c r="Y214" s="1" t="s">
        <v>707</v>
      </c>
      <c r="Z214">
        <v>0.2</v>
      </c>
      <c r="AA214">
        <v>-1.7</v>
      </c>
      <c r="AB214">
        <v>-1.5</v>
      </c>
      <c r="AC214">
        <v>0.1</v>
      </c>
    </row>
    <row r="215" spans="1:29" x14ac:dyDescent="0.35">
      <c r="A215">
        <v>214</v>
      </c>
      <c r="B215" s="1" t="s">
        <v>281</v>
      </c>
      <c r="C215" s="1" t="s">
        <v>132</v>
      </c>
      <c r="D215">
        <v>21</v>
      </c>
      <c r="E215" s="1" t="s">
        <v>42</v>
      </c>
      <c r="F215">
        <v>77</v>
      </c>
      <c r="G215">
        <v>2695</v>
      </c>
      <c r="H215">
        <v>18.2</v>
      </c>
      <c r="I215">
        <v>0.59499999999999997</v>
      </c>
      <c r="J215">
        <v>0.42799999999999999</v>
      </c>
      <c r="K215">
        <v>0.20899999999999999</v>
      </c>
      <c r="L215">
        <v>2.5</v>
      </c>
      <c r="M215">
        <v>10.3</v>
      </c>
      <c r="N215">
        <v>6.3</v>
      </c>
      <c r="O215">
        <v>34.1</v>
      </c>
      <c r="P215">
        <v>2.4</v>
      </c>
      <c r="Q215">
        <v>1.6</v>
      </c>
      <c r="R215">
        <v>16.7</v>
      </c>
      <c r="S215">
        <v>19</v>
      </c>
      <c r="T215" s="1" t="s">
        <v>707</v>
      </c>
      <c r="U215">
        <v>5.2</v>
      </c>
      <c r="V215">
        <v>1.8</v>
      </c>
      <c r="W215">
        <v>7</v>
      </c>
      <c r="X215">
        <v>0.125</v>
      </c>
      <c r="Y215" s="1" t="s">
        <v>707</v>
      </c>
      <c r="Z215">
        <v>2.7</v>
      </c>
      <c r="AA215">
        <v>-0.1</v>
      </c>
      <c r="AB215">
        <v>2.6</v>
      </c>
      <c r="AC215">
        <v>3.1</v>
      </c>
    </row>
    <row r="216" spans="1:29" x14ac:dyDescent="0.35">
      <c r="A216">
        <v>215</v>
      </c>
      <c r="B216" s="1" t="s">
        <v>282</v>
      </c>
      <c r="C216" s="1" t="s">
        <v>41</v>
      </c>
      <c r="D216">
        <v>24</v>
      </c>
      <c r="E216" s="1" t="s">
        <v>61</v>
      </c>
      <c r="F216">
        <v>1</v>
      </c>
      <c r="G216">
        <v>2</v>
      </c>
      <c r="H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S216">
        <v>0</v>
      </c>
      <c r="T216" s="1" t="s">
        <v>707</v>
      </c>
      <c r="U216">
        <v>0</v>
      </c>
      <c r="V216">
        <v>0</v>
      </c>
      <c r="W216">
        <v>0</v>
      </c>
      <c r="X216">
        <v>7.0000000000000001E-3</v>
      </c>
      <c r="Y216" s="1" t="s">
        <v>707</v>
      </c>
      <c r="Z216">
        <v>-8.1</v>
      </c>
      <c r="AA216">
        <v>-0.5</v>
      </c>
      <c r="AB216">
        <v>-8.5</v>
      </c>
      <c r="AC216">
        <v>0</v>
      </c>
    </row>
    <row r="217" spans="1:29" x14ac:dyDescent="0.35">
      <c r="A217">
        <v>216</v>
      </c>
      <c r="B217" s="1" t="s">
        <v>283</v>
      </c>
      <c r="C217" s="1" t="s">
        <v>41</v>
      </c>
      <c r="D217">
        <v>20</v>
      </c>
      <c r="E217" s="1" t="s">
        <v>58</v>
      </c>
      <c r="F217">
        <v>64</v>
      </c>
      <c r="G217">
        <v>1402</v>
      </c>
      <c r="H217">
        <v>8.5</v>
      </c>
      <c r="I217">
        <v>0.48099999999999998</v>
      </c>
      <c r="J217">
        <v>0.4</v>
      </c>
      <c r="K217">
        <v>0.25600000000000001</v>
      </c>
      <c r="L217">
        <v>1.7</v>
      </c>
      <c r="M217">
        <v>12.9</v>
      </c>
      <c r="N217">
        <v>7.3</v>
      </c>
      <c r="O217">
        <v>16.899999999999999</v>
      </c>
      <c r="P217">
        <v>1.4</v>
      </c>
      <c r="Q217">
        <v>0.8</v>
      </c>
      <c r="R217">
        <v>14.6</v>
      </c>
      <c r="S217">
        <v>18.399999999999999</v>
      </c>
      <c r="T217" s="1" t="s">
        <v>707</v>
      </c>
      <c r="U217">
        <v>-1.3</v>
      </c>
      <c r="V217">
        <v>1.1000000000000001</v>
      </c>
      <c r="W217">
        <v>-0.2</v>
      </c>
      <c r="X217">
        <v>-5.0000000000000001E-3</v>
      </c>
      <c r="Y217" s="1" t="s">
        <v>707</v>
      </c>
      <c r="Z217">
        <v>-4</v>
      </c>
      <c r="AA217">
        <v>-0.1</v>
      </c>
      <c r="AB217">
        <v>-4.0999999999999996</v>
      </c>
      <c r="AC217">
        <v>-0.7</v>
      </c>
    </row>
    <row r="218" spans="1:29" x14ac:dyDescent="0.35">
      <c r="A218">
        <v>217</v>
      </c>
      <c r="B218" s="1" t="s">
        <v>284</v>
      </c>
      <c r="C218" s="1" t="s">
        <v>41</v>
      </c>
      <c r="D218">
        <v>29</v>
      </c>
      <c r="E218" s="1" t="s">
        <v>143</v>
      </c>
      <c r="F218">
        <v>42</v>
      </c>
      <c r="G218">
        <v>1245</v>
      </c>
      <c r="H218">
        <v>12.7</v>
      </c>
      <c r="I218">
        <v>0.52</v>
      </c>
      <c r="J218">
        <v>0.57399999999999995</v>
      </c>
      <c r="K218">
        <v>0.19400000000000001</v>
      </c>
      <c r="L218">
        <v>1.2</v>
      </c>
      <c r="M218">
        <v>12.8</v>
      </c>
      <c r="N218">
        <v>7</v>
      </c>
      <c r="O218">
        <v>11.4</v>
      </c>
      <c r="P218">
        <v>1.5</v>
      </c>
      <c r="Q218">
        <v>0.4</v>
      </c>
      <c r="R218">
        <v>5.6</v>
      </c>
      <c r="S218">
        <v>22</v>
      </c>
      <c r="T218" s="1" t="s">
        <v>707</v>
      </c>
      <c r="U218">
        <v>0.5</v>
      </c>
      <c r="V218">
        <v>1.5</v>
      </c>
      <c r="W218">
        <v>2</v>
      </c>
      <c r="X218">
        <v>7.6999999999999999E-2</v>
      </c>
      <c r="Y218" s="1" t="s">
        <v>707</v>
      </c>
      <c r="Z218">
        <v>-0.4</v>
      </c>
      <c r="AA218">
        <v>0.2</v>
      </c>
      <c r="AB218">
        <v>-0.2</v>
      </c>
      <c r="AC218">
        <v>0.6</v>
      </c>
    </row>
    <row r="219" spans="1:29" x14ac:dyDescent="0.35">
      <c r="A219">
        <v>218</v>
      </c>
      <c r="B219" s="1" t="s">
        <v>285</v>
      </c>
      <c r="C219" s="1" t="s">
        <v>286</v>
      </c>
      <c r="D219">
        <v>32</v>
      </c>
      <c r="E219" s="1" t="s">
        <v>42</v>
      </c>
      <c r="F219">
        <v>65</v>
      </c>
      <c r="G219">
        <v>2419</v>
      </c>
      <c r="H219">
        <v>20.9</v>
      </c>
      <c r="I219">
        <v>0.58299999999999996</v>
      </c>
      <c r="J219">
        <v>0.45200000000000001</v>
      </c>
      <c r="K219">
        <v>0.54</v>
      </c>
      <c r="L219">
        <v>2.6</v>
      </c>
      <c r="M219">
        <v>19.7</v>
      </c>
      <c r="N219">
        <v>11.3</v>
      </c>
      <c r="O219">
        <v>40.299999999999997</v>
      </c>
      <c r="P219">
        <v>1.7</v>
      </c>
      <c r="Q219">
        <v>1.3</v>
      </c>
      <c r="R219">
        <v>18.8</v>
      </c>
      <c r="S219">
        <v>27.2</v>
      </c>
      <c r="T219" s="1" t="s">
        <v>707</v>
      </c>
      <c r="U219">
        <v>4.9000000000000004</v>
      </c>
      <c r="V219">
        <v>2.7</v>
      </c>
      <c r="W219">
        <v>7.6</v>
      </c>
      <c r="X219">
        <v>0.152</v>
      </c>
      <c r="Y219" s="1" t="s">
        <v>707</v>
      </c>
      <c r="Z219">
        <v>3.7</v>
      </c>
      <c r="AA219">
        <v>0.3</v>
      </c>
      <c r="AB219">
        <v>4.0999999999999996</v>
      </c>
      <c r="AC219">
        <v>3.7</v>
      </c>
    </row>
    <row r="220" spans="1:29" x14ac:dyDescent="0.35">
      <c r="A220">
        <v>219</v>
      </c>
      <c r="B220" s="1" t="s">
        <v>287</v>
      </c>
      <c r="C220" s="1" t="s">
        <v>51</v>
      </c>
      <c r="D220">
        <v>28</v>
      </c>
      <c r="E220" s="1" t="s">
        <v>82</v>
      </c>
      <c r="F220">
        <v>47</v>
      </c>
      <c r="G220">
        <v>863</v>
      </c>
      <c r="H220">
        <v>7.7</v>
      </c>
      <c r="I220">
        <v>0.56100000000000005</v>
      </c>
      <c r="J220">
        <v>0.55800000000000005</v>
      </c>
      <c r="K220">
        <v>0.155</v>
      </c>
      <c r="L220">
        <v>1.5</v>
      </c>
      <c r="M220">
        <v>12.7</v>
      </c>
      <c r="N220">
        <v>7.1</v>
      </c>
      <c r="O220">
        <v>3.6</v>
      </c>
      <c r="P220">
        <v>1.6</v>
      </c>
      <c r="Q220">
        <v>2.4</v>
      </c>
      <c r="R220">
        <v>13.8</v>
      </c>
      <c r="S220">
        <v>11.2</v>
      </c>
      <c r="T220" s="1" t="s">
        <v>707</v>
      </c>
      <c r="U220">
        <v>-0.1</v>
      </c>
      <c r="V220">
        <v>0.6</v>
      </c>
      <c r="W220">
        <v>0.5</v>
      </c>
      <c r="X220">
        <v>2.5999999999999999E-2</v>
      </c>
      <c r="Y220" s="1" t="s">
        <v>707</v>
      </c>
      <c r="Z220">
        <v>-3.7</v>
      </c>
      <c r="AA220">
        <v>0.4</v>
      </c>
      <c r="AB220">
        <v>-3.3</v>
      </c>
      <c r="AC220">
        <v>-0.3</v>
      </c>
    </row>
    <row r="221" spans="1:29" x14ac:dyDescent="0.35">
      <c r="A221">
        <v>220</v>
      </c>
      <c r="B221" s="1" t="s">
        <v>288</v>
      </c>
      <c r="C221" s="1" t="s">
        <v>48</v>
      </c>
      <c r="D221">
        <v>24</v>
      </c>
      <c r="E221" s="1" t="s">
        <v>49</v>
      </c>
      <c r="F221">
        <v>5</v>
      </c>
      <c r="G221">
        <v>43</v>
      </c>
      <c r="H221">
        <v>36.9</v>
      </c>
      <c r="I221">
        <v>0.66600000000000004</v>
      </c>
      <c r="J221">
        <v>0.46200000000000002</v>
      </c>
      <c r="K221">
        <v>0.154</v>
      </c>
      <c r="L221">
        <v>5</v>
      </c>
      <c r="M221">
        <v>0</v>
      </c>
      <c r="N221">
        <v>2.6</v>
      </c>
      <c r="O221">
        <v>64.099999999999994</v>
      </c>
      <c r="P221">
        <v>4.5999999999999996</v>
      </c>
      <c r="Q221">
        <v>2.2000000000000002</v>
      </c>
      <c r="R221">
        <v>6.7</v>
      </c>
      <c r="S221">
        <v>29.7</v>
      </c>
      <c r="T221" s="1" t="s">
        <v>707</v>
      </c>
      <c r="U221">
        <v>0.3</v>
      </c>
      <c r="V221">
        <v>0.1</v>
      </c>
      <c r="W221">
        <v>0.4</v>
      </c>
      <c r="X221">
        <v>0.42199999999999999</v>
      </c>
      <c r="Y221" s="1" t="s">
        <v>707</v>
      </c>
      <c r="Z221">
        <v>14.2</v>
      </c>
      <c r="AA221">
        <v>3.1</v>
      </c>
      <c r="AB221">
        <v>17.3</v>
      </c>
      <c r="AC221">
        <v>0.2</v>
      </c>
    </row>
    <row r="222" spans="1:29" x14ac:dyDescent="0.35">
      <c r="A222">
        <v>221</v>
      </c>
      <c r="B222" s="1" t="s">
        <v>289</v>
      </c>
      <c r="C222" s="1" t="s">
        <v>31</v>
      </c>
      <c r="D222">
        <v>28</v>
      </c>
      <c r="E222" s="1" t="s">
        <v>42</v>
      </c>
      <c r="F222">
        <v>71</v>
      </c>
      <c r="G222">
        <v>1641</v>
      </c>
      <c r="H222">
        <v>23.2</v>
      </c>
      <c r="I222">
        <v>0.68</v>
      </c>
      <c r="J222">
        <v>3.1E-2</v>
      </c>
      <c r="K222">
        <v>0.53300000000000003</v>
      </c>
      <c r="L222">
        <v>10</v>
      </c>
      <c r="M222">
        <v>18.7</v>
      </c>
      <c r="N222">
        <v>14.4</v>
      </c>
      <c r="O222">
        <v>13.9</v>
      </c>
      <c r="P222">
        <v>0.9</v>
      </c>
      <c r="Q222">
        <v>2.2999999999999998</v>
      </c>
      <c r="R222">
        <v>9.5</v>
      </c>
      <c r="S222">
        <v>20.2</v>
      </c>
      <c r="T222" s="1" t="s">
        <v>707</v>
      </c>
      <c r="U222">
        <v>6.1</v>
      </c>
      <c r="V222">
        <v>1.2</v>
      </c>
      <c r="W222">
        <v>7.3</v>
      </c>
      <c r="X222">
        <v>0.21299999999999999</v>
      </c>
      <c r="Y222" s="1" t="s">
        <v>707</v>
      </c>
      <c r="Z222">
        <v>3.7</v>
      </c>
      <c r="AA222">
        <v>0.1</v>
      </c>
      <c r="AB222">
        <v>3.9</v>
      </c>
      <c r="AC222">
        <v>2.4</v>
      </c>
    </row>
    <row r="223" spans="1:29" x14ac:dyDescent="0.35">
      <c r="A223">
        <v>222</v>
      </c>
      <c r="B223" s="1" t="s">
        <v>290</v>
      </c>
      <c r="C223" s="1" t="s">
        <v>41</v>
      </c>
      <c r="D223">
        <v>27</v>
      </c>
      <c r="E223" s="1" t="s">
        <v>58</v>
      </c>
      <c r="F223">
        <v>61</v>
      </c>
      <c r="G223">
        <v>1730</v>
      </c>
      <c r="H223">
        <v>10.9</v>
      </c>
      <c r="I223">
        <v>0.57099999999999995</v>
      </c>
      <c r="J223">
        <v>0.54600000000000004</v>
      </c>
      <c r="K223">
        <v>0.17199999999999999</v>
      </c>
      <c r="L223">
        <v>2.2000000000000002</v>
      </c>
      <c r="M223">
        <v>5.3</v>
      </c>
      <c r="N223">
        <v>3.7</v>
      </c>
      <c r="O223">
        <v>9.5</v>
      </c>
      <c r="P223">
        <v>1.6</v>
      </c>
      <c r="Q223">
        <v>0.5</v>
      </c>
      <c r="R223">
        <v>9.3000000000000007</v>
      </c>
      <c r="S223">
        <v>16.399999999999999</v>
      </c>
      <c r="T223" s="1" t="s">
        <v>707</v>
      </c>
      <c r="U223">
        <v>1.1000000000000001</v>
      </c>
      <c r="V223">
        <v>1</v>
      </c>
      <c r="W223">
        <v>2.2000000000000002</v>
      </c>
      <c r="X223">
        <v>0.06</v>
      </c>
      <c r="Y223" s="1" t="s">
        <v>707</v>
      </c>
      <c r="Z223">
        <v>-2</v>
      </c>
      <c r="AA223">
        <v>-0.4</v>
      </c>
      <c r="AB223">
        <v>-2.4</v>
      </c>
      <c r="AC223">
        <v>-0.2</v>
      </c>
    </row>
    <row r="224" spans="1:29" x14ac:dyDescent="0.35">
      <c r="A224">
        <v>223</v>
      </c>
      <c r="B224" s="1" t="s">
        <v>291</v>
      </c>
      <c r="C224" s="1" t="s">
        <v>51</v>
      </c>
      <c r="D224">
        <v>30</v>
      </c>
      <c r="E224" s="1" t="s">
        <v>39</v>
      </c>
      <c r="F224">
        <v>14</v>
      </c>
      <c r="G224">
        <v>423</v>
      </c>
      <c r="H224">
        <v>9.6</v>
      </c>
      <c r="I224">
        <v>0.624</v>
      </c>
      <c r="J224">
        <v>0.71</v>
      </c>
      <c r="K224">
        <v>4.8000000000000001E-2</v>
      </c>
      <c r="L224">
        <v>1.3</v>
      </c>
      <c r="M224">
        <v>12.8</v>
      </c>
      <c r="N224">
        <v>7.2</v>
      </c>
      <c r="O224">
        <v>4.5</v>
      </c>
      <c r="P224">
        <v>0.8</v>
      </c>
      <c r="Q224">
        <v>0.4</v>
      </c>
      <c r="R224">
        <v>11.2</v>
      </c>
      <c r="S224">
        <v>14.5</v>
      </c>
      <c r="T224" s="1" t="s">
        <v>707</v>
      </c>
      <c r="U224">
        <v>0.3</v>
      </c>
      <c r="V224">
        <v>0.2</v>
      </c>
      <c r="W224">
        <v>0.5</v>
      </c>
      <c r="X224">
        <v>0.06</v>
      </c>
      <c r="Y224" s="1" t="s">
        <v>707</v>
      </c>
      <c r="Z224">
        <v>-0.9</v>
      </c>
      <c r="AA224">
        <v>-0.5</v>
      </c>
      <c r="AB224">
        <v>-1.4</v>
      </c>
      <c r="AC224">
        <v>0.1</v>
      </c>
    </row>
    <row r="225" spans="1:29" x14ac:dyDescent="0.35">
      <c r="A225">
        <v>224</v>
      </c>
      <c r="B225" s="1" t="s">
        <v>292</v>
      </c>
      <c r="C225" s="1" t="s">
        <v>28</v>
      </c>
      <c r="D225">
        <v>29</v>
      </c>
      <c r="E225" s="1" t="s">
        <v>89</v>
      </c>
      <c r="F225">
        <v>73</v>
      </c>
      <c r="G225">
        <v>2543</v>
      </c>
      <c r="H225">
        <v>15.9</v>
      </c>
      <c r="I225">
        <v>0.56599999999999995</v>
      </c>
      <c r="J225">
        <v>0.26900000000000002</v>
      </c>
      <c r="K225">
        <v>0.19800000000000001</v>
      </c>
      <c r="L225">
        <v>3.4</v>
      </c>
      <c r="M225">
        <v>18.100000000000001</v>
      </c>
      <c r="N225">
        <v>10.9</v>
      </c>
      <c r="O225">
        <v>15.9</v>
      </c>
      <c r="P225">
        <v>0.9</v>
      </c>
      <c r="Q225">
        <v>1.5</v>
      </c>
      <c r="R225">
        <v>9.5</v>
      </c>
      <c r="S225">
        <v>21.7</v>
      </c>
      <c r="T225" s="1" t="s">
        <v>707</v>
      </c>
      <c r="U225">
        <v>3</v>
      </c>
      <c r="V225">
        <v>2.6</v>
      </c>
      <c r="W225">
        <v>5.6</v>
      </c>
      <c r="X225">
        <v>0.105</v>
      </c>
      <c r="Y225" s="1" t="s">
        <v>707</v>
      </c>
      <c r="Z225">
        <v>0.6</v>
      </c>
      <c r="AA225">
        <v>-0.6</v>
      </c>
      <c r="AB225">
        <v>0</v>
      </c>
      <c r="AC225">
        <v>1.3</v>
      </c>
    </row>
    <row r="226" spans="1:29" x14ac:dyDescent="0.35">
      <c r="A226">
        <v>225</v>
      </c>
      <c r="B226" s="1" t="s">
        <v>293</v>
      </c>
      <c r="C226" s="1" t="s">
        <v>41</v>
      </c>
      <c r="D226">
        <v>28</v>
      </c>
      <c r="E226" s="1" t="s">
        <v>39</v>
      </c>
      <c r="F226">
        <v>2</v>
      </c>
      <c r="G226">
        <v>23</v>
      </c>
      <c r="H226">
        <v>4.5999999999999996</v>
      </c>
      <c r="I226">
        <v>0.33300000000000002</v>
      </c>
      <c r="J226">
        <v>0.33300000000000002</v>
      </c>
      <c r="K226">
        <v>0</v>
      </c>
      <c r="L226">
        <v>4.9000000000000004</v>
      </c>
      <c r="M226">
        <v>13.8</v>
      </c>
      <c r="N226">
        <v>9.5</v>
      </c>
      <c r="O226">
        <v>16.600000000000001</v>
      </c>
      <c r="P226">
        <v>2.1</v>
      </c>
      <c r="Q226">
        <v>3.9</v>
      </c>
      <c r="R226">
        <v>25</v>
      </c>
      <c r="S226">
        <v>15</v>
      </c>
      <c r="T226" s="1" t="s">
        <v>707</v>
      </c>
      <c r="U226">
        <v>-0.1</v>
      </c>
      <c r="V226">
        <v>0</v>
      </c>
      <c r="W226">
        <v>0</v>
      </c>
      <c r="X226">
        <v>-6.7000000000000004E-2</v>
      </c>
      <c r="Y226" s="1" t="s">
        <v>707</v>
      </c>
      <c r="Z226">
        <v>-9</v>
      </c>
      <c r="AA226">
        <v>0.7</v>
      </c>
      <c r="AB226">
        <v>-8.3000000000000007</v>
      </c>
      <c r="AC226">
        <v>0</v>
      </c>
    </row>
    <row r="227" spans="1:29" x14ac:dyDescent="0.35">
      <c r="A227">
        <v>226</v>
      </c>
      <c r="B227" s="1" t="s">
        <v>294</v>
      </c>
      <c r="C227" s="1" t="s">
        <v>137</v>
      </c>
      <c r="D227">
        <v>26</v>
      </c>
      <c r="E227" s="1" t="s">
        <v>42</v>
      </c>
      <c r="F227">
        <v>54</v>
      </c>
      <c r="G227">
        <v>1791</v>
      </c>
      <c r="H227">
        <v>16.100000000000001</v>
      </c>
      <c r="I227">
        <v>0.61</v>
      </c>
      <c r="J227">
        <v>0.374</v>
      </c>
      <c r="K227">
        <v>0.371</v>
      </c>
      <c r="L227">
        <v>3.7</v>
      </c>
      <c r="M227">
        <v>20.7</v>
      </c>
      <c r="N227">
        <v>12</v>
      </c>
      <c r="O227">
        <v>18.899999999999999</v>
      </c>
      <c r="P227">
        <v>1.7</v>
      </c>
      <c r="Q227">
        <v>0.7</v>
      </c>
      <c r="R227">
        <v>14.7</v>
      </c>
      <c r="S227">
        <v>18.600000000000001</v>
      </c>
      <c r="T227" s="1" t="s">
        <v>707</v>
      </c>
      <c r="U227">
        <v>2.8</v>
      </c>
      <c r="V227">
        <v>1.5</v>
      </c>
      <c r="W227">
        <v>4.4000000000000004</v>
      </c>
      <c r="X227">
        <v>0.11700000000000001</v>
      </c>
      <c r="Y227" s="1" t="s">
        <v>707</v>
      </c>
      <c r="Z227">
        <v>0.5</v>
      </c>
      <c r="AA227">
        <v>0.5</v>
      </c>
      <c r="AB227">
        <v>1</v>
      </c>
      <c r="AC227">
        <v>1.4</v>
      </c>
    </row>
    <row r="228" spans="1:29" x14ac:dyDescent="0.35">
      <c r="A228">
        <v>227</v>
      </c>
      <c r="B228" s="1" t="s">
        <v>295</v>
      </c>
      <c r="C228" s="1" t="s">
        <v>31</v>
      </c>
      <c r="D228">
        <v>23</v>
      </c>
      <c r="E228" s="1" t="s">
        <v>93</v>
      </c>
      <c r="F228">
        <v>68</v>
      </c>
      <c r="G228">
        <v>1216</v>
      </c>
      <c r="H228">
        <v>22</v>
      </c>
      <c r="I228">
        <v>0.66400000000000003</v>
      </c>
      <c r="J228">
        <v>8.2000000000000003E-2</v>
      </c>
      <c r="K228">
        <v>0.36099999999999999</v>
      </c>
      <c r="L228">
        <v>10.5</v>
      </c>
      <c r="M228">
        <v>18.2</v>
      </c>
      <c r="N228">
        <v>14.5</v>
      </c>
      <c r="O228">
        <v>20.5</v>
      </c>
      <c r="P228">
        <v>2</v>
      </c>
      <c r="Q228">
        <v>5.4</v>
      </c>
      <c r="R228">
        <v>16.5</v>
      </c>
      <c r="S228">
        <v>18.399999999999999</v>
      </c>
      <c r="T228" s="1" t="s">
        <v>707</v>
      </c>
      <c r="U228">
        <v>3.3</v>
      </c>
      <c r="V228">
        <v>2.2000000000000002</v>
      </c>
      <c r="W228">
        <v>5.5</v>
      </c>
      <c r="X228">
        <v>0.215</v>
      </c>
      <c r="Y228" s="1" t="s">
        <v>707</v>
      </c>
      <c r="Z228">
        <v>1.4</v>
      </c>
      <c r="AA228">
        <v>3.1</v>
      </c>
      <c r="AB228">
        <v>4.5</v>
      </c>
      <c r="AC228">
        <v>2</v>
      </c>
    </row>
    <row r="229" spans="1:29" x14ac:dyDescent="0.35">
      <c r="A229">
        <v>228</v>
      </c>
      <c r="B229" s="1" t="s">
        <v>296</v>
      </c>
      <c r="C229" s="1" t="s">
        <v>31</v>
      </c>
      <c r="D229">
        <v>41</v>
      </c>
      <c r="E229" s="1" t="s">
        <v>36</v>
      </c>
      <c r="F229">
        <v>13</v>
      </c>
      <c r="G229">
        <v>83</v>
      </c>
      <c r="H229">
        <v>8.6</v>
      </c>
      <c r="I229">
        <v>0.495</v>
      </c>
      <c r="J229">
        <v>0.129</v>
      </c>
      <c r="K229">
        <v>9.7000000000000003E-2</v>
      </c>
      <c r="L229">
        <v>5.6</v>
      </c>
      <c r="M229">
        <v>28.2</v>
      </c>
      <c r="N229">
        <v>17.100000000000001</v>
      </c>
      <c r="O229">
        <v>7.4</v>
      </c>
      <c r="P229">
        <v>0.6</v>
      </c>
      <c r="Q229">
        <v>1.3</v>
      </c>
      <c r="R229">
        <v>13.4</v>
      </c>
      <c r="S229">
        <v>20</v>
      </c>
      <c r="T229" s="1" t="s">
        <v>707</v>
      </c>
      <c r="U229">
        <v>-0.1</v>
      </c>
      <c r="V229">
        <v>0.1</v>
      </c>
      <c r="W229">
        <v>0.1</v>
      </c>
      <c r="X229">
        <v>3.3000000000000002E-2</v>
      </c>
      <c r="Y229" s="1" t="s">
        <v>707</v>
      </c>
      <c r="Z229">
        <v>-6.4</v>
      </c>
      <c r="AA229">
        <v>-0.7</v>
      </c>
      <c r="AB229">
        <v>-7.1</v>
      </c>
      <c r="AC229">
        <v>-0.1</v>
      </c>
    </row>
    <row r="230" spans="1:29" x14ac:dyDescent="0.35">
      <c r="A230">
        <v>229</v>
      </c>
      <c r="B230" s="1" t="s">
        <v>297</v>
      </c>
      <c r="C230" s="1" t="s">
        <v>51</v>
      </c>
      <c r="D230">
        <v>24</v>
      </c>
      <c r="E230" s="1" t="s">
        <v>140</v>
      </c>
      <c r="F230">
        <v>26</v>
      </c>
      <c r="G230">
        <v>158</v>
      </c>
      <c r="H230">
        <v>14.8</v>
      </c>
      <c r="I230">
        <v>0.65</v>
      </c>
      <c r="J230">
        <v>0.88</v>
      </c>
      <c r="K230">
        <v>0</v>
      </c>
      <c r="L230">
        <v>3.5</v>
      </c>
      <c r="M230">
        <v>16</v>
      </c>
      <c r="N230">
        <v>9.9</v>
      </c>
      <c r="O230">
        <v>9.1</v>
      </c>
      <c r="P230">
        <v>0.3</v>
      </c>
      <c r="Q230">
        <v>1.2</v>
      </c>
      <c r="R230">
        <v>3.8</v>
      </c>
      <c r="S230">
        <v>14.5</v>
      </c>
      <c r="T230" s="1" t="s">
        <v>707</v>
      </c>
      <c r="U230">
        <v>0.4</v>
      </c>
      <c r="V230">
        <v>0.2</v>
      </c>
      <c r="W230">
        <v>0.6</v>
      </c>
      <c r="X230">
        <v>0.17100000000000001</v>
      </c>
      <c r="Y230" s="1" t="s">
        <v>707</v>
      </c>
      <c r="Z230">
        <v>2.7</v>
      </c>
      <c r="AA230">
        <v>-0.3</v>
      </c>
      <c r="AB230">
        <v>2.2999999999999998</v>
      </c>
      <c r="AC230">
        <v>0.2</v>
      </c>
    </row>
    <row r="231" spans="1:29" x14ac:dyDescent="0.35">
      <c r="A231">
        <v>230</v>
      </c>
      <c r="B231" s="1" t="s">
        <v>298</v>
      </c>
      <c r="C231" s="1" t="s">
        <v>31</v>
      </c>
      <c r="D231">
        <v>21</v>
      </c>
      <c r="E231" s="1" t="s">
        <v>49</v>
      </c>
      <c r="F231">
        <v>70</v>
      </c>
      <c r="G231">
        <v>1398</v>
      </c>
      <c r="H231">
        <v>18.5</v>
      </c>
      <c r="I231">
        <v>0.68</v>
      </c>
      <c r="J231">
        <v>0.14299999999999999</v>
      </c>
      <c r="K231">
        <v>0.47199999999999998</v>
      </c>
      <c r="L231">
        <v>8.9</v>
      </c>
      <c r="M231">
        <v>16.2</v>
      </c>
      <c r="N231">
        <v>12.5</v>
      </c>
      <c r="O231">
        <v>4.7</v>
      </c>
      <c r="P231">
        <v>1.2</v>
      </c>
      <c r="Q231">
        <v>3.8</v>
      </c>
      <c r="R231">
        <v>10.1</v>
      </c>
      <c r="S231">
        <v>16.399999999999999</v>
      </c>
      <c r="T231" s="1" t="s">
        <v>707</v>
      </c>
      <c r="U231">
        <v>3.7</v>
      </c>
      <c r="V231">
        <v>1.3</v>
      </c>
      <c r="W231">
        <v>5.0999999999999996</v>
      </c>
      <c r="X231">
        <v>0.17399999999999999</v>
      </c>
      <c r="Y231" s="1" t="s">
        <v>707</v>
      </c>
      <c r="Z231">
        <v>0.6</v>
      </c>
      <c r="AA231">
        <v>-0.3</v>
      </c>
      <c r="AB231">
        <v>0.2</v>
      </c>
      <c r="AC231">
        <v>0.8</v>
      </c>
    </row>
    <row r="232" spans="1:29" x14ac:dyDescent="0.35">
      <c r="A232">
        <v>231</v>
      </c>
      <c r="B232" s="1" t="s">
        <v>299</v>
      </c>
      <c r="C232" s="1" t="s">
        <v>48</v>
      </c>
      <c r="D232">
        <v>20</v>
      </c>
      <c r="E232" s="1" t="s">
        <v>105</v>
      </c>
      <c r="F232">
        <v>66</v>
      </c>
      <c r="G232">
        <v>1647</v>
      </c>
      <c r="H232">
        <v>9.3000000000000007</v>
      </c>
      <c r="I232">
        <v>0.46100000000000002</v>
      </c>
      <c r="J232">
        <v>0.36399999999999999</v>
      </c>
      <c r="K232">
        <v>0.161</v>
      </c>
      <c r="L232">
        <v>2.2000000000000002</v>
      </c>
      <c r="M232">
        <v>12</v>
      </c>
      <c r="N232">
        <v>6.9</v>
      </c>
      <c r="O232">
        <v>24.6</v>
      </c>
      <c r="P232">
        <v>2.2999999999999998</v>
      </c>
      <c r="Q232">
        <v>1.9</v>
      </c>
      <c r="R232">
        <v>18.399999999999999</v>
      </c>
      <c r="S232">
        <v>15.7</v>
      </c>
      <c r="T232" s="1" t="s">
        <v>707</v>
      </c>
      <c r="U232">
        <v>-1</v>
      </c>
      <c r="V232">
        <v>1.5</v>
      </c>
      <c r="W232">
        <v>0.5</v>
      </c>
      <c r="X232">
        <v>1.4E-2</v>
      </c>
      <c r="Y232" s="1" t="s">
        <v>707</v>
      </c>
      <c r="Z232">
        <v>-4.3</v>
      </c>
      <c r="AA232">
        <v>0.8</v>
      </c>
      <c r="AB232">
        <v>-3.5</v>
      </c>
      <c r="AC232">
        <v>-0.6</v>
      </c>
    </row>
    <row r="233" spans="1:29" x14ac:dyDescent="0.35">
      <c r="A233">
        <v>232</v>
      </c>
      <c r="B233" s="1" t="s">
        <v>300</v>
      </c>
      <c r="C233" s="1" t="s">
        <v>51</v>
      </c>
      <c r="D233">
        <v>31</v>
      </c>
      <c r="E233" s="1" t="s">
        <v>73</v>
      </c>
      <c r="F233">
        <v>49</v>
      </c>
      <c r="G233">
        <v>1564</v>
      </c>
      <c r="H233">
        <v>15.1</v>
      </c>
      <c r="I233">
        <v>0.56999999999999995</v>
      </c>
      <c r="J233">
        <v>0.35699999999999998</v>
      </c>
      <c r="K233">
        <v>0.24099999999999999</v>
      </c>
      <c r="L233">
        <v>2.5</v>
      </c>
      <c r="M233">
        <v>12.8</v>
      </c>
      <c r="N233">
        <v>7.6</v>
      </c>
      <c r="O233">
        <v>16.100000000000001</v>
      </c>
      <c r="P233">
        <v>1.4</v>
      </c>
      <c r="Q233">
        <v>1.3</v>
      </c>
      <c r="R233">
        <v>10.6</v>
      </c>
      <c r="S233">
        <v>20.7</v>
      </c>
      <c r="T233" s="1" t="s">
        <v>707</v>
      </c>
      <c r="U233">
        <v>1.9</v>
      </c>
      <c r="V233">
        <v>1</v>
      </c>
      <c r="W233">
        <v>2.8</v>
      </c>
      <c r="X233">
        <v>8.6999999999999994E-2</v>
      </c>
      <c r="Y233" s="1" t="s">
        <v>707</v>
      </c>
      <c r="Z233">
        <v>0.1</v>
      </c>
      <c r="AA233">
        <v>-0.8</v>
      </c>
      <c r="AB233">
        <v>-0.7</v>
      </c>
      <c r="AC233">
        <v>0.5</v>
      </c>
    </row>
    <row r="234" spans="1:29" x14ac:dyDescent="0.35">
      <c r="A234">
        <v>233</v>
      </c>
      <c r="B234" s="1" t="s">
        <v>301</v>
      </c>
      <c r="C234" s="1" t="s">
        <v>51</v>
      </c>
      <c r="D234">
        <v>22</v>
      </c>
      <c r="E234" s="1" t="s">
        <v>89</v>
      </c>
      <c r="F234">
        <v>6</v>
      </c>
      <c r="G234">
        <v>17</v>
      </c>
      <c r="H234">
        <v>-7.4</v>
      </c>
      <c r="I234">
        <v>0.2</v>
      </c>
      <c r="J234">
        <v>0.2</v>
      </c>
      <c r="K234">
        <v>0</v>
      </c>
      <c r="L234">
        <v>0</v>
      </c>
      <c r="M234">
        <v>6.5</v>
      </c>
      <c r="N234">
        <v>3.3</v>
      </c>
      <c r="O234">
        <v>0</v>
      </c>
      <c r="P234">
        <v>0</v>
      </c>
      <c r="Q234">
        <v>10.6</v>
      </c>
      <c r="R234">
        <v>28.6</v>
      </c>
      <c r="S234">
        <v>18.5</v>
      </c>
      <c r="T234" s="1" t="s">
        <v>707</v>
      </c>
      <c r="U234">
        <v>-0.1</v>
      </c>
      <c r="V234">
        <v>0</v>
      </c>
      <c r="W234">
        <v>-0.1</v>
      </c>
      <c r="X234">
        <v>-0.30599999999999999</v>
      </c>
      <c r="Y234" s="1" t="s">
        <v>707</v>
      </c>
      <c r="Z234">
        <v>-14</v>
      </c>
      <c r="AA234">
        <v>-2.4</v>
      </c>
      <c r="AB234">
        <v>-16.5</v>
      </c>
      <c r="AC234">
        <v>-0.1</v>
      </c>
    </row>
    <row r="235" spans="1:29" x14ac:dyDescent="0.35">
      <c r="A235">
        <v>234</v>
      </c>
      <c r="B235" s="1" t="s">
        <v>302</v>
      </c>
      <c r="C235" s="1" t="s">
        <v>28</v>
      </c>
      <c r="D235">
        <v>26</v>
      </c>
      <c r="E235" s="1" t="s">
        <v>42</v>
      </c>
      <c r="F235">
        <v>40</v>
      </c>
      <c r="G235">
        <v>445</v>
      </c>
      <c r="H235">
        <v>11.5</v>
      </c>
      <c r="I235">
        <v>0.54200000000000004</v>
      </c>
      <c r="J235">
        <v>0.65100000000000002</v>
      </c>
      <c r="K235">
        <v>0.32100000000000001</v>
      </c>
      <c r="L235">
        <v>7</v>
      </c>
      <c r="M235">
        <v>17.100000000000001</v>
      </c>
      <c r="N235">
        <v>12.2</v>
      </c>
      <c r="O235">
        <v>6</v>
      </c>
      <c r="P235">
        <v>1.6</v>
      </c>
      <c r="Q235">
        <v>2</v>
      </c>
      <c r="R235">
        <v>11.7</v>
      </c>
      <c r="S235">
        <v>13.4</v>
      </c>
      <c r="T235" s="1" t="s">
        <v>707</v>
      </c>
      <c r="U235">
        <v>0.3</v>
      </c>
      <c r="V235">
        <v>0.6</v>
      </c>
      <c r="W235">
        <v>0.9</v>
      </c>
      <c r="X235">
        <v>9.5000000000000001E-2</v>
      </c>
      <c r="Y235" s="1" t="s">
        <v>707</v>
      </c>
      <c r="Z235">
        <v>-0.7</v>
      </c>
      <c r="AA235">
        <v>0.1</v>
      </c>
      <c r="AB235">
        <v>-0.6</v>
      </c>
      <c r="AC235">
        <v>0.2</v>
      </c>
    </row>
    <row r="236" spans="1:29" x14ac:dyDescent="0.35">
      <c r="A236">
        <v>235</v>
      </c>
      <c r="B236" s="1" t="s">
        <v>303</v>
      </c>
      <c r="C236" s="1" t="s">
        <v>31</v>
      </c>
      <c r="D236">
        <v>27</v>
      </c>
      <c r="E236" s="1" t="s">
        <v>49</v>
      </c>
      <c r="F236">
        <v>50</v>
      </c>
      <c r="G236">
        <v>839</v>
      </c>
      <c r="H236">
        <v>22.2</v>
      </c>
      <c r="I236">
        <v>0.58199999999999996</v>
      </c>
      <c r="J236">
        <v>3.6999999999999998E-2</v>
      </c>
      <c r="K236">
        <v>0.43099999999999999</v>
      </c>
      <c r="L236">
        <v>18.5</v>
      </c>
      <c r="M236">
        <v>26.3</v>
      </c>
      <c r="N236">
        <v>22.3</v>
      </c>
      <c r="O236">
        <v>11.9</v>
      </c>
      <c r="P236">
        <v>1.2</v>
      </c>
      <c r="Q236">
        <v>2.2000000000000002</v>
      </c>
      <c r="R236">
        <v>11.6</v>
      </c>
      <c r="S236">
        <v>22.5</v>
      </c>
      <c r="T236" s="1" t="s">
        <v>707</v>
      </c>
      <c r="U236">
        <v>2.2000000000000002</v>
      </c>
      <c r="V236">
        <v>0.9</v>
      </c>
      <c r="W236">
        <v>3.2</v>
      </c>
      <c r="X236">
        <v>0.18</v>
      </c>
      <c r="Y236" s="1" t="s">
        <v>707</v>
      </c>
      <c r="Z236">
        <v>1.8</v>
      </c>
      <c r="AA236">
        <v>-1.5</v>
      </c>
      <c r="AB236">
        <v>0.2</v>
      </c>
      <c r="AC236">
        <v>0.5</v>
      </c>
    </row>
    <row r="237" spans="1:29" x14ac:dyDescent="0.35">
      <c r="A237">
        <v>236</v>
      </c>
      <c r="B237" s="1" t="s">
        <v>304</v>
      </c>
      <c r="C237" s="1" t="s">
        <v>41</v>
      </c>
      <c r="D237">
        <v>22</v>
      </c>
      <c r="E237" s="1" t="s">
        <v>36</v>
      </c>
      <c r="F237">
        <v>66</v>
      </c>
      <c r="G237">
        <v>2151</v>
      </c>
      <c r="H237">
        <v>16.2</v>
      </c>
      <c r="I237">
        <v>0.56100000000000005</v>
      </c>
      <c r="J237">
        <v>0.39100000000000001</v>
      </c>
      <c r="K237">
        <v>0.19500000000000001</v>
      </c>
      <c r="L237">
        <v>1.7</v>
      </c>
      <c r="M237">
        <v>15.4</v>
      </c>
      <c r="N237">
        <v>8.6999999999999993</v>
      </c>
      <c r="O237">
        <v>20.9</v>
      </c>
      <c r="P237">
        <v>1</v>
      </c>
      <c r="Q237">
        <v>0.4</v>
      </c>
      <c r="R237">
        <v>12.5</v>
      </c>
      <c r="S237">
        <v>28.8</v>
      </c>
      <c r="T237" s="1" t="s">
        <v>707</v>
      </c>
      <c r="U237">
        <v>1.3</v>
      </c>
      <c r="V237">
        <v>2.4</v>
      </c>
      <c r="W237">
        <v>3.8</v>
      </c>
      <c r="X237">
        <v>8.4000000000000005E-2</v>
      </c>
      <c r="Y237" s="1" t="s">
        <v>707</v>
      </c>
      <c r="Z237">
        <v>1.6</v>
      </c>
      <c r="AA237">
        <v>-0.9</v>
      </c>
      <c r="AB237">
        <v>0.7</v>
      </c>
      <c r="AC237">
        <v>1.5</v>
      </c>
    </row>
    <row r="238" spans="1:29" x14ac:dyDescent="0.35">
      <c r="A238">
        <v>237</v>
      </c>
      <c r="B238" s="1" t="s">
        <v>305</v>
      </c>
      <c r="C238" s="1" t="s">
        <v>41</v>
      </c>
      <c r="D238">
        <v>29</v>
      </c>
      <c r="E238" s="1" t="s">
        <v>42</v>
      </c>
      <c r="F238">
        <v>81</v>
      </c>
      <c r="G238">
        <v>2499</v>
      </c>
      <c r="H238">
        <v>12.9</v>
      </c>
      <c r="I238">
        <v>0.54800000000000004</v>
      </c>
      <c r="J238">
        <v>0.65200000000000002</v>
      </c>
      <c r="K238">
        <v>0.11600000000000001</v>
      </c>
      <c r="L238">
        <v>2.9</v>
      </c>
      <c r="M238">
        <v>12.8</v>
      </c>
      <c r="N238">
        <v>7.8</v>
      </c>
      <c r="O238">
        <v>13.8</v>
      </c>
      <c r="P238">
        <v>1.4</v>
      </c>
      <c r="Q238">
        <v>0.9</v>
      </c>
      <c r="R238">
        <v>11.7</v>
      </c>
      <c r="S238">
        <v>22.4</v>
      </c>
      <c r="T238" s="1" t="s">
        <v>707</v>
      </c>
      <c r="U238">
        <v>0.8</v>
      </c>
      <c r="V238">
        <v>1.1000000000000001</v>
      </c>
      <c r="W238">
        <v>1.9</v>
      </c>
      <c r="X238">
        <v>3.5999999999999997E-2</v>
      </c>
      <c r="Y238" s="1" t="s">
        <v>707</v>
      </c>
      <c r="Z238">
        <v>0.5</v>
      </c>
      <c r="AA238">
        <v>-1.7</v>
      </c>
      <c r="AB238">
        <v>-1.2</v>
      </c>
      <c r="AC238">
        <v>0.5</v>
      </c>
    </row>
    <row r="239" spans="1:29" x14ac:dyDescent="0.35">
      <c r="A239">
        <v>238</v>
      </c>
      <c r="B239" s="1" t="s">
        <v>306</v>
      </c>
      <c r="C239" s="1" t="s">
        <v>51</v>
      </c>
      <c r="D239">
        <v>25</v>
      </c>
      <c r="E239" s="1" t="s">
        <v>36</v>
      </c>
      <c r="F239">
        <v>19</v>
      </c>
      <c r="G239">
        <v>163</v>
      </c>
      <c r="H239">
        <v>7</v>
      </c>
      <c r="I239">
        <v>0.44600000000000001</v>
      </c>
      <c r="J239">
        <v>0.60899999999999999</v>
      </c>
      <c r="K239">
        <v>0.109</v>
      </c>
      <c r="L239">
        <v>7.1</v>
      </c>
      <c r="M239">
        <v>10.9</v>
      </c>
      <c r="N239">
        <v>9</v>
      </c>
      <c r="O239">
        <v>5.0999999999999996</v>
      </c>
      <c r="P239">
        <v>0.6</v>
      </c>
      <c r="Q239">
        <v>1.9</v>
      </c>
      <c r="R239">
        <v>5.9</v>
      </c>
      <c r="S239">
        <v>14</v>
      </c>
      <c r="T239" s="1" t="s">
        <v>707</v>
      </c>
      <c r="U239">
        <v>0</v>
      </c>
      <c r="V239">
        <v>0.2</v>
      </c>
      <c r="W239">
        <v>0.1</v>
      </c>
      <c r="X239">
        <v>4.1000000000000002E-2</v>
      </c>
      <c r="Y239" s="1" t="s">
        <v>707</v>
      </c>
      <c r="Z239">
        <v>-3.3</v>
      </c>
      <c r="AA239">
        <v>-1.3</v>
      </c>
      <c r="AB239">
        <v>-4.5999999999999996</v>
      </c>
      <c r="AC239">
        <v>-0.1</v>
      </c>
    </row>
    <row r="240" spans="1:29" x14ac:dyDescent="0.35">
      <c r="A240">
        <v>239</v>
      </c>
      <c r="B240" s="1" t="s">
        <v>307</v>
      </c>
      <c r="C240" s="1" t="s">
        <v>41</v>
      </c>
      <c r="D240">
        <v>35</v>
      </c>
      <c r="E240" s="1" t="s">
        <v>44</v>
      </c>
      <c r="F240">
        <v>54</v>
      </c>
      <c r="G240">
        <v>1253</v>
      </c>
      <c r="H240">
        <v>10.199999999999999</v>
      </c>
      <c r="I240">
        <v>0.55200000000000005</v>
      </c>
      <c r="J240">
        <v>0.48699999999999999</v>
      </c>
      <c r="K240">
        <v>0.22500000000000001</v>
      </c>
      <c r="L240">
        <v>3.3</v>
      </c>
      <c r="M240">
        <v>9.6999999999999993</v>
      </c>
      <c r="N240">
        <v>6.6</v>
      </c>
      <c r="O240">
        <v>12.4</v>
      </c>
      <c r="P240">
        <v>1.6</v>
      </c>
      <c r="Q240">
        <v>0.5</v>
      </c>
      <c r="R240">
        <v>11.9</v>
      </c>
      <c r="S240">
        <v>11.7</v>
      </c>
      <c r="T240" s="1" t="s">
        <v>707</v>
      </c>
      <c r="U240">
        <v>1.3</v>
      </c>
      <c r="V240">
        <v>1</v>
      </c>
      <c r="W240">
        <v>2.2999999999999998</v>
      </c>
      <c r="X240">
        <v>8.6999999999999994E-2</v>
      </c>
      <c r="Y240" s="1" t="s">
        <v>707</v>
      </c>
      <c r="Z240">
        <v>-2.2000000000000002</v>
      </c>
      <c r="AA240">
        <v>0.6</v>
      </c>
      <c r="AB240">
        <v>-1.5</v>
      </c>
      <c r="AC240">
        <v>0.1</v>
      </c>
    </row>
    <row r="241" spans="1:29" x14ac:dyDescent="0.35">
      <c r="A241">
        <v>240</v>
      </c>
      <c r="B241" s="1" t="s">
        <v>308</v>
      </c>
      <c r="C241" s="1" t="s">
        <v>309</v>
      </c>
      <c r="D241">
        <v>26</v>
      </c>
      <c r="E241" s="1" t="s">
        <v>42</v>
      </c>
      <c r="F241">
        <v>19</v>
      </c>
      <c r="G241">
        <v>212</v>
      </c>
      <c r="H241">
        <v>12.7</v>
      </c>
      <c r="I241">
        <v>0.61899999999999999</v>
      </c>
      <c r="J241">
        <v>0.69199999999999995</v>
      </c>
      <c r="K241">
        <v>0.26900000000000002</v>
      </c>
      <c r="L241">
        <v>5.8</v>
      </c>
      <c r="M241">
        <v>12.6</v>
      </c>
      <c r="N241">
        <v>9.1999999999999993</v>
      </c>
      <c r="O241">
        <v>5</v>
      </c>
      <c r="P241">
        <v>1.6</v>
      </c>
      <c r="Q241">
        <v>1.2</v>
      </c>
      <c r="R241">
        <v>4.9000000000000004</v>
      </c>
      <c r="S241">
        <v>12.7</v>
      </c>
      <c r="T241" s="1" t="s">
        <v>707</v>
      </c>
      <c r="U241">
        <v>0.4</v>
      </c>
      <c r="V241">
        <v>0.2</v>
      </c>
      <c r="W241">
        <v>0.6</v>
      </c>
      <c r="X241">
        <v>0.126</v>
      </c>
      <c r="Y241" s="1" t="s">
        <v>707</v>
      </c>
      <c r="Z241">
        <v>-1.1000000000000001</v>
      </c>
      <c r="AA241">
        <v>-0.5</v>
      </c>
      <c r="AB241">
        <v>-1.6</v>
      </c>
      <c r="AC241">
        <v>0</v>
      </c>
    </row>
    <row r="242" spans="1:29" x14ac:dyDescent="0.35">
      <c r="A242">
        <v>241</v>
      </c>
      <c r="B242" s="1" t="s">
        <v>310</v>
      </c>
      <c r="C242" s="1" t="s">
        <v>28</v>
      </c>
      <c r="D242">
        <v>30</v>
      </c>
      <c r="E242" s="1" t="s">
        <v>80</v>
      </c>
      <c r="F242">
        <v>13</v>
      </c>
      <c r="G242">
        <v>139</v>
      </c>
      <c r="H242">
        <v>3.3</v>
      </c>
      <c r="I242">
        <v>0.2</v>
      </c>
      <c r="J242">
        <v>0.65</v>
      </c>
      <c r="K242">
        <v>0</v>
      </c>
      <c r="L242">
        <v>4.8</v>
      </c>
      <c r="M242">
        <v>13.3</v>
      </c>
      <c r="N242">
        <v>9.1</v>
      </c>
      <c r="O242">
        <v>10.3</v>
      </c>
      <c r="P242">
        <v>1.4</v>
      </c>
      <c r="Q242">
        <v>1.3</v>
      </c>
      <c r="R242">
        <v>4.8</v>
      </c>
      <c r="S242">
        <v>6.6</v>
      </c>
      <c r="T242" s="1" t="s">
        <v>707</v>
      </c>
      <c r="U242">
        <v>-0.1</v>
      </c>
      <c r="V242">
        <v>0.1</v>
      </c>
      <c r="W242">
        <v>0</v>
      </c>
      <c r="X242">
        <v>-6.0000000000000001E-3</v>
      </c>
      <c r="Y242" s="1" t="s">
        <v>707</v>
      </c>
      <c r="Z242">
        <v>-5.0999999999999996</v>
      </c>
      <c r="AA242">
        <v>1.2</v>
      </c>
      <c r="AB242">
        <v>-4</v>
      </c>
      <c r="AC242">
        <v>-0.1</v>
      </c>
    </row>
    <row r="243" spans="1:29" x14ac:dyDescent="0.35">
      <c r="A243">
        <v>242</v>
      </c>
      <c r="B243" s="1" t="s">
        <v>311</v>
      </c>
      <c r="C243" s="1" t="s">
        <v>41</v>
      </c>
      <c r="D243">
        <v>22</v>
      </c>
      <c r="E243" s="1" t="s">
        <v>108</v>
      </c>
      <c r="F243">
        <v>2</v>
      </c>
      <c r="G243">
        <v>2</v>
      </c>
      <c r="H243">
        <v>-45.2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50</v>
      </c>
      <c r="S243">
        <v>42.8</v>
      </c>
      <c r="T243" s="1" t="s">
        <v>707</v>
      </c>
      <c r="U243">
        <v>-0.1</v>
      </c>
      <c r="V243">
        <v>0</v>
      </c>
      <c r="W243">
        <v>-0.1</v>
      </c>
      <c r="X243">
        <v>-1.2310000000000001</v>
      </c>
      <c r="Y243" s="1" t="s">
        <v>707</v>
      </c>
      <c r="Z243">
        <v>-28.1</v>
      </c>
      <c r="AA243">
        <v>-14.5</v>
      </c>
      <c r="AB243">
        <v>-42.6</v>
      </c>
      <c r="AC243">
        <v>0</v>
      </c>
    </row>
    <row r="244" spans="1:29" x14ac:dyDescent="0.35">
      <c r="A244">
        <v>243</v>
      </c>
      <c r="B244" s="1" t="s">
        <v>312</v>
      </c>
      <c r="C244" s="1" t="s">
        <v>51</v>
      </c>
      <c r="D244">
        <v>22</v>
      </c>
      <c r="E244" s="1" t="s">
        <v>96</v>
      </c>
      <c r="F244">
        <v>7</v>
      </c>
      <c r="G244">
        <v>240</v>
      </c>
      <c r="H244">
        <v>18</v>
      </c>
      <c r="I244">
        <v>0.53600000000000003</v>
      </c>
      <c r="J244">
        <v>0.27800000000000002</v>
      </c>
      <c r="K244">
        <v>0.156</v>
      </c>
      <c r="L244">
        <v>12.7</v>
      </c>
      <c r="M244">
        <v>23.5</v>
      </c>
      <c r="N244">
        <v>18</v>
      </c>
      <c r="O244">
        <v>11.6</v>
      </c>
      <c r="P244">
        <v>1.2</v>
      </c>
      <c r="Q244">
        <v>1.9</v>
      </c>
      <c r="R244">
        <v>7.7</v>
      </c>
      <c r="S244">
        <v>18.7</v>
      </c>
      <c r="T244" s="1" t="s">
        <v>707</v>
      </c>
      <c r="U244">
        <v>0.3</v>
      </c>
      <c r="V244">
        <v>0.3</v>
      </c>
      <c r="W244">
        <v>0.6</v>
      </c>
      <c r="X244">
        <v>0.11799999999999999</v>
      </c>
      <c r="Y244" s="1" t="s">
        <v>707</v>
      </c>
      <c r="Z244">
        <v>1.2</v>
      </c>
      <c r="AA244">
        <v>-2.1</v>
      </c>
      <c r="AB244">
        <v>-0.9</v>
      </c>
      <c r="AC244">
        <v>0.1</v>
      </c>
    </row>
    <row r="245" spans="1:29" x14ac:dyDescent="0.35">
      <c r="A245">
        <v>244</v>
      </c>
      <c r="B245" s="1" t="s">
        <v>313</v>
      </c>
      <c r="C245" s="1" t="s">
        <v>48</v>
      </c>
      <c r="D245">
        <v>25</v>
      </c>
      <c r="E245" s="1" t="s">
        <v>42</v>
      </c>
      <c r="F245">
        <v>63</v>
      </c>
      <c r="G245">
        <v>1021</v>
      </c>
      <c r="H245">
        <v>12.6</v>
      </c>
      <c r="I245">
        <v>0.54400000000000004</v>
      </c>
      <c r="J245">
        <v>0.30499999999999999</v>
      </c>
      <c r="K245">
        <v>0.20100000000000001</v>
      </c>
      <c r="L245">
        <v>2.6</v>
      </c>
      <c r="M245">
        <v>10.3</v>
      </c>
      <c r="N245">
        <v>6.5</v>
      </c>
      <c r="O245">
        <v>20.7</v>
      </c>
      <c r="P245">
        <v>2</v>
      </c>
      <c r="Q245">
        <v>0.7</v>
      </c>
      <c r="R245">
        <v>15.4</v>
      </c>
      <c r="S245">
        <v>18.7</v>
      </c>
      <c r="T245" s="1" t="s">
        <v>707</v>
      </c>
      <c r="U245">
        <v>0.5</v>
      </c>
      <c r="V245">
        <v>0.9</v>
      </c>
      <c r="W245">
        <v>1.5</v>
      </c>
      <c r="X245">
        <v>6.8000000000000005E-2</v>
      </c>
      <c r="Y245" s="1" t="s">
        <v>707</v>
      </c>
      <c r="Z245">
        <v>-1.9</v>
      </c>
      <c r="AA245">
        <v>0.3</v>
      </c>
      <c r="AB245">
        <v>-1.7</v>
      </c>
      <c r="AC245">
        <v>0.1</v>
      </c>
    </row>
    <row r="246" spans="1:29" x14ac:dyDescent="0.35">
      <c r="A246">
        <v>245</v>
      </c>
      <c r="B246" s="1" t="s">
        <v>314</v>
      </c>
      <c r="C246" s="1" t="s">
        <v>48</v>
      </c>
      <c r="D246">
        <v>31</v>
      </c>
      <c r="E246" s="1" t="s">
        <v>44</v>
      </c>
      <c r="F246">
        <v>67</v>
      </c>
      <c r="G246">
        <v>2207</v>
      </c>
      <c r="H246">
        <v>19.8</v>
      </c>
      <c r="I246">
        <v>0.59299999999999997</v>
      </c>
      <c r="J246">
        <v>0.33600000000000002</v>
      </c>
      <c r="K246">
        <v>0.189</v>
      </c>
      <c r="L246">
        <v>3.4</v>
      </c>
      <c r="M246">
        <v>10.9</v>
      </c>
      <c r="N246">
        <v>7.2</v>
      </c>
      <c r="O246">
        <v>31.8</v>
      </c>
      <c r="P246">
        <v>2.4</v>
      </c>
      <c r="Q246">
        <v>1.3</v>
      </c>
      <c r="R246">
        <v>15</v>
      </c>
      <c r="S246">
        <v>23.5</v>
      </c>
      <c r="T246" s="1" t="s">
        <v>707</v>
      </c>
      <c r="U246">
        <v>4.5</v>
      </c>
      <c r="V246">
        <v>2.4</v>
      </c>
      <c r="W246">
        <v>6.9</v>
      </c>
      <c r="X246">
        <v>0.15</v>
      </c>
      <c r="Y246" s="1" t="s">
        <v>707</v>
      </c>
      <c r="Z246">
        <v>2.9</v>
      </c>
      <c r="AA246">
        <v>0.3</v>
      </c>
      <c r="AB246">
        <v>3.2</v>
      </c>
      <c r="AC246">
        <v>2.9</v>
      </c>
    </row>
    <row r="247" spans="1:29" x14ac:dyDescent="0.35">
      <c r="A247">
        <v>246</v>
      </c>
      <c r="B247" s="1" t="s">
        <v>315</v>
      </c>
      <c r="C247" s="1" t="s">
        <v>309</v>
      </c>
      <c r="D247">
        <v>32</v>
      </c>
      <c r="E247" s="1" t="s">
        <v>42</v>
      </c>
      <c r="F247">
        <v>74</v>
      </c>
      <c r="G247">
        <v>2057</v>
      </c>
      <c r="H247">
        <v>9.5</v>
      </c>
      <c r="I247">
        <v>0.54300000000000004</v>
      </c>
      <c r="J247">
        <v>0.72799999999999998</v>
      </c>
      <c r="K247">
        <v>9.4E-2</v>
      </c>
      <c r="L247">
        <v>1.5</v>
      </c>
      <c r="M247">
        <v>8.8000000000000007</v>
      </c>
      <c r="N247">
        <v>5.0999999999999996</v>
      </c>
      <c r="O247">
        <v>8.6</v>
      </c>
      <c r="P247">
        <v>1.3</v>
      </c>
      <c r="Q247">
        <v>1.4</v>
      </c>
      <c r="R247">
        <v>9.1999999999999993</v>
      </c>
      <c r="S247">
        <v>15.8</v>
      </c>
      <c r="T247" s="1" t="s">
        <v>707</v>
      </c>
      <c r="U247">
        <v>0.8</v>
      </c>
      <c r="V247">
        <v>0.6</v>
      </c>
      <c r="W247">
        <v>1.4</v>
      </c>
      <c r="X247">
        <v>3.3000000000000002E-2</v>
      </c>
      <c r="Y247" s="1" t="s">
        <v>707</v>
      </c>
      <c r="Z247">
        <v>-1.4</v>
      </c>
      <c r="AA247">
        <v>-0.8</v>
      </c>
      <c r="AB247">
        <v>-2.2000000000000002</v>
      </c>
      <c r="AC247">
        <v>-0.1</v>
      </c>
    </row>
    <row r="248" spans="1:29" x14ac:dyDescent="0.35">
      <c r="A248">
        <v>247</v>
      </c>
      <c r="B248" s="1" t="s">
        <v>316</v>
      </c>
      <c r="C248" s="1" t="s">
        <v>31</v>
      </c>
      <c r="D248">
        <v>28</v>
      </c>
      <c r="E248" s="1" t="s">
        <v>82</v>
      </c>
      <c r="F248">
        <v>45</v>
      </c>
      <c r="G248">
        <v>1074</v>
      </c>
      <c r="H248">
        <v>17.8</v>
      </c>
      <c r="I248">
        <v>0.68899999999999995</v>
      </c>
      <c r="J248">
        <v>1.7000000000000001E-2</v>
      </c>
      <c r="K248">
        <v>0.3</v>
      </c>
      <c r="L248">
        <v>9.3000000000000007</v>
      </c>
      <c r="M248">
        <v>22.9</v>
      </c>
      <c r="N248">
        <v>16.100000000000001</v>
      </c>
      <c r="O248">
        <v>6.8</v>
      </c>
      <c r="P248">
        <v>0.8</v>
      </c>
      <c r="Q248">
        <v>3.3</v>
      </c>
      <c r="R248">
        <v>14.2</v>
      </c>
      <c r="S248">
        <v>15.8</v>
      </c>
      <c r="T248" s="1" t="s">
        <v>707</v>
      </c>
      <c r="U248">
        <v>2.4</v>
      </c>
      <c r="V248">
        <v>0.9</v>
      </c>
      <c r="W248">
        <v>3.2</v>
      </c>
      <c r="X248">
        <v>0.14499999999999999</v>
      </c>
      <c r="Y248" s="1" t="s">
        <v>707</v>
      </c>
      <c r="Z248">
        <v>-0.4</v>
      </c>
      <c r="AA248">
        <v>-0.1</v>
      </c>
      <c r="AB248">
        <v>-0.5</v>
      </c>
      <c r="AC248">
        <v>0.4</v>
      </c>
    </row>
    <row r="249" spans="1:29" x14ac:dyDescent="0.35">
      <c r="A249">
        <v>248</v>
      </c>
      <c r="B249" s="1" t="s">
        <v>317</v>
      </c>
      <c r="C249" s="1" t="s">
        <v>309</v>
      </c>
      <c r="D249">
        <v>29</v>
      </c>
      <c r="E249" s="1" t="s">
        <v>42</v>
      </c>
      <c r="F249">
        <v>52</v>
      </c>
      <c r="G249">
        <v>709</v>
      </c>
      <c r="H249">
        <v>7.2</v>
      </c>
      <c r="I249">
        <v>0.49299999999999999</v>
      </c>
      <c r="J249">
        <v>0.57999999999999996</v>
      </c>
      <c r="K249">
        <v>0.121</v>
      </c>
      <c r="L249">
        <v>2.2999999999999998</v>
      </c>
      <c r="M249">
        <v>9.1</v>
      </c>
      <c r="N249">
        <v>5.8</v>
      </c>
      <c r="O249">
        <v>6.9</v>
      </c>
      <c r="P249">
        <v>1</v>
      </c>
      <c r="Q249">
        <v>0.8</v>
      </c>
      <c r="R249">
        <v>6.2</v>
      </c>
      <c r="S249">
        <v>10.7</v>
      </c>
      <c r="T249" s="1" t="s">
        <v>707</v>
      </c>
      <c r="U249">
        <v>0.2</v>
      </c>
      <c r="V249">
        <v>0.5</v>
      </c>
      <c r="W249">
        <v>0.7</v>
      </c>
      <c r="X249">
        <v>4.8000000000000001E-2</v>
      </c>
      <c r="Y249" s="1" t="s">
        <v>707</v>
      </c>
      <c r="Z249">
        <v>-3.1</v>
      </c>
      <c r="AA249">
        <v>-0.3</v>
      </c>
      <c r="AB249">
        <v>-3.3</v>
      </c>
      <c r="AC249">
        <v>-0.2</v>
      </c>
    </row>
    <row r="250" spans="1:29" x14ac:dyDescent="0.35">
      <c r="A250">
        <v>249</v>
      </c>
      <c r="B250" s="1" t="s">
        <v>318</v>
      </c>
      <c r="C250" s="1" t="s">
        <v>41</v>
      </c>
      <c r="D250">
        <v>32</v>
      </c>
      <c r="E250" s="1" t="s">
        <v>96</v>
      </c>
      <c r="F250">
        <v>1</v>
      </c>
      <c r="G250">
        <v>18</v>
      </c>
      <c r="H250">
        <v>0.1</v>
      </c>
      <c r="I250">
        <v>0.5</v>
      </c>
      <c r="J250">
        <v>0.25</v>
      </c>
      <c r="K250">
        <v>0</v>
      </c>
      <c r="L250">
        <v>0</v>
      </c>
      <c r="M250">
        <v>5.8</v>
      </c>
      <c r="N250">
        <v>2.9</v>
      </c>
      <c r="O250">
        <v>8.1</v>
      </c>
      <c r="P250">
        <v>0</v>
      </c>
      <c r="Q250">
        <v>0</v>
      </c>
      <c r="R250">
        <v>33.299999999999997</v>
      </c>
      <c r="S250">
        <v>14.4</v>
      </c>
      <c r="T250" s="1" t="s">
        <v>707</v>
      </c>
      <c r="U250">
        <v>-0.1</v>
      </c>
      <c r="V250">
        <v>0</v>
      </c>
      <c r="W250">
        <v>0</v>
      </c>
      <c r="X250">
        <v>-0.13200000000000001</v>
      </c>
      <c r="Y250" s="1" t="s">
        <v>707</v>
      </c>
      <c r="Z250">
        <v>-8.6999999999999993</v>
      </c>
      <c r="AA250">
        <v>-2.9</v>
      </c>
      <c r="AB250">
        <v>-11.6</v>
      </c>
      <c r="AC250">
        <v>0</v>
      </c>
    </row>
    <row r="251" spans="1:29" x14ac:dyDescent="0.35">
      <c r="A251">
        <v>250</v>
      </c>
      <c r="B251" s="1" t="s">
        <v>319</v>
      </c>
      <c r="C251" s="1" t="s">
        <v>31</v>
      </c>
      <c r="D251">
        <v>35</v>
      </c>
      <c r="E251" s="1" t="s">
        <v>140</v>
      </c>
      <c r="F251">
        <v>69</v>
      </c>
      <c r="G251">
        <v>2005</v>
      </c>
      <c r="H251">
        <v>16.7</v>
      </c>
      <c r="I251">
        <v>0.57399999999999995</v>
      </c>
      <c r="J251">
        <v>0.46600000000000003</v>
      </c>
      <c r="K251">
        <v>0.16700000000000001</v>
      </c>
      <c r="L251">
        <v>6</v>
      </c>
      <c r="M251">
        <v>22.2</v>
      </c>
      <c r="N251">
        <v>14.3</v>
      </c>
      <c r="O251">
        <v>16.399999999999999</v>
      </c>
      <c r="P251">
        <v>1.2</v>
      </c>
      <c r="Q251">
        <v>4.2</v>
      </c>
      <c r="R251">
        <v>9.6</v>
      </c>
      <c r="S251">
        <v>14.8</v>
      </c>
      <c r="T251" s="1" t="s">
        <v>707</v>
      </c>
      <c r="U251">
        <v>3.7</v>
      </c>
      <c r="V251">
        <v>3.8</v>
      </c>
      <c r="W251">
        <v>7.6</v>
      </c>
      <c r="X251">
        <v>0.18099999999999999</v>
      </c>
      <c r="Y251" s="1" t="s">
        <v>707</v>
      </c>
      <c r="Z251">
        <v>1.4</v>
      </c>
      <c r="AA251">
        <v>2.9</v>
      </c>
      <c r="AB251">
        <v>4.3</v>
      </c>
      <c r="AC251">
        <v>3.2</v>
      </c>
    </row>
    <row r="252" spans="1:29" x14ac:dyDescent="0.35">
      <c r="A252">
        <v>251</v>
      </c>
      <c r="B252" s="1" t="s">
        <v>320</v>
      </c>
      <c r="C252" s="1" t="s">
        <v>41</v>
      </c>
      <c r="D252">
        <v>21</v>
      </c>
      <c r="E252" s="1" t="s">
        <v>56</v>
      </c>
      <c r="F252">
        <v>60</v>
      </c>
      <c r="G252">
        <v>1511</v>
      </c>
      <c r="H252">
        <v>11</v>
      </c>
      <c r="I252">
        <v>0.503</v>
      </c>
      <c r="J252">
        <v>0.33800000000000002</v>
      </c>
      <c r="K252">
        <v>0.23200000000000001</v>
      </c>
      <c r="L252">
        <v>2.6</v>
      </c>
      <c r="M252">
        <v>11.1</v>
      </c>
      <c r="N252">
        <v>6.9</v>
      </c>
      <c r="O252">
        <v>14.9</v>
      </c>
      <c r="P252">
        <v>1.9</v>
      </c>
      <c r="Q252">
        <v>1.7</v>
      </c>
      <c r="R252">
        <v>12.1</v>
      </c>
      <c r="S252">
        <v>19.2</v>
      </c>
      <c r="T252" s="1" t="s">
        <v>707</v>
      </c>
      <c r="U252">
        <v>-0.2</v>
      </c>
      <c r="V252">
        <v>1.2</v>
      </c>
      <c r="W252">
        <v>1.1000000000000001</v>
      </c>
      <c r="X252">
        <v>3.3000000000000002E-2</v>
      </c>
      <c r="Y252" s="1" t="s">
        <v>707</v>
      </c>
      <c r="Z252">
        <v>-3.2</v>
      </c>
      <c r="AA252">
        <v>-0.2</v>
      </c>
      <c r="AB252">
        <v>-3.3</v>
      </c>
      <c r="AC252">
        <v>-0.5</v>
      </c>
    </row>
    <row r="253" spans="1:29" x14ac:dyDescent="0.35">
      <c r="A253">
        <v>252</v>
      </c>
      <c r="B253" s="1" t="s">
        <v>321</v>
      </c>
      <c r="C253" s="1" t="s">
        <v>51</v>
      </c>
      <c r="D253">
        <v>28</v>
      </c>
      <c r="E253" s="1" t="s">
        <v>42</v>
      </c>
      <c r="F253">
        <v>42</v>
      </c>
      <c r="G253">
        <v>727</v>
      </c>
      <c r="H253">
        <v>10.6</v>
      </c>
      <c r="I253">
        <v>0.55500000000000005</v>
      </c>
      <c r="J253">
        <v>0.59099999999999997</v>
      </c>
      <c r="K253">
        <v>0.29299999999999998</v>
      </c>
      <c r="L253">
        <v>2.8</v>
      </c>
      <c r="M253">
        <v>13.8</v>
      </c>
      <c r="N253">
        <v>8.4</v>
      </c>
      <c r="O253">
        <v>8.4</v>
      </c>
      <c r="P253">
        <v>1.4</v>
      </c>
      <c r="Q253">
        <v>2.1</v>
      </c>
      <c r="R253">
        <v>12.9</v>
      </c>
      <c r="S253">
        <v>15.2</v>
      </c>
      <c r="T253" s="1" t="s">
        <v>707</v>
      </c>
      <c r="U253">
        <v>0.4</v>
      </c>
      <c r="V253">
        <v>0.7</v>
      </c>
      <c r="W253">
        <v>1</v>
      </c>
      <c r="X253">
        <v>6.8000000000000005E-2</v>
      </c>
      <c r="Y253" s="1" t="s">
        <v>707</v>
      </c>
      <c r="Z253">
        <v>-1.3</v>
      </c>
      <c r="AA253">
        <v>0.2</v>
      </c>
      <c r="AB253">
        <v>-1.1000000000000001</v>
      </c>
      <c r="AC253">
        <v>0.2</v>
      </c>
    </row>
    <row r="254" spans="1:29" x14ac:dyDescent="0.35">
      <c r="A254">
        <v>253</v>
      </c>
      <c r="B254" s="1" t="s">
        <v>322</v>
      </c>
      <c r="C254" s="1" t="s">
        <v>31</v>
      </c>
      <c r="D254">
        <v>36</v>
      </c>
      <c r="E254" s="1" t="s">
        <v>56</v>
      </c>
      <c r="F254">
        <v>60</v>
      </c>
      <c r="G254">
        <v>971</v>
      </c>
      <c r="H254">
        <v>18.2</v>
      </c>
      <c r="I254">
        <v>0.65700000000000003</v>
      </c>
      <c r="J254">
        <v>6.8000000000000005E-2</v>
      </c>
      <c r="K254">
        <v>0.66700000000000004</v>
      </c>
      <c r="L254">
        <v>13.1</v>
      </c>
      <c r="M254">
        <v>26.3</v>
      </c>
      <c r="N254">
        <v>19.7</v>
      </c>
      <c r="O254">
        <v>5</v>
      </c>
      <c r="P254">
        <v>1.7</v>
      </c>
      <c r="Q254">
        <v>3.3</v>
      </c>
      <c r="R254">
        <v>14.2</v>
      </c>
      <c r="S254">
        <v>14.6</v>
      </c>
      <c r="T254" s="1" t="s">
        <v>707</v>
      </c>
      <c r="U254">
        <v>2.2000000000000002</v>
      </c>
      <c r="V254">
        <v>1.3</v>
      </c>
      <c r="W254">
        <v>3.5</v>
      </c>
      <c r="X254">
        <v>0.17399999999999999</v>
      </c>
      <c r="Y254" s="1" t="s">
        <v>707</v>
      </c>
      <c r="Z254">
        <v>-0.2</v>
      </c>
      <c r="AA254">
        <v>0</v>
      </c>
      <c r="AB254">
        <v>-0.2</v>
      </c>
      <c r="AC254">
        <v>0.4</v>
      </c>
    </row>
    <row r="255" spans="1:29" x14ac:dyDescent="0.35">
      <c r="A255">
        <v>254</v>
      </c>
      <c r="B255" s="1" t="s">
        <v>323</v>
      </c>
      <c r="C255" s="1" t="s">
        <v>41</v>
      </c>
      <c r="D255">
        <v>22</v>
      </c>
      <c r="E255" s="1" t="s">
        <v>86</v>
      </c>
      <c r="F255">
        <v>31</v>
      </c>
      <c r="G255">
        <v>176</v>
      </c>
      <c r="H255">
        <v>16.100000000000001</v>
      </c>
      <c r="I255">
        <v>0.56699999999999995</v>
      </c>
      <c r="J255">
        <v>0.69299999999999995</v>
      </c>
      <c r="K255">
        <v>0.22800000000000001</v>
      </c>
      <c r="L255">
        <v>1.3</v>
      </c>
      <c r="M255">
        <v>6.1</v>
      </c>
      <c r="N255">
        <v>3.8</v>
      </c>
      <c r="O255">
        <v>6.2</v>
      </c>
      <c r="P255">
        <v>2.5</v>
      </c>
      <c r="Q255">
        <v>0</v>
      </c>
      <c r="R255">
        <v>5.9</v>
      </c>
      <c r="S255">
        <v>29.4</v>
      </c>
      <c r="T255" s="1" t="s">
        <v>707</v>
      </c>
      <c r="U255">
        <v>0.1</v>
      </c>
      <c r="V255">
        <v>0.2</v>
      </c>
      <c r="W255">
        <v>0.3</v>
      </c>
      <c r="X255">
        <v>8.2000000000000003E-2</v>
      </c>
      <c r="Y255" s="1" t="s">
        <v>707</v>
      </c>
      <c r="Z255">
        <v>0.8</v>
      </c>
      <c r="AA255">
        <v>-2</v>
      </c>
      <c r="AB255">
        <v>-1.2</v>
      </c>
      <c r="AC255">
        <v>0</v>
      </c>
    </row>
    <row r="256" spans="1:29" x14ac:dyDescent="0.35">
      <c r="A256">
        <v>255</v>
      </c>
      <c r="B256" s="1" t="s">
        <v>324</v>
      </c>
      <c r="C256" s="1" t="s">
        <v>41</v>
      </c>
      <c r="D256">
        <v>23</v>
      </c>
      <c r="E256" s="1" t="s">
        <v>80</v>
      </c>
      <c r="F256">
        <v>74</v>
      </c>
      <c r="G256">
        <v>2188</v>
      </c>
      <c r="H256">
        <v>11.9</v>
      </c>
      <c r="I256">
        <v>0.56999999999999995</v>
      </c>
      <c r="J256">
        <v>0.54100000000000004</v>
      </c>
      <c r="K256">
        <v>6.8000000000000005E-2</v>
      </c>
      <c r="L256">
        <v>1.6</v>
      </c>
      <c r="M256">
        <v>11</v>
      </c>
      <c r="N256">
        <v>6.4</v>
      </c>
      <c r="O256">
        <v>13.2</v>
      </c>
      <c r="P256">
        <v>1.2</v>
      </c>
      <c r="Q256">
        <v>1.1000000000000001</v>
      </c>
      <c r="R256">
        <v>10.4</v>
      </c>
      <c r="S256">
        <v>17.5</v>
      </c>
      <c r="T256" s="1" t="s">
        <v>707</v>
      </c>
      <c r="U256">
        <v>1.8</v>
      </c>
      <c r="V256">
        <v>1</v>
      </c>
      <c r="W256">
        <v>2.8</v>
      </c>
      <c r="X256">
        <v>6.2E-2</v>
      </c>
      <c r="Y256" s="1" t="s">
        <v>707</v>
      </c>
      <c r="Z256">
        <v>-0.5</v>
      </c>
      <c r="AA256">
        <v>-0.7</v>
      </c>
      <c r="AB256">
        <v>-1.2</v>
      </c>
      <c r="AC256">
        <v>0.4</v>
      </c>
    </row>
    <row r="257" spans="1:29" x14ac:dyDescent="0.35">
      <c r="A257">
        <v>256</v>
      </c>
      <c r="B257" s="1" t="s">
        <v>325</v>
      </c>
      <c r="C257" s="1" t="s">
        <v>31</v>
      </c>
      <c r="D257">
        <v>23</v>
      </c>
      <c r="E257" s="1" t="s">
        <v>56</v>
      </c>
      <c r="F257">
        <v>4</v>
      </c>
      <c r="G257">
        <v>20</v>
      </c>
      <c r="H257">
        <v>0.6</v>
      </c>
      <c r="I257">
        <v>0</v>
      </c>
      <c r="J257">
        <v>0.66700000000000004</v>
      </c>
      <c r="K257">
        <v>0</v>
      </c>
      <c r="L257">
        <v>5.4</v>
      </c>
      <c r="M257">
        <v>16.100000000000001</v>
      </c>
      <c r="N257">
        <v>10.8</v>
      </c>
      <c r="O257">
        <v>5.9</v>
      </c>
      <c r="P257">
        <v>2.4</v>
      </c>
      <c r="Q257">
        <v>4.5</v>
      </c>
      <c r="R257">
        <v>25</v>
      </c>
      <c r="S257">
        <v>8.6</v>
      </c>
      <c r="T257" s="1" t="s">
        <v>707</v>
      </c>
      <c r="U257">
        <v>-0.1</v>
      </c>
      <c r="V257">
        <v>0</v>
      </c>
      <c r="W257">
        <v>0</v>
      </c>
      <c r="X257">
        <v>-0.11700000000000001</v>
      </c>
      <c r="Y257" s="1" t="s">
        <v>707</v>
      </c>
      <c r="Z257">
        <v>-8.3000000000000007</v>
      </c>
      <c r="AA257">
        <v>0.9</v>
      </c>
      <c r="AB257">
        <v>-7.4</v>
      </c>
      <c r="AC257">
        <v>0</v>
      </c>
    </row>
    <row r="258" spans="1:29" x14ac:dyDescent="0.35">
      <c r="A258">
        <v>257</v>
      </c>
      <c r="B258" s="1" t="s">
        <v>326</v>
      </c>
      <c r="C258" s="1" t="s">
        <v>137</v>
      </c>
      <c r="D258">
        <v>23</v>
      </c>
      <c r="E258" s="1" t="s">
        <v>42</v>
      </c>
      <c r="F258">
        <v>36</v>
      </c>
      <c r="G258">
        <v>434</v>
      </c>
      <c r="H258">
        <v>5.4</v>
      </c>
      <c r="I258">
        <v>0.42599999999999999</v>
      </c>
      <c r="J258">
        <v>0.66</v>
      </c>
      <c r="K258">
        <v>6.3E-2</v>
      </c>
      <c r="L258">
        <v>1.5</v>
      </c>
      <c r="M258">
        <v>13.4</v>
      </c>
      <c r="N258">
        <v>7.3</v>
      </c>
      <c r="O258">
        <v>7.2</v>
      </c>
      <c r="P258">
        <v>1.6</v>
      </c>
      <c r="Q258">
        <v>1.8</v>
      </c>
      <c r="R258">
        <v>10.3</v>
      </c>
      <c r="S258">
        <v>16.5</v>
      </c>
      <c r="T258" s="1" t="s">
        <v>707</v>
      </c>
      <c r="U258">
        <v>-0.6</v>
      </c>
      <c r="V258">
        <v>0.3</v>
      </c>
      <c r="W258">
        <v>-0.4</v>
      </c>
      <c r="X258">
        <v>-4.2999999999999997E-2</v>
      </c>
      <c r="Y258" s="1" t="s">
        <v>707</v>
      </c>
      <c r="Z258">
        <v>-5.2</v>
      </c>
      <c r="AA258">
        <v>-1.7</v>
      </c>
      <c r="AB258">
        <v>-6.9</v>
      </c>
      <c r="AC258">
        <v>-0.5</v>
      </c>
    </row>
    <row r="259" spans="1:29" x14ac:dyDescent="0.35">
      <c r="A259">
        <v>258</v>
      </c>
      <c r="B259" s="1" t="s">
        <v>327</v>
      </c>
      <c r="C259" s="1" t="s">
        <v>51</v>
      </c>
      <c r="D259">
        <v>22</v>
      </c>
      <c r="E259" s="1" t="s">
        <v>61</v>
      </c>
      <c r="F259">
        <v>2</v>
      </c>
      <c r="G259">
        <v>8</v>
      </c>
      <c r="H259">
        <v>-3</v>
      </c>
      <c r="I259">
        <v>0</v>
      </c>
      <c r="J259">
        <v>0</v>
      </c>
      <c r="K259">
        <v>0</v>
      </c>
      <c r="L259">
        <v>13.2</v>
      </c>
      <c r="M259">
        <v>0</v>
      </c>
      <c r="N259">
        <v>6.7</v>
      </c>
      <c r="O259">
        <v>16</v>
      </c>
      <c r="P259">
        <v>6.3</v>
      </c>
      <c r="Q259">
        <v>0</v>
      </c>
      <c r="R259">
        <v>33.299999999999997</v>
      </c>
      <c r="S259">
        <v>16.399999999999999</v>
      </c>
      <c r="T259" s="1" t="s">
        <v>707</v>
      </c>
      <c r="U259">
        <v>-0.1</v>
      </c>
      <c r="V259">
        <v>0</v>
      </c>
      <c r="W259">
        <v>0</v>
      </c>
      <c r="X259">
        <v>-0.23400000000000001</v>
      </c>
      <c r="Y259" s="1" t="s">
        <v>707</v>
      </c>
      <c r="Z259">
        <v>-12.3</v>
      </c>
      <c r="AA259">
        <v>1</v>
      </c>
      <c r="AB259">
        <v>-11.3</v>
      </c>
      <c r="AC259">
        <v>0</v>
      </c>
    </row>
    <row r="260" spans="1:29" x14ac:dyDescent="0.35">
      <c r="A260">
        <v>259</v>
      </c>
      <c r="B260" s="1" t="s">
        <v>328</v>
      </c>
      <c r="C260" s="1" t="s">
        <v>51</v>
      </c>
      <c r="D260">
        <v>24</v>
      </c>
      <c r="E260" s="1" t="s">
        <v>80</v>
      </c>
      <c r="F260">
        <v>53</v>
      </c>
      <c r="G260">
        <v>1577</v>
      </c>
      <c r="H260">
        <v>10.6</v>
      </c>
      <c r="I260">
        <v>0.54700000000000004</v>
      </c>
      <c r="J260">
        <v>0.33900000000000002</v>
      </c>
      <c r="K260">
        <v>0.28899999999999998</v>
      </c>
      <c r="L260">
        <v>1.8</v>
      </c>
      <c r="M260">
        <v>10.4</v>
      </c>
      <c r="N260">
        <v>6.1</v>
      </c>
      <c r="O260">
        <v>6.1</v>
      </c>
      <c r="P260">
        <v>1.1000000000000001</v>
      </c>
      <c r="Q260">
        <v>1.2</v>
      </c>
      <c r="R260">
        <v>9.6</v>
      </c>
      <c r="S260">
        <v>19.899999999999999</v>
      </c>
      <c r="T260" s="1" t="s">
        <v>707</v>
      </c>
      <c r="U260">
        <v>0.4</v>
      </c>
      <c r="V260">
        <v>0.7</v>
      </c>
      <c r="W260">
        <v>1.1000000000000001</v>
      </c>
      <c r="X260">
        <v>3.4000000000000002E-2</v>
      </c>
      <c r="Y260" s="1" t="s">
        <v>707</v>
      </c>
      <c r="Z260">
        <v>-2.4</v>
      </c>
      <c r="AA260">
        <v>-1.5</v>
      </c>
      <c r="AB260">
        <v>-3.9</v>
      </c>
      <c r="AC260">
        <v>-0.8</v>
      </c>
    </row>
    <row r="261" spans="1:29" x14ac:dyDescent="0.35">
      <c r="A261">
        <v>260</v>
      </c>
      <c r="B261" s="1" t="s">
        <v>329</v>
      </c>
      <c r="C261" s="1" t="s">
        <v>51</v>
      </c>
      <c r="D261">
        <v>25</v>
      </c>
      <c r="E261" s="1" t="s">
        <v>68</v>
      </c>
      <c r="F261">
        <v>6</v>
      </c>
      <c r="G261">
        <v>22</v>
      </c>
      <c r="H261">
        <v>1</v>
      </c>
      <c r="I261">
        <v>0.69399999999999995</v>
      </c>
      <c r="J261">
        <v>0</v>
      </c>
      <c r="K261">
        <v>1</v>
      </c>
      <c r="L261">
        <v>0</v>
      </c>
      <c r="M261">
        <v>23.8</v>
      </c>
      <c r="N261">
        <v>12.2</v>
      </c>
      <c r="O261">
        <v>10.5</v>
      </c>
      <c r="P261">
        <v>0</v>
      </c>
      <c r="Q261">
        <v>0</v>
      </c>
      <c r="R261">
        <v>58.1</v>
      </c>
      <c r="S261">
        <v>13.5</v>
      </c>
      <c r="T261" s="1" t="s">
        <v>707</v>
      </c>
      <c r="U261">
        <v>-0.1</v>
      </c>
      <c r="V261">
        <v>0</v>
      </c>
      <c r="W261">
        <v>0</v>
      </c>
      <c r="X261">
        <v>-8.5999999999999993E-2</v>
      </c>
      <c r="Y261" s="1" t="s">
        <v>707</v>
      </c>
      <c r="Z261">
        <v>-8</v>
      </c>
      <c r="AA261">
        <v>-0.5</v>
      </c>
      <c r="AB261">
        <v>-8.5</v>
      </c>
      <c r="AC261">
        <v>0</v>
      </c>
    </row>
    <row r="262" spans="1:29" x14ac:dyDescent="0.35">
      <c r="A262">
        <v>261</v>
      </c>
      <c r="B262" s="1" t="s">
        <v>330</v>
      </c>
      <c r="C262" s="1" t="s">
        <v>48</v>
      </c>
      <c r="D262">
        <v>21</v>
      </c>
      <c r="E262" s="1" t="s">
        <v>86</v>
      </c>
      <c r="F262">
        <v>69</v>
      </c>
      <c r="G262">
        <v>1310</v>
      </c>
      <c r="H262">
        <v>14.4</v>
      </c>
      <c r="I262">
        <v>0.55800000000000005</v>
      </c>
      <c r="J262">
        <v>0.627</v>
      </c>
      <c r="K262">
        <v>0.219</v>
      </c>
      <c r="L262">
        <v>1.2</v>
      </c>
      <c r="M262">
        <v>14.4</v>
      </c>
      <c r="N262">
        <v>8</v>
      </c>
      <c r="O262">
        <v>21.2</v>
      </c>
      <c r="P262">
        <v>1.5</v>
      </c>
      <c r="Q262">
        <v>1.4</v>
      </c>
      <c r="R262">
        <v>12.1</v>
      </c>
      <c r="S262">
        <v>23.8</v>
      </c>
      <c r="T262" s="1" t="s">
        <v>707</v>
      </c>
      <c r="U262">
        <v>1.1000000000000001</v>
      </c>
      <c r="V262">
        <v>1.3</v>
      </c>
      <c r="W262">
        <v>2.4</v>
      </c>
      <c r="X262">
        <v>8.7999999999999995E-2</v>
      </c>
      <c r="Y262" s="1" t="s">
        <v>707</v>
      </c>
      <c r="Z262">
        <v>0.3</v>
      </c>
      <c r="AA262">
        <v>-0.7</v>
      </c>
      <c r="AB262">
        <v>-0.4</v>
      </c>
      <c r="AC262">
        <v>0.5</v>
      </c>
    </row>
    <row r="263" spans="1:29" x14ac:dyDescent="0.35">
      <c r="A263">
        <v>262</v>
      </c>
      <c r="B263" s="1" t="s">
        <v>331</v>
      </c>
      <c r="C263" s="1" t="s">
        <v>332</v>
      </c>
      <c r="D263">
        <v>32</v>
      </c>
      <c r="E263" s="1" t="s">
        <v>42</v>
      </c>
      <c r="F263">
        <v>54</v>
      </c>
      <c r="G263">
        <v>877</v>
      </c>
      <c r="H263">
        <v>14.4</v>
      </c>
      <c r="I263">
        <v>0.57899999999999996</v>
      </c>
      <c r="J263">
        <v>0.33400000000000002</v>
      </c>
      <c r="K263">
        <v>0.14899999999999999</v>
      </c>
      <c r="L263">
        <v>7.7</v>
      </c>
      <c r="M263">
        <v>22.2</v>
      </c>
      <c r="N263">
        <v>15.1</v>
      </c>
      <c r="O263">
        <v>8.4</v>
      </c>
      <c r="P263">
        <v>0.6</v>
      </c>
      <c r="Q263">
        <v>3.3</v>
      </c>
      <c r="R263">
        <v>12</v>
      </c>
      <c r="S263">
        <v>17.8</v>
      </c>
      <c r="T263" s="1" t="s">
        <v>707</v>
      </c>
      <c r="U263">
        <v>0.8</v>
      </c>
      <c r="V263">
        <v>1.1000000000000001</v>
      </c>
      <c r="W263">
        <v>2</v>
      </c>
      <c r="X263">
        <v>0.108</v>
      </c>
      <c r="Y263" s="1" t="s">
        <v>707</v>
      </c>
      <c r="Z263">
        <v>-1.3</v>
      </c>
      <c r="AA263">
        <v>-0.2</v>
      </c>
      <c r="AB263">
        <v>-1.5</v>
      </c>
      <c r="AC263">
        <v>0.1</v>
      </c>
    </row>
    <row r="264" spans="1:29" x14ac:dyDescent="0.35">
      <c r="A264">
        <v>263</v>
      </c>
      <c r="B264" s="1" t="s">
        <v>333</v>
      </c>
      <c r="C264" s="1" t="s">
        <v>51</v>
      </c>
      <c r="D264">
        <v>38</v>
      </c>
      <c r="E264" s="1" t="s">
        <v>111</v>
      </c>
      <c r="F264">
        <v>31</v>
      </c>
      <c r="G264">
        <v>603</v>
      </c>
      <c r="H264">
        <v>12.3</v>
      </c>
      <c r="I264">
        <v>0.47799999999999998</v>
      </c>
      <c r="J264">
        <v>0.61199999999999999</v>
      </c>
      <c r="K264">
        <v>0.16500000000000001</v>
      </c>
      <c r="L264">
        <v>3.9</v>
      </c>
      <c r="M264">
        <v>13.9</v>
      </c>
      <c r="N264">
        <v>9.1</v>
      </c>
      <c r="O264">
        <v>24.7</v>
      </c>
      <c r="P264">
        <v>2.2000000000000002</v>
      </c>
      <c r="Q264">
        <v>3.5</v>
      </c>
      <c r="R264">
        <v>17.7</v>
      </c>
      <c r="S264">
        <v>11.4</v>
      </c>
      <c r="T264" s="1" t="s">
        <v>707</v>
      </c>
      <c r="U264">
        <v>0.5</v>
      </c>
      <c r="V264">
        <v>1.1000000000000001</v>
      </c>
      <c r="W264">
        <v>1.6</v>
      </c>
      <c r="X264">
        <v>0.125</v>
      </c>
      <c r="Y264" s="1" t="s">
        <v>707</v>
      </c>
      <c r="Z264">
        <v>-0.9</v>
      </c>
      <c r="AA264">
        <v>3.7</v>
      </c>
      <c r="AB264">
        <v>2.7</v>
      </c>
      <c r="AC264">
        <v>0.7</v>
      </c>
    </row>
    <row r="265" spans="1:29" x14ac:dyDescent="0.35">
      <c r="A265">
        <v>264</v>
      </c>
      <c r="B265" s="1" t="s">
        <v>334</v>
      </c>
      <c r="C265" s="1" t="s">
        <v>51</v>
      </c>
      <c r="D265">
        <v>34</v>
      </c>
      <c r="E265" s="1" t="s">
        <v>70</v>
      </c>
      <c r="F265">
        <v>45</v>
      </c>
      <c r="G265">
        <v>1122</v>
      </c>
      <c r="H265">
        <v>10</v>
      </c>
      <c r="I265">
        <v>0.55100000000000005</v>
      </c>
      <c r="J265">
        <v>0.78900000000000003</v>
      </c>
      <c r="K265">
        <v>7.6999999999999999E-2</v>
      </c>
      <c r="L265">
        <v>1.2</v>
      </c>
      <c r="M265">
        <v>11.2</v>
      </c>
      <c r="N265">
        <v>6.4</v>
      </c>
      <c r="O265">
        <v>19</v>
      </c>
      <c r="P265">
        <v>1</v>
      </c>
      <c r="Q265">
        <v>0.4</v>
      </c>
      <c r="R265">
        <v>13.5</v>
      </c>
      <c r="S265">
        <v>13.2</v>
      </c>
      <c r="T265" s="1" t="s">
        <v>707</v>
      </c>
      <c r="U265">
        <v>1.3</v>
      </c>
      <c r="V265">
        <v>0.9</v>
      </c>
      <c r="W265">
        <v>2.2000000000000002</v>
      </c>
      <c r="X265">
        <v>9.4E-2</v>
      </c>
      <c r="Y265" s="1" t="s">
        <v>707</v>
      </c>
      <c r="Z265">
        <v>-0.7</v>
      </c>
      <c r="AA265">
        <v>0.5</v>
      </c>
      <c r="AB265">
        <v>-0.3</v>
      </c>
      <c r="AC265">
        <v>0.5</v>
      </c>
    </row>
    <row r="266" spans="1:29" x14ac:dyDescent="0.35">
      <c r="A266">
        <v>265</v>
      </c>
      <c r="B266" s="1" t="s">
        <v>335</v>
      </c>
      <c r="C266" s="1" t="s">
        <v>51</v>
      </c>
      <c r="D266">
        <v>24</v>
      </c>
      <c r="E266" s="1" t="s">
        <v>49</v>
      </c>
      <c r="F266">
        <v>55</v>
      </c>
      <c r="G266">
        <v>1869</v>
      </c>
      <c r="H266">
        <v>18.7</v>
      </c>
      <c r="I266">
        <v>0.55400000000000005</v>
      </c>
      <c r="J266">
        <v>0.23</v>
      </c>
      <c r="K266">
        <v>0.32800000000000001</v>
      </c>
      <c r="L266">
        <v>2</v>
      </c>
      <c r="M266">
        <v>17.3</v>
      </c>
      <c r="N266">
        <v>9.5</v>
      </c>
      <c r="O266">
        <v>27.8</v>
      </c>
      <c r="P266">
        <v>0.9</v>
      </c>
      <c r="Q266">
        <v>1.3</v>
      </c>
      <c r="R266">
        <v>11.8</v>
      </c>
      <c r="S266">
        <v>29.3</v>
      </c>
      <c r="T266" s="1" t="s">
        <v>707</v>
      </c>
      <c r="U266">
        <v>2.5</v>
      </c>
      <c r="V266">
        <v>1.3</v>
      </c>
      <c r="W266">
        <v>3.9</v>
      </c>
      <c r="X266">
        <v>9.9000000000000005E-2</v>
      </c>
      <c r="Y266" s="1" t="s">
        <v>707</v>
      </c>
      <c r="Z266">
        <v>2.6</v>
      </c>
      <c r="AA266">
        <v>-0.6</v>
      </c>
      <c r="AB266">
        <v>2</v>
      </c>
      <c r="AC266">
        <v>1.9</v>
      </c>
    </row>
    <row r="267" spans="1:29" x14ac:dyDescent="0.35">
      <c r="A267">
        <v>266</v>
      </c>
      <c r="B267" s="1" t="s">
        <v>336</v>
      </c>
      <c r="C267" s="1" t="s">
        <v>48</v>
      </c>
      <c r="D267">
        <v>29</v>
      </c>
      <c r="E267" s="1" t="s">
        <v>39</v>
      </c>
      <c r="F267">
        <v>29</v>
      </c>
      <c r="G267">
        <v>1091</v>
      </c>
      <c r="H267">
        <v>21.4</v>
      </c>
      <c r="I267">
        <v>0.59199999999999997</v>
      </c>
      <c r="J267">
        <v>0.38800000000000001</v>
      </c>
      <c r="K267">
        <v>0.20899999999999999</v>
      </c>
      <c r="L267">
        <v>1.6</v>
      </c>
      <c r="M267">
        <v>10.8</v>
      </c>
      <c r="N267">
        <v>6.3</v>
      </c>
      <c r="O267">
        <v>25.2</v>
      </c>
      <c r="P267">
        <v>1.8</v>
      </c>
      <c r="Q267">
        <v>1.4</v>
      </c>
      <c r="R267">
        <v>9.8000000000000007</v>
      </c>
      <c r="S267">
        <v>29.4</v>
      </c>
      <c r="T267" s="1" t="s">
        <v>707</v>
      </c>
      <c r="U267">
        <v>2.4</v>
      </c>
      <c r="V267">
        <v>0.9</v>
      </c>
      <c r="W267">
        <v>3.3</v>
      </c>
      <c r="X267">
        <v>0.14699999999999999</v>
      </c>
      <c r="Y267" s="1" t="s">
        <v>707</v>
      </c>
      <c r="Z267">
        <v>4.2</v>
      </c>
      <c r="AA267">
        <v>-1.2</v>
      </c>
      <c r="AB267">
        <v>3</v>
      </c>
      <c r="AC267">
        <v>1.4</v>
      </c>
    </row>
    <row r="268" spans="1:29" x14ac:dyDescent="0.35">
      <c r="A268">
        <v>267</v>
      </c>
      <c r="B268" s="1" t="s">
        <v>337</v>
      </c>
      <c r="C268" s="1" t="s">
        <v>51</v>
      </c>
      <c r="D268">
        <v>27</v>
      </c>
      <c r="E268" s="1" t="s">
        <v>80</v>
      </c>
      <c r="F268">
        <v>3</v>
      </c>
      <c r="G268">
        <v>82</v>
      </c>
      <c r="H268">
        <v>7.1</v>
      </c>
      <c r="I268">
        <v>0.55700000000000005</v>
      </c>
      <c r="J268">
        <v>0.27800000000000002</v>
      </c>
      <c r="K268">
        <v>0.222</v>
      </c>
      <c r="L268">
        <v>4</v>
      </c>
      <c r="M268">
        <v>13.3</v>
      </c>
      <c r="N268">
        <v>8.6999999999999993</v>
      </c>
      <c r="O268">
        <v>0</v>
      </c>
      <c r="P268">
        <v>0.6</v>
      </c>
      <c r="Q268">
        <v>0</v>
      </c>
      <c r="R268">
        <v>4.8</v>
      </c>
      <c r="S268">
        <v>11.1</v>
      </c>
      <c r="T268" s="1" t="s">
        <v>707</v>
      </c>
      <c r="U268">
        <v>0.1</v>
      </c>
      <c r="V268">
        <v>0</v>
      </c>
      <c r="W268">
        <v>0.1</v>
      </c>
      <c r="X268">
        <v>4.5999999999999999E-2</v>
      </c>
      <c r="Y268" s="1" t="s">
        <v>707</v>
      </c>
      <c r="Z268">
        <v>-4.0999999999999996</v>
      </c>
      <c r="AA268">
        <v>-2.7</v>
      </c>
      <c r="AB268">
        <v>-6.8</v>
      </c>
      <c r="AC268">
        <v>-0.1</v>
      </c>
    </row>
    <row r="269" spans="1:29" x14ac:dyDescent="0.35">
      <c r="A269">
        <v>268</v>
      </c>
      <c r="B269" s="1" t="s">
        <v>338</v>
      </c>
      <c r="C269" s="1" t="s">
        <v>48</v>
      </c>
      <c r="D269">
        <v>23</v>
      </c>
      <c r="E269" s="1" t="s">
        <v>105</v>
      </c>
      <c r="F269">
        <v>53</v>
      </c>
      <c r="G269">
        <v>1164</v>
      </c>
      <c r="H269">
        <v>10.6</v>
      </c>
      <c r="I269">
        <v>0.53</v>
      </c>
      <c r="J269">
        <v>0.57799999999999996</v>
      </c>
      <c r="K269">
        <v>0.215</v>
      </c>
      <c r="L269">
        <v>1.7</v>
      </c>
      <c r="M269">
        <v>6.7</v>
      </c>
      <c r="N269">
        <v>4</v>
      </c>
      <c r="O269">
        <v>7.6</v>
      </c>
      <c r="P269">
        <v>1.1000000000000001</v>
      </c>
      <c r="Q269">
        <v>0.7</v>
      </c>
      <c r="R269">
        <v>6.7</v>
      </c>
      <c r="S269">
        <v>20.9</v>
      </c>
      <c r="T269" s="1" t="s">
        <v>707</v>
      </c>
      <c r="U269">
        <v>0.3</v>
      </c>
      <c r="V269">
        <v>0.4</v>
      </c>
      <c r="W269">
        <v>0.7</v>
      </c>
      <c r="X269">
        <v>3.1E-2</v>
      </c>
      <c r="Y269" s="1" t="s">
        <v>707</v>
      </c>
      <c r="Z269">
        <v>-1.8</v>
      </c>
      <c r="AA269">
        <v>-1.7</v>
      </c>
      <c r="AB269">
        <v>-3.5</v>
      </c>
      <c r="AC269">
        <v>-0.4</v>
      </c>
    </row>
    <row r="270" spans="1:29" x14ac:dyDescent="0.35">
      <c r="A270">
        <v>269</v>
      </c>
      <c r="B270" s="1" t="s">
        <v>339</v>
      </c>
      <c r="C270" s="1" t="s">
        <v>28</v>
      </c>
      <c r="D270">
        <v>20</v>
      </c>
      <c r="E270" s="1" t="s">
        <v>108</v>
      </c>
      <c r="F270">
        <v>36</v>
      </c>
      <c r="G270">
        <v>541</v>
      </c>
      <c r="H270">
        <v>20.5</v>
      </c>
      <c r="I270">
        <v>0.60699999999999998</v>
      </c>
      <c r="J270">
        <v>7.8E-2</v>
      </c>
      <c r="K270">
        <v>0.42699999999999999</v>
      </c>
      <c r="L270">
        <v>12.2</v>
      </c>
      <c r="M270">
        <v>18.7</v>
      </c>
      <c r="N270">
        <v>15.4</v>
      </c>
      <c r="O270">
        <v>2.9</v>
      </c>
      <c r="P270">
        <v>2.2999999999999998</v>
      </c>
      <c r="Q270">
        <v>8.4</v>
      </c>
      <c r="R270">
        <v>14</v>
      </c>
      <c r="S270">
        <v>22.5</v>
      </c>
      <c r="T270" s="1" t="s">
        <v>707</v>
      </c>
      <c r="U270">
        <v>0.7</v>
      </c>
      <c r="V270">
        <v>0.7</v>
      </c>
      <c r="W270">
        <v>1.4</v>
      </c>
      <c r="X270">
        <v>0.126</v>
      </c>
      <c r="Y270" s="1" t="s">
        <v>707</v>
      </c>
      <c r="Z270">
        <v>-1.6</v>
      </c>
      <c r="AA270">
        <v>0.1</v>
      </c>
      <c r="AB270">
        <v>-1.5</v>
      </c>
      <c r="AC270">
        <v>0.1</v>
      </c>
    </row>
    <row r="271" spans="1:29" x14ac:dyDescent="0.35">
      <c r="A271">
        <v>270</v>
      </c>
      <c r="B271" s="1" t="s">
        <v>340</v>
      </c>
      <c r="C271" s="1" t="s">
        <v>28</v>
      </c>
      <c r="D271">
        <v>22</v>
      </c>
      <c r="E271" s="1" t="s">
        <v>34</v>
      </c>
      <c r="F271">
        <v>78</v>
      </c>
      <c r="G271">
        <v>2126</v>
      </c>
      <c r="H271">
        <v>17</v>
      </c>
      <c r="I271">
        <v>0.53500000000000003</v>
      </c>
      <c r="J271">
        <v>0.38700000000000001</v>
      </c>
      <c r="K271">
        <v>0.33300000000000002</v>
      </c>
      <c r="L271">
        <v>5.7</v>
      </c>
      <c r="M271">
        <v>16.899999999999999</v>
      </c>
      <c r="N271">
        <v>11.2</v>
      </c>
      <c r="O271">
        <v>5.8</v>
      </c>
      <c r="P271">
        <v>1.6</v>
      </c>
      <c r="Q271">
        <v>7.4</v>
      </c>
      <c r="R271">
        <v>9.9</v>
      </c>
      <c r="S271">
        <v>25.4</v>
      </c>
      <c r="T271" s="1" t="s">
        <v>707</v>
      </c>
      <c r="U271">
        <v>1.7</v>
      </c>
      <c r="V271">
        <v>3.7</v>
      </c>
      <c r="W271">
        <v>5.4</v>
      </c>
      <c r="X271">
        <v>0.121</v>
      </c>
      <c r="Y271" s="1" t="s">
        <v>707</v>
      </c>
      <c r="Z271">
        <v>-0.9</v>
      </c>
      <c r="AA271">
        <v>0.8</v>
      </c>
      <c r="AB271">
        <v>-0.1</v>
      </c>
      <c r="AC271">
        <v>1</v>
      </c>
    </row>
    <row r="272" spans="1:29" x14ac:dyDescent="0.35">
      <c r="A272">
        <v>271</v>
      </c>
      <c r="B272" s="1" t="s">
        <v>341</v>
      </c>
      <c r="C272" s="1" t="s">
        <v>51</v>
      </c>
      <c r="D272">
        <v>24</v>
      </c>
      <c r="E272" s="1" t="s">
        <v>42</v>
      </c>
      <c r="F272">
        <v>51</v>
      </c>
      <c r="G272">
        <v>830</v>
      </c>
      <c r="H272">
        <v>9.5</v>
      </c>
      <c r="I272">
        <v>0.49099999999999999</v>
      </c>
      <c r="J272">
        <v>0.433</v>
      </c>
      <c r="K272">
        <v>0.25700000000000001</v>
      </c>
      <c r="L272">
        <v>2.6</v>
      </c>
      <c r="M272">
        <v>16.399999999999999</v>
      </c>
      <c r="N272">
        <v>9.1999999999999993</v>
      </c>
      <c r="O272">
        <v>10</v>
      </c>
      <c r="P272">
        <v>1.5</v>
      </c>
      <c r="Q272">
        <v>2.4</v>
      </c>
      <c r="R272">
        <v>12.3</v>
      </c>
      <c r="S272">
        <v>19.7</v>
      </c>
      <c r="T272" s="1" t="s">
        <v>707</v>
      </c>
      <c r="U272">
        <v>-0.7</v>
      </c>
      <c r="V272">
        <v>0.7</v>
      </c>
      <c r="W272">
        <v>0</v>
      </c>
      <c r="X272">
        <v>1E-3</v>
      </c>
      <c r="Y272" s="1" t="s">
        <v>707</v>
      </c>
      <c r="Z272">
        <v>-4.0999999999999996</v>
      </c>
      <c r="AA272">
        <v>-0.4</v>
      </c>
      <c r="AB272">
        <v>-4.5</v>
      </c>
      <c r="AC272">
        <v>-0.5</v>
      </c>
    </row>
    <row r="273" spans="1:29" x14ac:dyDescent="0.35">
      <c r="A273">
        <v>272</v>
      </c>
      <c r="B273" s="1" t="s">
        <v>342</v>
      </c>
      <c r="C273" s="1" t="s">
        <v>51</v>
      </c>
      <c r="D273">
        <v>26</v>
      </c>
      <c r="E273" s="1" t="s">
        <v>42</v>
      </c>
      <c r="F273">
        <v>7</v>
      </c>
      <c r="G273">
        <v>37</v>
      </c>
      <c r="H273">
        <v>7.7</v>
      </c>
      <c r="I273">
        <v>0.47199999999999998</v>
      </c>
      <c r="J273">
        <v>0.6</v>
      </c>
      <c r="K273">
        <v>0.13300000000000001</v>
      </c>
      <c r="L273">
        <v>3</v>
      </c>
      <c r="M273">
        <v>16.899999999999999</v>
      </c>
      <c r="N273">
        <v>10.1</v>
      </c>
      <c r="O273">
        <v>7.1</v>
      </c>
      <c r="P273">
        <v>0</v>
      </c>
      <c r="Q273">
        <v>0</v>
      </c>
      <c r="R273">
        <v>5.9</v>
      </c>
      <c r="S273">
        <v>19.7</v>
      </c>
      <c r="T273" s="1" t="s">
        <v>707</v>
      </c>
      <c r="U273">
        <v>0</v>
      </c>
      <c r="V273">
        <v>0</v>
      </c>
      <c r="W273">
        <v>0</v>
      </c>
      <c r="X273">
        <v>3.2000000000000001E-2</v>
      </c>
      <c r="Y273" s="1" t="s">
        <v>707</v>
      </c>
      <c r="Z273">
        <v>-2.2000000000000002</v>
      </c>
      <c r="AA273">
        <v>-1.1000000000000001</v>
      </c>
      <c r="AB273">
        <v>-3.3</v>
      </c>
      <c r="AC273">
        <v>0</v>
      </c>
    </row>
    <row r="274" spans="1:29" x14ac:dyDescent="0.35">
      <c r="A274">
        <v>273</v>
      </c>
      <c r="B274" s="1" t="s">
        <v>343</v>
      </c>
      <c r="C274" s="1" t="s">
        <v>41</v>
      </c>
      <c r="D274">
        <v>31</v>
      </c>
      <c r="E274" s="1" t="s">
        <v>93</v>
      </c>
      <c r="F274">
        <v>75</v>
      </c>
      <c r="G274">
        <v>2337</v>
      </c>
      <c r="H274">
        <v>12.1</v>
      </c>
      <c r="I274">
        <v>0.48799999999999999</v>
      </c>
      <c r="J274">
        <v>0.41899999999999998</v>
      </c>
      <c r="K274">
        <v>0.13300000000000001</v>
      </c>
      <c r="L274">
        <v>1.8</v>
      </c>
      <c r="M274">
        <v>10.199999999999999</v>
      </c>
      <c r="N274">
        <v>6.1</v>
      </c>
      <c r="O274">
        <v>24.6</v>
      </c>
      <c r="P274">
        <v>1.2</v>
      </c>
      <c r="Q274">
        <v>0.5</v>
      </c>
      <c r="R274">
        <v>11.8</v>
      </c>
      <c r="S274">
        <v>27.6</v>
      </c>
      <c r="T274" s="1" t="s">
        <v>707</v>
      </c>
      <c r="U274">
        <v>-1.7</v>
      </c>
      <c r="V274">
        <v>2</v>
      </c>
      <c r="W274">
        <v>0.4</v>
      </c>
      <c r="X274">
        <v>8.0000000000000002E-3</v>
      </c>
      <c r="Y274" s="1" t="s">
        <v>707</v>
      </c>
      <c r="Z274">
        <v>-1.4</v>
      </c>
      <c r="AA274">
        <v>-1.6</v>
      </c>
      <c r="AB274">
        <v>-2.9</v>
      </c>
      <c r="AC274">
        <v>-0.6</v>
      </c>
    </row>
    <row r="275" spans="1:29" x14ac:dyDescent="0.35">
      <c r="A275">
        <v>274</v>
      </c>
      <c r="B275" s="1" t="s">
        <v>344</v>
      </c>
      <c r="C275" s="1" t="s">
        <v>51</v>
      </c>
      <c r="D275">
        <v>37</v>
      </c>
      <c r="E275" s="1" t="s">
        <v>56</v>
      </c>
      <c r="F275">
        <v>56</v>
      </c>
      <c r="G275">
        <v>2084</v>
      </c>
      <c r="H275">
        <v>26.2</v>
      </c>
      <c r="I275">
        <v>0.61899999999999999</v>
      </c>
      <c r="J275">
        <v>0.36699999999999999</v>
      </c>
      <c r="K275">
        <v>0.27500000000000002</v>
      </c>
      <c r="L275">
        <v>3.3</v>
      </c>
      <c r="M275">
        <v>20.399999999999999</v>
      </c>
      <c r="N275">
        <v>11.8</v>
      </c>
      <c r="O275">
        <v>30.6</v>
      </c>
      <c r="P275">
        <v>1.7</v>
      </c>
      <c r="Q275">
        <v>2.5</v>
      </c>
      <c r="R275">
        <v>12.5</v>
      </c>
      <c r="S275">
        <v>32.299999999999997</v>
      </c>
      <c r="T275" s="1" t="s">
        <v>707</v>
      </c>
      <c r="U275">
        <v>5.2</v>
      </c>
      <c r="V275">
        <v>2.2999999999999998</v>
      </c>
      <c r="W275">
        <v>7.5</v>
      </c>
      <c r="X275">
        <v>0.17199999999999999</v>
      </c>
      <c r="Y275" s="1" t="s">
        <v>707</v>
      </c>
      <c r="Z275">
        <v>6.9</v>
      </c>
      <c r="AA275">
        <v>0.8</v>
      </c>
      <c r="AB275">
        <v>7.7</v>
      </c>
      <c r="AC275">
        <v>5.0999999999999996</v>
      </c>
    </row>
    <row r="276" spans="1:29" x14ac:dyDescent="0.35">
      <c r="A276">
        <v>275</v>
      </c>
      <c r="B276" s="1" t="s">
        <v>345</v>
      </c>
      <c r="C276" s="1" t="s">
        <v>41</v>
      </c>
      <c r="D276">
        <v>24</v>
      </c>
      <c r="E276" s="1" t="s">
        <v>108</v>
      </c>
      <c r="F276">
        <v>1</v>
      </c>
      <c r="G276">
        <v>1</v>
      </c>
      <c r="H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S276">
        <v>0</v>
      </c>
      <c r="T276" s="1" t="s">
        <v>707</v>
      </c>
      <c r="U276">
        <v>0</v>
      </c>
      <c r="V276">
        <v>0</v>
      </c>
      <c r="W276">
        <v>0</v>
      </c>
      <c r="X276">
        <v>-2.1999999999999999E-2</v>
      </c>
      <c r="Y276" s="1" t="s">
        <v>707</v>
      </c>
      <c r="Z276">
        <v>-6.5</v>
      </c>
      <c r="AA276">
        <v>-1.5</v>
      </c>
      <c r="AB276">
        <v>-8</v>
      </c>
      <c r="AC276">
        <v>0</v>
      </c>
    </row>
    <row r="277" spans="1:29" x14ac:dyDescent="0.35">
      <c r="A277">
        <v>276</v>
      </c>
      <c r="B277" s="1" t="s">
        <v>346</v>
      </c>
      <c r="C277" s="1" t="s">
        <v>41</v>
      </c>
      <c r="D277">
        <v>24</v>
      </c>
      <c r="E277" s="1" t="s">
        <v>34</v>
      </c>
      <c r="F277">
        <v>3</v>
      </c>
      <c r="G277">
        <v>9</v>
      </c>
      <c r="H277">
        <v>8.4</v>
      </c>
      <c r="I277">
        <v>0.5</v>
      </c>
      <c r="J277">
        <v>0.5</v>
      </c>
      <c r="K277">
        <v>0</v>
      </c>
      <c r="L277">
        <v>0</v>
      </c>
      <c r="M277">
        <v>23.8</v>
      </c>
      <c r="N277">
        <v>11.6</v>
      </c>
      <c r="O277">
        <v>14</v>
      </c>
      <c r="P277">
        <v>0</v>
      </c>
      <c r="Q277">
        <v>0</v>
      </c>
      <c r="R277">
        <v>0</v>
      </c>
      <c r="S277">
        <v>9.1</v>
      </c>
      <c r="T277" s="1" t="s">
        <v>707</v>
      </c>
      <c r="U277">
        <v>0</v>
      </c>
      <c r="V277">
        <v>0</v>
      </c>
      <c r="W277">
        <v>0</v>
      </c>
      <c r="X277">
        <v>9.9000000000000005E-2</v>
      </c>
      <c r="Y277" s="1" t="s">
        <v>707</v>
      </c>
      <c r="Z277">
        <v>-5.8</v>
      </c>
      <c r="AA277">
        <v>0.9</v>
      </c>
      <c r="AB277">
        <v>-4.9000000000000004</v>
      </c>
      <c r="AC277">
        <v>0</v>
      </c>
    </row>
    <row r="278" spans="1:29" x14ac:dyDescent="0.35">
      <c r="A278">
        <v>277</v>
      </c>
      <c r="B278" s="1" t="s">
        <v>347</v>
      </c>
      <c r="C278" s="1" t="s">
        <v>41</v>
      </c>
      <c r="D278">
        <v>24</v>
      </c>
      <c r="E278" s="1" t="s">
        <v>96</v>
      </c>
      <c r="F278">
        <v>48</v>
      </c>
      <c r="G278">
        <v>801</v>
      </c>
      <c r="H278">
        <v>11.3</v>
      </c>
      <c r="I278">
        <v>0.48799999999999999</v>
      </c>
      <c r="J278">
        <v>0.56699999999999995</v>
      </c>
      <c r="K278">
        <v>0.14299999999999999</v>
      </c>
      <c r="L278">
        <v>2.4</v>
      </c>
      <c r="M278">
        <v>7.7</v>
      </c>
      <c r="N278">
        <v>5</v>
      </c>
      <c r="O278">
        <v>21.3</v>
      </c>
      <c r="P278">
        <v>1.8</v>
      </c>
      <c r="Q278">
        <v>0.6</v>
      </c>
      <c r="R278">
        <v>9.6</v>
      </c>
      <c r="S278">
        <v>20.8</v>
      </c>
      <c r="T278" s="1" t="s">
        <v>707</v>
      </c>
      <c r="U278">
        <v>0</v>
      </c>
      <c r="V278">
        <v>0.5</v>
      </c>
      <c r="W278">
        <v>0.5</v>
      </c>
      <c r="X278">
        <v>3.2000000000000001E-2</v>
      </c>
      <c r="Y278" s="1" t="s">
        <v>707</v>
      </c>
      <c r="Z278">
        <v>-2.2000000000000002</v>
      </c>
      <c r="AA278">
        <v>-0.2</v>
      </c>
      <c r="AB278">
        <v>-2.2999999999999998</v>
      </c>
      <c r="AC278">
        <v>-0.1</v>
      </c>
    </row>
    <row r="279" spans="1:29" x14ac:dyDescent="0.35">
      <c r="A279">
        <v>278</v>
      </c>
      <c r="B279" s="1" t="s">
        <v>348</v>
      </c>
      <c r="C279" s="1" t="s">
        <v>41</v>
      </c>
      <c r="D279">
        <v>22</v>
      </c>
      <c r="E279" s="1" t="s">
        <v>89</v>
      </c>
      <c r="F279">
        <v>55</v>
      </c>
      <c r="G279">
        <v>609</v>
      </c>
      <c r="H279">
        <v>7.7</v>
      </c>
      <c r="I279">
        <v>0.51900000000000002</v>
      </c>
      <c r="J279">
        <v>0.76300000000000001</v>
      </c>
      <c r="K279">
        <v>0.17499999999999999</v>
      </c>
      <c r="L279">
        <v>1.1000000000000001</v>
      </c>
      <c r="M279">
        <v>9</v>
      </c>
      <c r="N279">
        <v>5.0999999999999996</v>
      </c>
      <c r="O279">
        <v>8.1</v>
      </c>
      <c r="P279">
        <v>1.1000000000000001</v>
      </c>
      <c r="Q279">
        <v>0.4</v>
      </c>
      <c r="R279">
        <v>9.1</v>
      </c>
      <c r="S279">
        <v>15.5</v>
      </c>
      <c r="T279" s="1" t="s">
        <v>707</v>
      </c>
      <c r="U279">
        <v>0</v>
      </c>
      <c r="V279">
        <v>0.4</v>
      </c>
      <c r="W279">
        <v>0.4</v>
      </c>
      <c r="X279">
        <v>3.5000000000000003E-2</v>
      </c>
      <c r="Y279" s="1" t="s">
        <v>707</v>
      </c>
      <c r="Z279">
        <v>-3.1</v>
      </c>
      <c r="AA279">
        <v>-1.5</v>
      </c>
      <c r="AB279">
        <v>-4.5999999999999996</v>
      </c>
      <c r="AC279">
        <v>-0.4</v>
      </c>
    </row>
    <row r="280" spans="1:29" x14ac:dyDescent="0.35">
      <c r="A280">
        <v>279</v>
      </c>
      <c r="B280" s="1" t="s">
        <v>349</v>
      </c>
      <c r="C280" s="1" t="s">
        <v>28</v>
      </c>
      <c r="D280">
        <v>25</v>
      </c>
      <c r="E280" s="1" t="s">
        <v>42</v>
      </c>
      <c r="F280">
        <v>23</v>
      </c>
      <c r="G280">
        <v>167</v>
      </c>
      <c r="H280">
        <v>10.7</v>
      </c>
      <c r="I280">
        <v>0.46300000000000002</v>
      </c>
      <c r="J280">
        <v>0.10299999999999999</v>
      </c>
      <c r="K280">
        <v>0.308</v>
      </c>
      <c r="L280">
        <v>18.8</v>
      </c>
      <c r="M280">
        <v>22.1</v>
      </c>
      <c r="N280">
        <v>20.399999999999999</v>
      </c>
      <c r="O280">
        <v>7.1</v>
      </c>
      <c r="P280">
        <v>1.5</v>
      </c>
      <c r="Q280">
        <v>0</v>
      </c>
      <c r="R280">
        <v>21.3</v>
      </c>
      <c r="S280">
        <v>14.8</v>
      </c>
      <c r="T280" s="1" t="s">
        <v>707</v>
      </c>
      <c r="U280">
        <v>0</v>
      </c>
      <c r="V280">
        <v>0.1</v>
      </c>
      <c r="W280">
        <v>0.1</v>
      </c>
      <c r="X280">
        <v>4.1000000000000002E-2</v>
      </c>
      <c r="Y280" s="1" t="s">
        <v>707</v>
      </c>
      <c r="Z280">
        <v>-3.6</v>
      </c>
      <c r="AA280">
        <v>-1.8</v>
      </c>
      <c r="AB280">
        <v>-5.5</v>
      </c>
      <c r="AC280">
        <v>-0.1</v>
      </c>
    </row>
    <row r="281" spans="1:29" x14ac:dyDescent="0.35">
      <c r="A281">
        <v>280</v>
      </c>
      <c r="B281" s="1" t="s">
        <v>350</v>
      </c>
      <c r="C281" s="1" t="s">
        <v>51</v>
      </c>
      <c r="D281">
        <v>26</v>
      </c>
      <c r="E281" s="1" t="s">
        <v>58</v>
      </c>
      <c r="F281">
        <v>4</v>
      </c>
      <c r="G281">
        <v>65</v>
      </c>
      <c r="H281">
        <v>12.1</v>
      </c>
      <c r="I281">
        <v>0.52</v>
      </c>
      <c r="J281">
        <v>0.4</v>
      </c>
      <c r="K281">
        <v>0</v>
      </c>
      <c r="L281">
        <v>9.6999999999999993</v>
      </c>
      <c r="M281">
        <v>14.7</v>
      </c>
      <c r="N281">
        <v>12.2</v>
      </c>
      <c r="O281">
        <v>0</v>
      </c>
      <c r="P281">
        <v>0</v>
      </c>
      <c r="Q281">
        <v>1.4</v>
      </c>
      <c r="R281">
        <v>0</v>
      </c>
      <c r="S281">
        <v>16.7</v>
      </c>
      <c r="T281" s="1" t="s">
        <v>707</v>
      </c>
      <c r="U281">
        <v>0.1</v>
      </c>
      <c r="V281">
        <v>0</v>
      </c>
      <c r="W281">
        <v>0.1</v>
      </c>
      <c r="X281">
        <v>6.5000000000000002E-2</v>
      </c>
      <c r="Y281" s="1" t="s">
        <v>707</v>
      </c>
      <c r="Z281">
        <v>-0.7</v>
      </c>
      <c r="AA281">
        <v>-3.9</v>
      </c>
      <c r="AB281">
        <v>-4.5999999999999996</v>
      </c>
      <c r="AC281">
        <v>0</v>
      </c>
    </row>
    <row r="282" spans="1:29" x14ac:dyDescent="0.35">
      <c r="A282">
        <v>281</v>
      </c>
      <c r="B282" s="1" t="s">
        <v>351</v>
      </c>
      <c r="C282" s="1" t="s">
        <v>28</v>
      </c>
      <c r="D282">
        <v>25</v>
      </c>
      <c r="E282" s="1" t="s">
        <v>68</v>
      </c>
      <c r="F282">
        <v>66</v>
      </c>
      <c r="G282">
        <v>1730</v>
      </c>
      <c r="H282">
        <v>15.2</v>
      </c>
      <c r="I282">
        <v>0.625</v>
      </c>
      <c r="J282">
        <v>0.64400000000000002</v>
      </c>
      <c r="K282">
        <v>0.188</v>
      </c>
      <c r="L282">
        <v>2.7</v>
      </c>
      <c r="M282">
        <v>14</v>
      </c>
      <c r="N282">
        <v>8.5</v>
      </c>
      <c r="O282">
        <v>7.7</v>
      </c>
      <c r="P282">
        <v>1.6</v>
      </c>
      <c r="Q282">
        <v>0.8</v>
      </c>
      <c r="R282">
        <v>6.7</v>
      </c>
      <c r="S282">
        <v>17.5</v>
      </c>
      <c r="T282" s="1" t="s">
        <v>707</v>
      </c>
      <c r="U282">
        <v>3.2</v>
      </c>
      <c r="V282">
        <v>2.4</v>
      </c>
      <c r="W282">
        <v>5.6</v>
      </c>
      <c r="X282">
        <v>0.156</v>
      </c>
      <c r="Y282" s="1" t="s">
        <v>707</v>
      </c>
      <c r="Z282">
        <v>2</v>
      </c>
      <c r="AA282">
        <v>0.7</v>
      </c>
      <c r="AB282">
        <v>2.7</v>
      </c>
      <c r="AC282">
        <v>2.1</v>
      </c>
    </row>
    <row r="283" spans="1:29" x14ac:dyDescent="0.35">
      <c r="A283">
        <v>282</v>
      </c>
      <c r="B283" s="1" t="s">
        <v>352</v>
      </c>
      <c r="C283" s="1" t="s">
        <v>41</v>
      </c>
      <c r="D283">
        <v>20</v>
      </c>
      <c r="E283" s="1" t="s">
        <v>32</v>
      </c>
      <c r="F283">
        <v>2</v>
      </c>
      <c r="G283">
        <v>2</v>
      </c>
      <c r="H283">
        <v>-20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21.4</v>
      </c>
      <c r="T283" s="1" t="s">
        <v>707</v>
      </c>
      <c r="U283">
        <v>0</v>
      </c>
      <c r="V283">
        <v>0</v>
      </c>
      <c r="W283">
        <v>0</v>
      </c>
      <c r="X283">
        <v>-0.495</v>
      </c>
      <c r="Y283" s="1" t="s">
        <v>707</v>
      </c>
      <c r="Z283">
        <v>-19</v>
      </c>
      <c r="AA283">
        <v>-8.6999999999999993</v>
      </c>
      <c r="AB283">
        <v>-27.7</v>
      </c>
      <c r="AC283">
        <v>0</v>
      </c>
    </row>
    <row r="284" spans="1:29" x14ac:dyDescent="0.35">
      <c r="A284">
        <v>283</v>
      </c>
      <c r="B284" s="1" t="s">
        <v>353</v>
      </c>
      <c r="C284" s="1" t="s">
        <v>28</v>
      </c>
      <c r="D284">
        <v>20</v>
      </c>
      <c r="E284" s="1" t="s">
        <v>80</v>
      </c>
      <c r="F284">
        <v>22</v>
      </c>
      <c r="G284">
        <v>120</v>
      </c>
      <c r="H284">
        <v>11.3</v>
      </c>
      <c r="I284">
        <v>0.59</v>
      </c>
      <c r="J284">
        <v>0.317</v>
      </c>
      <c r="K284">
        <v>0.17100000000000001</v>
      </c>
      <c r="L284">
        <v>1.8</v>
      </c>
      <c r="M284">
        <v>21.8</v>
      </c>
      <c r="N284">
        <v>11.9</v>
      </c>
      <c r="O284">
        <v>3.7</v>
      </c>
      <c r="P284">
        <v>1.2</v>
      </c>
      <c r="Q284">
        <v>1.5</v>
      </c>
      <c r="R284">
        <v>17</v>
      </c>
      <c r="S284">
        <v>19.3</v>
      </c>
      <c r="T284" s="1" t="s">
        <v>707</v>
      </c>
      <c r="U284">
        <v>-0.1</v>
      </c>
      <c r="V284">
        <v>0.1</v>
      </c>
      <c r="W284">
        <v>0</v>
      </c>
      <c r="X284">
        <v>1.2999999999999999E-2</v>
      </c>
      <c r="Y284" s="1" t="s">
        <v>707</v>
      </c>
      <c r="Z284">
        <v>-3.9</v>
      </c>
      <c r="AA284">
        <v>-1.1000000000000001</v>
      </c>
      <c r="AB284">
        <v>-4.9000000000000004</v>
      </c>
      <c r="AC284">
        <v>-0.1</v>
      </c>
    </row>
    <row r="285" spans="1:29" x14ac:dyDescent="0.35">
      <c r="A285">
        <v>284</v>
      </c>
      <c r="B285" s="1" t="s">
        <v>354</v>
      </c>
      <c r="C285" s="1" t="s">
        <v>28</v>
      </c>
      <c r="D285">
        <v>34</v>
      </c>
      <c r="E285" s="1" t="s">
        <v>39</v>
      </c>
      <c r="F285">
        <v>62</v>
      </c>
      <c r="G285">
        <v>1191</v>
      </c>
      <c r="H285">
        <v>10.3</v>
      </c>
      <c r="I285">
        <v>0.51300000000000001</v>
      </c>
      <c r="J285">
        <v>0.27700000000000002</v>
      </c>
      <c r="K285">
        <v>0.17899999999999999</v>
      </c>
      <c r="L285">
        <v>4.8</v>
      </c>
      <c r="M285">
        <v>14.6</v>
      </c>
      <c r="N285">
        <v>9.8000000000000007</v>
      </c>
      <c r="O285">
        <v>14.5</v>
      </c>
      <c r="P285">
        <v>1.2</v>
      </c>
      <c r="Q285">
        <v>2.6</v>
      </c>
      <c r="R285">
        <v>12.7</v>
      </c>
      <c r="S285">
        <v>13.7</v>
      </c>
      <c r="T285" s="1" t="s">
        <v>707</v>
      </c>
      <c r="U285">
        <v>0.6</v>
      </c>
      <c r="V285">
        <v>1.1000000000000001</v>
      </c>
      <c r="W285">
        <v>1.7</v>
      </c>
      <c r="X285">
        <v>6.8000000000000005E-2</v>
      </c>
      <c r="Y285" s="1" t="s">
        <v>707</v>
      </c>
      <c r="Z285">
        <v>-2.7</v>
      </c>
      <c r="AA285">
        <v>0.6</v>
      </c>
      <c r="AB285">
        <v>-2.2000000000000002</v>
      </c>
      <c r="AC285">
        <v>-0.1</v>
      </c>
    </row>
    <row r="286" spans="1:29" x14ac:dyDescent="0.35">
      <c r="A286">
        <v>285</v>
      </c>
      <c r="B286" s="1" t="s">
        <v>355</v>
      </c>
      <c r="C286" s="1" t="s">
        <v>41</v>
      </c>
      <c r="D286">
        <v>40</v>
      </c>
      <c r="E286" s="1" t="s">
        <v>140</v>
      </c>
      <c r="F286">
        <v>1</v>
      </c>
      <c r="G286">
        <v>2</v>
      </c>
      <c r="H286">
        <v>38.700000000000003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22</v>
      </c>
      <c r="T286" s="1" t="s">
        <v>707</v>
      </c>
      <c r="U286">
        <v>0</v>
      </c>
      <c r="V286">
        <v>0</v>
      </c>
      <c r="W286">
        <v>0</v>
      </c>
      <c r="X286">
        <v>0.33500000000000002</v>
      </c>
      <c r="Y286" s="1" t="s">
        <v>707</v>
      </c>
      <c r="Z286">
        <v>12.1</v>
      </c>
      <c r="AA286">
        <v>2.8</v>
      </c>
      <c r="AB286">
        <v>15</v>
      </c>
      <c r="AC286">
        <v>0</v>
      </c>
    </row>
    <row r="287" spans="1:29" x14ac:dyDescent="0.35">
      <c r="A287">
        <v>286</v>
      </c>
      <c r="B287" s="1" t="s">
        <v>356</v>
      </c>
      <c r="C287" s="1" t="s">
        <v>51</v>
      </c>
      <c r="D287">
        <v>22</v>
      </c>
      <c r="E287" s="1" t="s">
        <v>91</v>
      </c>
      <c r="F287">
        <v>75</v>
      </c>
      <c r="G287">
        <v>2392</v>
      </c>
      <c r="H287">
        <v>15.2</v>
      </c>
      <c r="I287">
        <v>0.57399999999999995</v>
      </c>
      <c r="J287">
        <v>0.39500000000000002</v>
      </c>
      <c r="K287">
        <v>0.23100000000000001</v>
      </c>
      <c r="L287">
        <v>3.5</v>
      </c>
      <c r="M287">
        <v>16.7</v>
      </c>
      <c r="N287">
        <v>10</v>
      </c>
      <c r="O287">
        <v>9.5</v>
      </c>
      <c r="P287">
        <v>1.2</v>
      </c>
      <c r="Q287">
        <v>0.5</v>
      </c>
      <c r="R287">
        <v>7.6</v>
      </c>
      <c r="S287">
        <v>21.3</v>
      </c>
      <c r="T287" s="1" t="s">
        <v>707</v>
      </c>
      <c r="U287">
        <v>2.9</v>
      </c>
      <c r="V287">
        <v>2</v>
      </c>
      <c r="W287">
        <v>4.9000000000000004</v>
      </c>
      <c r="X287">
        <v>9.8000000000000004E-2</v>
      </c>
      <c r="Y287" s="1" t="s">
        <v>707</v>
      </c>
      <c r="Z287">
        <v>0.7</v>
      </c>
      <c r="AA287">
        <v>-1.2</v>
      </c>
      <c r="AB287">
        <v>-0.5</v>
      </c>
      <c r="AC287">
        <v>0.9</v>
      </c>
    </row>
    <row r="288" spans="1:29" x14ac:dyDescent="0.35">
      <c r="A288">
        <v>287</v>
      </c>
      <c r="B288" s="1" t="s">
        <v>357</v>
      </c>
      <c r="C288" s="1" t="s">
        <v>41</v>
      </c>
      <c r="D288">
        <v>19</v>
      </c>
      <c r="E288" s="1" t="s">
        <v>42</v>
      </c>
      <c r="F288">
        <v>37</v>
      </c>
      <c r="G288">
        <v>697</v>
      </c>
      <c r="H288">
        <v>8.6999999999999993</v>
      </c>
      <c r="I288">
        <v>0.45300000000000001</v>
      </c>
      <c r="J288">
        <v>0.36799999999999999</v>
      </c>
      <c r="K288">
        <v>0.188</v>
      </c>
      <c r="L288">
        <v>3.7</v>
      </c>
      <c r="M288">
        <v>9.1</v>
      </c>
      <c r="N288">
        <v>6.3</v>
      </c>
      <c r="O288">
        <v>16.3</v>
      </c>
      <c r="P288">
        <v>2</v>
      </c>
      <c r="Q288">
        <v>1.7</v>
      </c>
      <c r="R288">
        <v>13.5</v>
      </c>
      <c r="S288">
        <v>21.2</v>
      </c>
      <c r="T288" s="1" t="s">
        <v>707</v>
      </c>
      <c r="U288">
        <v>-0.8</v>
      </c>
      <c r="V288">
        <v>0.4</v>
      </c>
      <c r="W288">
        <v>-0.5</v>
      </c>
      <c r="X288">
        <v>-3.1E-2</v>
      </c>
      <c r="Y288" s="1" t="s">
        <v>707</v>
      </c>
      <c r="Z288">
        <v>-4</v>
      </c>
      <c r="AA288">
        <v>-2</v>
      </c>
      <c r="AB288">
        <v>-5.9</v>
      </c>
      <c r="AC288">
        <v>-0.7</v>
      </c>
    </row>
    <row r="289" spans="1:29" x14ac:dyDescent="0.35">
      <c r="A289">
        <v>288</v>
      </c>
      <c r="B289" s="1" t="s">
        <v>358</v>
      </c>
      <c r="C289" s="1" t="s">
        <v>28</v>
      </c>
      <c r="D289">
        <v>25</v>
      </c>
      <c r="E289" s="1" t="s">
        <v>56</v>
      </c>
      <c r="F289">
        <v>48</v>
      </c>
      <c r="G289">
        <v>1094</v>
      </c>
      <c r="H289">
        <v>10.5</v>
      </c>
      <c r="I289">
        <v>0.56399999999999995</v>
      </c>
      <c r="J289">
        <v>0.41799999999999998</v>
      </c>
      <c r="K289">
        <v>0.29499999999999998</v>
      </c>
      <c r="L289">
        <v>3.4</v>
      </c>
      <c r="M289">
        <v>11.9</v>
      </c>
      <c r="N289">
        <v>7.6</v>
      </c>
      <c r="O289">
        <v>9.8000000000000007</v>
      </c>
      <c r="P289">
        <v>1.9</v>
      </c>
      <c r="Q289">
        <v>1.1000000000000001</v>
      </c>
      <c r="R289">
        <v>11</v>
      </c>
      <c r="S289">
        <v>12.5</v>
      </c>
      <c r="T289" s="1" t="s">
        <v>707</v>
      </c>
      <c r="U289">
        <v>0.9</v>
      </c>
      <c r="V289">
        <v>0.9</v>
      </c>
      <c r="W289">
        <v>1.8</v>
      </c>
      <c r="X289">
        <v>7.9000000000000001E-2</v>
      </c>
      <c r="Y289" s="1" t="s">
        <v>707</v>
      </c>
      <c r="Z289">
        <v>-2.8</v>
      </c>
      <c r="AA289">
        <v>0.1</v>
      </c>
      <c r="AB289">
        <v>-2.7</v>
      </c>
      <c r="AC289">
        <v>-0.2</v>
      </c>
    </row>
    <row r="290" spans="1:29" x14ac:dyDescent="0.35">
      <c r="A290">
        <v>289</v>
      </c>
      <c r="B290" s="1" t="s">
        <v>359</v>
      </c>
      <c r="C290" s="1" t="s">
        <v>48</v>
      </c>
      <c r="D290">
        <v>29</v>
      </c>
      <c r="E290" s="1" t="s">
        <v>42</v>
      </c>
      <c r="F290">
        <v>6</v>
      </c>
      <c r="G290">
        <v>91</v>
      </c>
      <c r="H290">
        <v>7.1</v>
      </c>
      <c r="I290">
        <v>0.42499999999999999</v>
      </c>
      <c r="J290">
        <v>0.65</v>
      </c>
      <c r="K290">
        <v>0</v>
      </c>
      <c r="L290">
        <v>3.5</v>
      </c>
      <c r="M290">
        <v>10.7</v>
      </c>
      <c r="N290">
        <v>7.1</v>
      </c>
      <c r="O290">
        <v>9.5</v>
      </c>
      <c r="P290">
        <v>1.6</v>
      </c>
      <c r="Q290">
        <v>2.8</v>
      </c>
      <c r="R290">
        <v>9.1</v>
      </c>
      <c r="S290">
        <v>10.5</v>
      </c>
      <c r="T290" s="1" t="s">
        <v>707</v>
      </c>
      <c r="U290">
        <v>0</v>
      </c>
      <c r="V290">
        <v>0.1</v>
      </c>
      <c r="W290">
        <v>0.1</v>
      </c>
      <c r="X290">
        <v>3.3000000000000002E-2</v>
      </c>
      <c r="Y290" s="1" t="s">
        <v>707</v>
      </c>
      <c r="Z290">
        <v>-3.9</v>
      </c>
      <c r="AA290">
        <v>0.8</v>
      </c>
      <c r="AB290">
        <v>-3</v>
      </c>
      <c r="AC290">
        <v>0</v>
      </c>
    </row>
    <row r="291" spans="1:29" x14ac:dyDescent="0.35">
      <c r="A291">
        <v>290</v>
      </c>
      <c r="B291" s="1" t="s">
        <v>360</v>
      </c>
      <c r="C291" s="1" t="s">
        <v>31</v>
      </c>
      <c r="D291">
        <v>26</v>
      </c>
      <c r="E291" s="1" t="s">
        <v>86</v>
      </c>
      <c r="F291">
        <v>74</v>
      </c>
      <c r="G291">
        <v>2476</v>
      </c>
      <c r="H291">
        <v>32.799999999999997</v>
      </c>
      <c r="I291">
        <v>0.66100000000000003</v>
      </c>
      <c r="J291">
        <v>0.22</v>
      </c>
      <c r="K291">
        <v>0.35699999999999998</v>
      </c>
      <c r="L291">
        <v>9.6</v>
      </c>
      <c r="M291">
        <v>35.5</v>
      </c>
      <c r="N291">
        <v>23</v>
      </c>
      <c r="O291">
        <v>42.6</v>
      </c>
      <c r="P291">
        <v>2.2000000000000002</v>
      </c>
      <c r="Q291">
        <v>2.2999999999999998</v>
      </c>
      <c r="R291">
        <v>15.6</v>
      </c>
      <c r="S291">
        <v>31.9</v>
      </c>
      <c r="T291" s="1" t="s">
        <v>707</v>
      </c>
      <c r="U291">
        <v>10.8</v>
      </c>
      <c r="V291">
        <v>4.5</v>
      </c>
      <c r="W291">
        <v>15.2</v>
      </c>
      <c r="X291">
        <v>0.29599999999999999</v>
      </c>
      <c r="Y291" s="1" t="s">
        <v>707</v>
      </c>
      <c r="Z291">
        <v>9.1999999999999993</v>
      </c>
      <c r="AA291">
        <v>4.5</v>
      </c>
      <c r="AB291">
        <v>13.7</v>
      </c>
      <c r="AC291">
        <v>9.8000000000000007</v>
      </c>
    </row>
    <row r="292" spans="1:29" x14ac:dyDescent="0.35">
      <c r="A292">
        <v>291</v>
      </c>
      <c r="B292" s="1" t="s">
        <v>361</v>
      </c>
      <c r="C292" s="1" t="s">
        <v>48</v>
      </c>
      <c r="D292">
        <v>24</v>
      </c>
      <c r="E292" s="1" t="s">
        <v>42</v>
      </c>
      <c r="F292">
        <v>5</v>
      </c>
      <c r="G292">
        <v>23</v>
      </c>
      <c r="H292">
        <v>-1.8</v>
      </c>
      <c r="I292">
        <v>0.20200000000000001</v>
      </c>
      <c r="J292">
        <v>0.111</v>
      </c>
      <c r="K292">
        <v>0.222</v>
      </c>
      <c r="L292">
        <v>4.8</v>
      </c>
      <c r="M292">
        <v>9.6999999999999993</v>
      </c>
      <c r="N292">
        <v>7.3</v>
      </c>
      <c r="O292">
        <v>26.7</v>
      </c>
      <c r="P292">
        <v>2.2000000000000002</v>
      </c>
      <c r="Q292">
        <v>0</v>
      </c>
      <c r="R292">
        <v>23.3</v>
      </c>
      <c r="S292">
        <v>25.1</v>
      </c>
      <c r="T292" s="1" t="s">
        <v>707</v>
      </c>
      <c r="U292">
        <v>-0.2</v>
      </c>
      <c r="V292">
        <v>0</v>
      </c>
      <c r="W292">
        <v>-0.1</v>
      </c>
      <c r="X292">
        <v>-0.28499999999999998</v>
      </c>
      <c r="Y292" s="1" t="s">
        <v>707</v>
      </c>
      <c r="Z292">
        <v>-11.3</v>
      </c>
      <c r="AA292">
        <v>-4.2</v>
      </c>
      <c r="AB292">
        <v>-15.5</v>
      </c>
      <c r="AC292">
        <v>-0.1</v>
      </c>
    </row>
    <row r="293" spans="1:29" x14ac:dyDescent="0.35">
      <c r="A293">
        <v>292</v>
      </c>
      <c r="B293" s="1" t="s">
        <v>362</v>
      </c>
      <c r="C293" s="1" t="s">
        <v>31</v>
      </c>
      <c r="D293">
        <v>26</v>
      </c>
      <c r="E293" s="1" t="s">
        <v>82</v>
      </c>
      <c r="F293">
        <v>56</v>
      </c>
      <c r="G293">
        <v>1017</v>
      </c>
      <c r="H293">
        <v>18.3</v>
      </c>
      <c r="I293">
        <v>0.70099999999999996</v>
      </c>
      <c r="J293">
        <v>0.109</v>
      </c>
      <c r="K293">
        <v>0.49199999999999999</v>
      </c>
      <c r="L293">
        <v>7.9</v>
      </c>
      <c r="M293">
        <v>18.5</v>
      </c>
      <c r="N293">
        <v>13.2</v>
      </c>
      <c r="O293">
        <v>10.199999999999999</v>
      </c>
      <c r="P293">
        <v>1.2</v>
      </c>
      <c r="Q293">
        <v>4</v>
      </c>
      <c r="R293">
        <v>15.4</v>
      </c>
      <c r="S293">
        <v>16.2</v>
      </c>
      <c r="T293" s="1" t="s">
        <v>707</v>
      </c>
      <c r="U293">
        <v>2.4</v>
      </c>
      <c r="V293">
        <v>0.9</v>
      </c>
      <c r="W293">
        <v>3.3</v>
      </c>
      <c r="X293">
        <v>0.156</v>
      </c>
      <c r="Y293" s="1" t="s">
        <v>707</v>
      </c>
      <c r="Z293">
        <v>-0.2</v>
      </c>
      <c r="AA293">
        <v>0.5</v>
      </c>
      <c r="AB293">
        <v>0.3</v>
      </c>
      <c r="AC293">
        <v>0.6</v>
      </c>
    </row>
    <row r="294" spans="1:29" x14ac:dyDescent="0.35">
      <c r="A294">
        <v>293</v>
      </c>
      <c r="B294" s="1" t="s">
        <v>363</v>
      </c>
      <c r="C294" s="1" t="s">
        <v>28</v>
      </c>
      <c r="D294">
        <v>24</v>
      </c>
      <c r="E294" s="1" t="s">
        <v>75</v>
      </c>
      <c r="F294">
        <v>51</v>
      </c>
      <c r="G294">
        <v>899</v>
      </c>
      <c r="H294">
        <v>13</v>
      </c>
      <c r="I294">
        <v>0.63300000000000001</v>
      </c>
      <c r="J294">
        <v>0.313</v>
      </c>
      <c r="K294">
        <v>0.35899999999999999</v>
      </c>
      <c r="L294">
        <v>7.6</v>
      </c>
      <c r="M294">
        <v>13.6</v>
      </c>
      <c r="N294">
        <v>10.6</v>
      </c>
      <c r="O294">
        <v>4.4000000000000004</v>
      </c>
      <c r="P294">
        <v>1.4</v>
      </c>
      <c r="Q294">
        <v>3.2</v>
      </c>
      <c r="R294">
        <v>11.7</v>
      </c>
      <c r="S294">
        <v>12.5</v>
      </c>
      <c r="T294" s="1" t="s">
        <v>707</v>
      </c>
      <c r="U294">
        <v>1.4</v>
      </c>
      <c r="V294">
        <v>0.8</v>
      </c>
      <c r="W294">
        <v>2.2000000000000002</v>
      </c>
      <c r="X294">
        <v>0.11899999999999999</v>
      </c>
      <c r="Y294" s="1" t="s">
        <v>707</v>
      </c>
      <c r="Z294">
        <v>-1.5</v>
      </c>
      <c r="AA294">
        <v>0.5</v>
      </c>
      <c r="AB294">
        <v>-0.9</v>
      </c>
      <c r="AC294">
        <v>0.2</v>
      </c>
    </row>
    <row r="295" spans="1:29" x14ac:dyDescent="0.35">
      <c r="A295">
        <v>294</v>
      </c>
      <c r="B295" s="1" t="s">
        <v>364</v>
      </c>
      <c r="C295" s="1" t="s">
        <v>28</v>
      </c>
      <c r="D295">
        <v>23</v>
      </c>
      <c r="E295" s="1" t="s">
        <v>49</v>
      </c>
      <c r="F295">
        <v>78</v>
      </c>
      <c r="G295">
        <v>2335</v>
      </c>
      <c r="H295">
        <v>12.3</v>
      </c>
      <c r="I295">
        <v>0.57299999999999995</v>
      </c>
      <c r="J295">
        <v>0.29299999999999998</v>
      </c>
      <c r="K295">
        <v>0.28299999999999997</v>
      </c>
      <c r="L295">
        <v>4.5</v>
      </c>
      <c r="M295">
        <v>9.6</v>
      </c>
      <c r="N295">
        <v>7</v>
      </c>
      <c r="O295">
        <v>10</v>
      </c>
      <c r="P295">
        <v>2.7</v>
      </c>
      <c r="Q295">
        <v>2.5</v>
      </c>
      <c r="R295">
        <v>13.4</v>
      </c>
      <c r="S295">
        <v>13.7</v>
      </c>
      <c r="T295" s="1" t="s">
        <v>707</v>
      </c>
      <c r="U295">
        <v>2.1</v>
      </c>
      <c r="V295">
        <v>2.5</v>
      </c>
      <c r="W295">
        <v>4.5999999999999996</v>
      </c>
      <c r="X295">
        <v>9.6000000000000002E-2</v>
      </c>
      <c r="Y295" s="1" t="s">
        <v>707</v>
      </c>
      <c r="Z295">
        <v>-2</v>
      </c>
      <c r="AA295">
        <v>1.5</v>
      </c>
      <c r="AB295">
        <v>-0.5</v>
      </c>
      <c r="AC295">
        <v>0.9</v>
      </c>
    </row>
    <row r="296" spans="1:29" x14ac:dyDescent="0.35">
      <c r="A296">
        <v>295</v>
      </c>
      <c r="B296" s="1" t="s">
        <v>365</v>
      </c>
      <c r="C296" s="1" t="s">
        <v>51</v>
      </c>
      <c r="D296">
        <v>26</v>
      </c>
      <c r="E296" s="1" t="s">
        <v>56</v>
      </c>
      <c r="F296">
        <v>2</v>
      </c>
      <c r="G296">
        <v>15</v>
      </c>
      <c r="H296">
        <v>14.8</v>
      </c>
      <c r="I296">
        <v>0.66700000000000004</v>
      </c>
      <c r="J296">
        <v>0</v>
      </c>
      <c r="K296">
        <v>0</v>
      </c>
      <c r="L296">
        <v>14.4</v>
      </c>
      <c r="M296">
        <v>7.1</v>
      </c>
      <c r="N296">
        <v>10.8</v>
      </c>
      <c r="O296">
        <v>0</v>
      </c>
      <c r="P296">
        <v>3.2</v>
      </c>
      <c r="Q296">
        <v>0</v>
      </c>
      <c r="R296">
        <v>0</v>
      </c>
      <c r="S296">
        <v>8.6</v>
      </c>
      <c r="T296" s="1" t="s">
        <v>707</v>
      </c>
      <c r="U296">
        <v>0</v>
      </c>
      <c r="V296">
        <v>0</v>
      </c>
      <c r="W296">
        <v>0.1</v>
      </c>
      <c r="X296">
        <v>0.17</v>
      </c>
      <c r="Y296" s="1" t="s">
        <v>707</v>
      </c>
      <c r="Z296">
        <v>-1.1000000000000001</v>
      </c>
      <c r="AA296">
        <v>0.1</v>
      </c>
      <c r="AB296">
        <v>-1</v>
      </c>
      <c r="AC296">
        <v>0</v>
      </c>
    </row>
    <row r="297" spans="1:29" x14ac:dyDescent="0.35">
      <c r="A297">
        <v>296</v>
      </c>
      <c r="B297" s="1" t="s">
        <v>366</v>
      </c>
      <c r="C297" s="1" t="s">
        <v>31</v>
      </c>
      <c r="D297">
        <v>21</v>
      </c>
      <c r="E297" s="1" t="s">
        <v>73</v>
      </c>
      <c r="F297">
        <v>21</v>
      </c>
      <c r="G297">
        <v>63</v>
      </c>
      <c r="H297">
        <v>9.1999999999999993</v>
      </c>
      <c r="I297">
        <v>0.628</v>
      </c>
      <c r="J297">
        <v>0.14299999999999999</v>
      </c>
      <c r="K297">
        <v>0.57099999999999995</v>
      </c>
      <c r="L297">
        <v>5</v>
      </c>
      <c r="M297">
        <v>13.7</v>
      </c>
      <c r="N297">
        <v>9.1999999999999993</v>
      </c>
      <c r="O297">
        <v>8.6</v>
      </c>
      <c r="P297">
        <v>0.8</v>
      </c>
      <c r="Q297">
        <v>3</v>
      </c>
      <c r="R297">
        <v>25.5</v>
      </c>
      <c r="S297">
        <v>15.9</v>
      </c>
      <c r="T297" s="1" t="s">
        <v>707</v>
      </c>
      <c r="U297">
        <v>0</v>
      </c>
      <c r="V297">
        <v>0</v>
      </c>
      <c r="W297">
        <v>0</v>
      </c>
      <c r="X297">
        <v>8.9999999999999993E-3</v>
      </c>
      <c r="Y297" s="1" t="s">
        <v>707</v>
      </c>
      <c r="Z297">
        <v>-5.2</v>
      </c>
      <c r="AA297">
        <v>-1.4</v>
      </c>
      <c r="AB297">
        <v>-6.6</v>
      </c>
      <c r="AC297">
        <v>-0.1</v>
      </c>
    </row>
    <row r="298" spans="1:29" x14ac:dyDescent="0.35">
      <c r="A298">
        <v>297</v>
      </c>
      <c r="B298" s="1" t="s">
        <v>367</v>
      </c>
      <c r="C298" s="1" t="s">
        <v>41</v>
      </c>
      <c r="D298">
        <v>23</v>
      </c>
      <c r="E298" s="1" t="s">
        <v>56</v>
      </c>
      <c r="F298">
        <v>4</v>
      </c>
      <c r="G298">
        <v>51</v>
      </c>
      <c r="H298">
        <v>17.8</v>
      </c>
      <c r="I298">
        <v>0.625</v>
      </c>
      <c r="J298">
        <v>0.26700000000000002</v>
      </c>
      <c r="K298">
        <v>1</v>
      </c>
      <c r="L298">
        <v>2.1</v>
      </c>
      <c r="M298">
        <v>18.899999999999999</v>
      </c>
      <c r="N298">
        <v>10.5</v>
      </c>
      <c r="O298">
        <v>10.9</v>
      </c>
      <c r="P298">
        <v>1.9</v>
      </c>
      <c r="Q298">
        <v>0</v>
      </c>
      <c r="R298">
        <v>4.4000000000000004</v>
      </c>
      <c r="S298">
        <v>19</v>
      </c>
      <c r="T298" s="1" t="s">
        <v>707</v>
      </c>
      <c r="U298">
        <v>0.2</v>
      </c>
      <c r="V298">
        <v>0</v>
      </c>
      <c r="W298">
        <v>0.2</v>
      </c>
      <c r="X298">
        <v>0.20100000000000001</v>
      </c>
      <c r="Y298" s="1" t="s">
        <v>707</v>
      </c>
      <c r="Z298">
        <v>-1.2</v>
      </c>
      <c r="AA298">
        <v>0.3</v>
      </c>
      <c r="AB298">
        <v>-0.9</v>
      </c>
      <c r="AC298">
        <v>0</v>
      </c>
    </row>
    <row r="299" spans="1:29" x14ac:dyDescent="0.35">
      <c r="A299">
        <v>298</v>
      </c>
      <c r="B299" s="1" t="s">
        <v>368</v>
      </c>
      <c r="C299" s="1" t="s">
        <v>48</v>
      </c>
      <c r="D299">
        <v>22</v>
      </c>
      <c r="E299" s="1" t="s">
        <v>91</v>
      </c>
      <c r="F299">
        <v>69</v>
      </c>
      <c r="G299">
        <v>1148</v>
      </c>
      <c r="H299">
        <v>15</v>
      </c>
      <c r="I299">
        <v>0.54500000000000004</v>
      </c>
      <c r="J299">
        <v>0.15</v>
      </c>
      <c r="K299">
        <v>0.26800000000000002</v>
      </c>
      <c r="L299">
        <v>2.6</v>
      </c>
      <c r="M299">
        <v>11.6</v>
      </c>
      <c r="N299">
        <v>7.1</v>
      </c>
      <c r="O299">
        <v>27</v>
      </c>
      <c r="P299">
        <v>1.8</v>
      </c>
      <c r="Q299">
        <v>0.5</v>
      </c>
      <c r="R299">
        <v>10.8</v>
      </c>
      <c r="S299">
        <v>15.6</v>
      </c>
      <c r="T299" s="1" t="s">
        <v>707</v>
      </c>
      <c r="U299">
        <v>1.9</v>
      </c>
      <c r="V299">
        <v>0.9</v>
      </c>
      <c r="W299">
        <v>2.9</v>
      </c>
      <c r="X299">
        <v>0.121</v>
      </c>
      <c r="Y299" s="1" t="s">
        <v>707</v>
      </c>
      <c r="Z299">
        <v>-0.9</v>
      </c>
      <c r="AA299">
        <v>0.4</v>
      </c>
      <c r="AB299">
        <v>-0.5</v>
      </c>
      <c r="AC299">
        <v>0.4</v>
      </c>
    </row>
    <row r="300" spans="1:29" x14ac:dyDescent="0.35">
      <c r="A300">
        <v>299</v>
      </c>
      <c r="B300" s="1" t="s">
        <v>369</v>
      </c>
      <c r="C300" s="1" t="s">
        <v>48</v>
      </c>
      <c r="D300">
        <v>25</v>
      </c>
      <c r="E300" s="1" t="s">
        <v>34</v>
      </c>
      <c r="F300">
        <v>73</v>
      </c>
      <c r="G300">
        <v>1549</v>
      </c>
      <c r="H300">
        <v>16.5</v>
      </c>
      <c r="I300">
        <v>0.54400000000000004</v>
      </c>
      <c r="J300">
        <v>0.371</v>
      </c>
      <c r="K300">
        <v>0.12</v>
      </c>
      <c r="L300">
        <v>1.1000000000000001</v>
      </c>
      <c r="M300">
        <v>11</v>
      </c>
      <c r="N300">
        <v>5.9</v>
      </c>
      <c r="O300">
        <v>28.2</v>
      </c>
      <c r="P300">
        <v>2</v>
      </c>
      <c r="Q300">
        <v>0.1</v>
      </c>
      <c r="R300">
        <v>7.3</v>
      </c>
      <c r="S300">
        <v>16.600000000000001</v>
      </c>
      <c r="T300" s="1" t="s">
        <v>707</v>
      </c>
      <c r="U300">
        <v>3.4</v>
      </c>
      <c r="V300">
        <v>1.6</v>
      </c>
      <c r="W300">
        <v>5.0999999999999996</v>
      </c>
      <c r="X300">
        <v>0.158</v>
      </c>
      <c r="Y300" s="1" t="s">
        <v>707</v>
      </c>
      <c r="Z300">
        <v>1.2</v>
      </c>
      <c r="AA300">
        <v>0.5</v>
      </c>
      <c r="AB300">
        <v>1.7</v>
      </c>
      <c r="AC300">
        <v>1.4</v>
      </c>
    </row>
    <row r="301" spans="1:29" x14ac:dyDescent="0.35">
      <c r="A301">
        <v>300</v>
      </c>
      <c r="B301" s="1" t="s">
        <v>370</v>
      </c>
      <c r="C301" s="1" t="s">
        <v>31</v>
      </c>
      <c r="D301">
        <v>33</v>
      </c>
      <c r="E301" s="1" t="s">
        <v>42</v>
      </c>
      <c r="F301">
        <v>48</v>
      </c>
      <c r="G301">
        <v>622</v>
      </c>
      <c r="H301">
        <v>17.2</v>
      </c>
      <c r="I301">
        <v>0.64100000000000001</v>
      </c>
      <c r="J301">
        <v>0</v>
      </c>
      <c r="K301">
        <v>0.28000000000000003</v>
      </c>
      <c r="L301">
        <v>14.7</v>
      </c>
      <c r="M301">
        <v>31.4</v>
      </c>
      <c r="N301">
        <v>23.1</v>
      </c>
      <c r="O301">
        <v>4.9000000000000004</v>
      </c>
      <c r="P301">
        <v>0.9</v>
      </c>
      <c r="Q301">
        <v>5</v>
      </c>
      <c r="R301">
        <v>18.7</v>
      </c>
      <c r="S301">
        <v>13.9</v>
      </c>
      <c r="T301" s="1" t="s">
        <v>707</v>
      </c>
      <c r="U301">
        <v>0.9</v>
      </c>
      <c r="V301">
        <v>1</v>
      </c>
      <c r="W301">
        <v>1.9</v>
      </c>
      <c r="X301">
        <v>0.14499999999999999</v>
      </c>
      <c r="Y301" s="1" t="s">
        <v>707</v>
      </c>
      <c r="Z301">
        <v>-1.5</v>
      </c>
      <c r="AA301">
        <v>0.1</v>
      </c>
      <c r="AB301">
        <v>-1.4</v>
      </c>
      <c r="AC301">
        <v>0.1</v>
      </c>
    </row>
    <row r="302" spans="1:29" x14ac:dyDescent="0.35">
      <c r="A302">
        <v>301</v>
      </c>
      <c r="B302" s="1" t="s">
        <v>371</v>
      </c>
      <c r="C302" s="1" t="s">
        <v>48</v>
      </c>
      <c r="D302">
        <v>30</v>
      </c>
      <c r="E302" s="1" t="s">
        <v>105</v>
      </c>
      <c r="F302">
        <v>65</v>
      </c>
      <c r="G302">
        <v>1600</v>
      </c>
      <c r="H302">
        <v>11.4</v>
      </c>
      <c r="I302">
        <v>0.57899999999999996</v>
      </c>
      <c r="J302">
        <v>0.39300000000000002</v>
      </c>
      <c r="K302">
        <v>0.28299999999999997</v>
      </c>
      <c r="L302">
        <v>1.9</v>
      </c>
      <c r="M302">
        <v>10.3</v>
      </c>
      <c r="N302">
        <v>5.9</v>
      </c>
      <c r="O302">
        <v>21.8</v>
      </c>
      <c r="P302">
        <v>1.3</v>
      </c>
      <c r="Q302">
        <v>1</v>
      </c>
      <c r="R302">
        <v>15.9</v>
      </c>
      <c r="S302">
        <v>14.3</v>
      </c>
      <c r="T302" s="1" t="s">
        <v>707</v>
      </c>
      <c r="U302">
        <v>1.7</v>
      </c>
      <c r="V302">
        <v>0.8</v>
      </c>
      <c r="W302">
        <v>2.5</v>
      </c>
      <c r="X302">
        <v>7.4999999999999997E-2</v>
      </c>
      <c r="Y302" s="1" t="s">
        <v>707</v>
      </c>
      <c r="Z302">
        <v>-2</v>
      </c>
      <c r="AA302">
        <v>-0.1</v>
      </c>
      <c r="AB302">
        <v>-2.1</v>
      </c>
      <c r="AC302">
        <v>0</v>
      </c>
    </row>
    <row r="303" spans="1:29" x14ac:dyDescent="0.35">
      <c r="A303">
        <v>302</v>
      </c>
      <c r="B303" s="1" t="s">
        <v>372</v>
      </c>
      <c r="C303" s="1" t="s">
        <v>51</v>
      </c>
      <c r="D303">
        <v>23</v>
      </c>
      <c r="E303" s="1" t="s">
        <v>42</v>
      </c>
      <c r="F303">
        <v>13</v>
      </c>
      <c r="G303">
        <v>214</v>
      </c>
      <c r="H303">
        <v>8.6</v>
      </c>
      <c r="I303">
        <v>0.53600000000000003</v>
      </c>
      <c r="J303">
        <v>0.38800000000000001</v>
      </c>
      <c r="K303">
        <v>0.44800000000000001</v>
      </c>
      <c r="L303">
        <v>3</v>
      </c>
      <c r="M303">
        <v>7.3</v>
      </c>
      <c r="N303">
        <v>5.0999999999999996</v>
      </c>
      <c r="O303">
        <v>8.8000000000000007</v>
      </c>
      <c r="P303">
        <v>2.5</v>
      </c>
      <c r="Q303">
        <v>0.9</v>
      </c>
      <c r="R303">
        <v>20</v>
      </c>
      <c r="S303">
        <v>20.2</v>
      </c>
      <c r="T303" s="1" t="s">
        <v>707</v>
      </c>
      <c r="U303">
        <v>-0.3</v>
      </c>
      <c r="V303">
        <v>0.2</v>
      </c>
      <c r="W303">
        <v>-0.1</v>
      </c>
      <c r="X303">
        <v>-2.4E-2</v>
      </c>
      <c r="Y303" s="1" t="s">
        <v>707</v>
      </c>
      <c r="Z303">
        <v>-5.0999999999999996</v>
      </c>
      <c r="AA303">
        <v>-1.9</v>
      </c>
      <c r="AB303">
        <v>-7</v>
      </c>
      <c r="AC303">
        <v>-0.3</v>
      </c>
    </row>
    <row r="304" spans="1:29" x14ac:dyDescent="0.35">
      <c r="A304">
        <v>303</v>
      </c>
      <c r="B304" s="1" t="s">
        <v>373</v>
      </c>
      <c r="C304" s="1" t="s">
        <v>31</v>
      </c>
      <c r="D304">
        <v>28</v>
      </c>
      <c r="E304" s="1" t="s">
        <v>68</v>
      </c>
      <c r="F304">
        <v>9</v>
      </c>
      <c r="G304">
        <v>181</v>
      </c>
      <c r="H304">
        <v>21.3</v>
      </c>
      <c r="I304">
        <v>0.63500000000000001</v>
      </c>
      <c r="J304">
        <v>0.22700000000000001</v>
      </c>
      <c r="K304">
        <v>0.30299999999999999</v>
      </c>
      <c r="L304">
        <v>6.7</v>
      </c>
      <c r="M304">
        <v>17.3</v>
      </c>
      <c r="N304">
        <v>12.1</v>
      </c>
      <c r="O304">
        <v>10.1</v>
      </c>
      <c r="P304">
        <v>2.1</v>
      </c>
      <c r="Q304">
        <v>3.4</v>
      </c>
      <c r="R304">
        <v>6.3</v>
      </c>
      <c r="S304">
        <v>19</v>
      </c>
      <c r="T304" s="1" t="s">
        <v>707</v>
      </c>
      <c r="U304">
        <v>0.5</v>
      </c>
      <c r="V304">
        <v>0.3</v>
      </c>
      <c r="W304">
        <v>0.9</v>
      </c>
      <c r="X304">
        <v>0.22800000000000001</v>
      </c>
      <c r="Y304" s="1" t="s">
        <v>707</v>
      </c>
      <c r="Z304">
        <v>2.4</v>
      </c>
      <c r="AA304">
        <v>2.5</v>
      </c>
      <c r="AB304">
        <v>4.9000000000000004</v>
      </c>
      <c r="AC304">
        <v>0.3</v>
      </c>
    </row>
    <row r="305" spans="1:29" x14ac:dyDescent="0.35">
      <c r="A305">
        <v>304</v>
      </c>
      <c r="B305" s="1" t="s">
        <v>374</v>
      </c>
      <c r="C305" s="1" t="s">
        <v>41</v>
      </c>
      <c r="D305">
        <v>25</v>
      </c>
      <c r="E305" s="1" t="s">
        <v>93</v>
      </c>
      <c r="F305">
        <v>70</v>
      </c>
      <c r="G305">
        <v>1919</v>
      </c>
      <c r="H305">
        <v>13.3</v>
      </c>
      <c r="I305">
        <v>0.61899999999999999</v>
      </c>
      <c r="J305">
        <v>0.66200000000000003</v>
      </c>
      <c r="K305">
        <v>0.121</v>
      </c>
      <c r="L305">
        <v>1.1000000000000001</v>
      </c>
      <c r="M305">
        <v>11.2</v>
      </c>
      <c r="N305">
        <v>6.3</v>
      </c>
      <c r="O305">
        <v>11.2</v>
      </c>
      <c r="P305">
        <v>1.1000000000000001</v>
      </c>
      <c r="Q305">
        <v>0.3</v>
      </c>
      <c r="R305">
        <v>8.1999999999999993</v>
      </c>
      <c r="S305">
        <v>16.8</v>
      </c>
      <c r="T305" s="1" t="s">
        <v>707</v>
      </c>
      <c r="U305">
        <v>2.8</v>
      </c>
      <c r="V305">
        <v>1.7</v>
      </c>
      <c r="W305">
        <v>4.5</v>
      </c>
      <c r="X305">
        <v>0.113</v>
      </c>
      <c r="Y305" s="1" t="s">
        <v>707</v>
      </c>
      <c r="Z305">
        <v>0.8</v>
      </c>
      <c r="AA305">
        <v>-0.3</v>
      </c>
      <c r="AB305">
        <v>0.5</v>
      </c>
      <c r="AC305">
        <v>1.2</v>
      </c>
    </row>
    <row r="306" spans="1:29" x14ac:dyDescent="0.35">
      <c r="A306">
        <v>305</v>
      </c>
      <c r="B306" s="1" t="s">
        <v>375</v>
      </c>
      <c r="C306" s="1" t="s">
        <v>51</v>
      </c>
      <c r="D306">
        <v>24</v>
      </c>
      <c r="E306" s="1" t="s">
        <v>42</v>
      </c>
      <c r="F306">
        <v>11</v>
      </c>
      <c r="G306">
        <v>197</v>
      </c>
      <c r="H306">
        <v>13.7</v>
      </c>
      <c r="I306">
        <v>0.50800000000000001</v>
      </c>
      <c r="J306">
        <v>0.29199999999999998</v>
      </c>
      <c r="K306">
        <v>0.18099999999999999</v>
      </c>
      <c r="L306">
        <v>6.8</v>
      </c>
      <c r="M306">
        <v>21.4</v>
      </c>
      <c r="N306">
        <v>13.7</v>
      </c>
      <c r="O306">
        <v>8.9</v>
      </c>
      <c r="P306">
        <v>2.5</v>
      </c>
      <c r="Q306">
        <v>5</v>
      </c>
      <c r="R306">
        <v>12.4</v>
      </c>
      <c r="S306">
        <v>19.399999999999999</v>
      </c>
      <c r="T306" s="1" t="s">
        <v>707</v>
      </c>
      <c r="U306">
        <v>-0.1</v>
      </c>
      <c r="V306">
        <v>0.3</v>
      </c>
      <c r="W306">
        <v>0.2</v>
      </c>
      <c r="X306">
        <v>5.1999999999999998E-2</v>
      </c>
      <c r="Y306" s="1" t="s">
        <v>707</v>
      </c>
      <c r="Z306">
        <v>-3.8</v>
      </c>
      <c r="AA306">
        <v>0.6</v>
      </c>
      <c r="AB306">
        <v>-3.3</v>
      </c>
      <c r="AC306">
        <v>-0.1</v>
      </c>
    </row>
    <row r="307" spans="1:29" x14ac:dyDescent="0.35">
      <c r="A307">
        <v>306</v>
      </c>
      <c r="B307" s="1" t="s">
        <v>376</v>
      </c>
      <c r="C307" s="1" t="s">
        <v>51</v>
      </c>
      <c r="D307">
        <v>28</v>
      </c>
      <c r="E307" s="1" t="s">
        <v>143</v>
      </c>
      <c r="F307">
        <v>4</v>
      </c>
      <c r="G307">
        <v>19</v>
      </c>
      <c r="H307">
        <v>-12.3</v>
      </c>
      <c r="I307">
        <v>8.5000000000000006E-2</v>
      </c>
      <c r="J307">
        <v>0.8</v>
      </c>
      <c r="K307">
        <v>0.4</v>
      </c>
      <c r="L307">
        <v>0</v>
      </c>
      <c r="M307">
        <v>29.3</v>
      </c>
      <c r="N307">
        <v>14.6</v>
      </c>
      <c r="O307">
        <v>0</v>
      </c>
      <c r="P307">
        <v>0</v>
      </c>
      <c r="Q307">
        <v>0</v>
      </c>
      <c r="R307">
        <v>14.5</v>
      </c>
      <c r="S307">
        <v>16.3</v>
      </c>
      <c r="T307" s="1" t="s">
        <v>707</v>
      </c>
      <c r="U307">
        <v>-0.1</v>
      </c>
      <c r="V307">
        <v>0</v>
      </c>
      <c r="W307">
        <v>-0.1</v>
      </c>
      <c r="X307">
        <v>-0.29599999999999999</v>
      </c>
      <c r="Y307" s="1" t="s">
        <v>707</v>
      </c>
      <c r="Z307">
        <v>-16.5</v>
      </c>
      <c r="AA307">
        <v>-3.5</v>
      </c>
      <c r="AB307">
        <v>-20.100000000000001</v>
      </c>
      <c r="AC307">
        <v>-0.1</v>
      </c>
    </row>
    <row r="308" spans="1:29" x14ac:dyDescent="0.35">
      <c r="A308">
        <v>307</v>
      </c>
      <c r="B308" s="1" t="s">
        <v>377</v>
      </c>
      <c r="C308" s="1" t="s">
        <v>51</v>
      </c>
      <c r="D308">
        <v>22</v>
      </c>
      <c r="E308" s="1" t="s">
        <v>82</v>
      </c>
      <c r="F308">
        <v>10</v>
      </c>
      <c r="G308">
        <v>104</v>
      </c>
      <c r="H308">
        <v>8.1</v>
      </c>
      <c r="I308">
        <v>0.438</v>
      </c>
      <c r="J308">
        <v>0.57399999999999995</v>
      </c>
      <c r="K308">
        <v>0.21299999999999999</v>
      </c>
      <c r="L308">
        <v>0</v>
      </c>
      <c r="M308">
        <v>12.7</v>
      </c>
      <c r="N308">
        <v>6.3</v>
      </c>
      <c r="O308">
        <v>12.5</v>
      </c>
      <c r="P308">
        <v>0.9</v>
      </c>
      <c r="Q308">
        <v>0.8</v>
      </c>
      <c r="R308">
        <v>0</v>
      </c>
      <c r="S308">
        <v>21.2</v>
      </c>
      <c r="T308" s="1" t="s">
        <v>707</v>
      </c>
      <c r="U308">
        <v>0</v>
      </c>
      <c r="V308">
        <v>0</v>
      </c>
      <c r="W308">
        <v>0</v>
      </c>
      <c r="X308">
        <v>0</v>
      </c>
      <c r="Y308" s="1" t="s">
        <v>707</v>
      </c>
      <c r="Z308">
        <v>-3</v>
      </c>
      <c r="AA308">
        <v>-1.6</v>
      </c>
      <c r="AB308">
        <v>-4.5999999999999996</v>
      </c>
      <c r="AC308">
        <v>-0.1</v>
      </c>
    </row>
    <row r="309" spans="1:29" x14ac:dyDescent="0.35">
      <c r="A309">
        <v>308</v>
      </c>
      <c r="B309" s="1" t="s">
        <v>378</v>
      </c>
      <c r="C309" s="1" t="s">
        <v>51</v>
      </c>
      <c r="D309">
        <v>22</v>
      </c>
      <c r="E309" s="1" t="s">
        <v>65</v>
      </c>
      <c r="F309">
        <v>77</v>
      </c>
      <c r="G309">
        <v>1801</v>
      </c>
      <c r="H309">
        <v>10.9</v>
      </c>
      <c r="I309">
        <v>0.58599999999999997</v>
      </c>
      <c r="J309">
        <v>0.623</v>
      </c>
      <c r="K309">
        <v>0.121</v>
      </c>
      <c r="L309">
        <v>3.3</v>
      </c>
      <c r="M309">
        <v>9.4</v>
      </c>
      <c r="N309">
        <v>6.4</v>
      </c>
      <c r="O309">
        <v>6.7</v>
      </c>
      <c r="P309">
        <v>1</v>
      </c>
      <c r="Q309">
        <v>1</v>
      </c>
      <c r="R309">
        <v>8.5</v>
      </c>
      <c r="S309">
        <v>14.6</v>
      </c>
      <c r="T309" s="1" t="s">
        <v>707</v>
      </c>
      <c r="U309">
        <v>1.6</v>
      </c>
      <c r="V309">
        <v>0.7</v>
      </c>
      <c r="W309">
        <v>2.2999999999999998</v>
      </c>
      <c r="X309">
        <v>6.0999999999999999E-2</v>
      </c>
      <c r="Y309" s="1" t="s">
        <v>707</v>
      </c>
      <c r="Z309">
        <v>-0.8</v>
      </c>
      <c r="AA309">
        <v>-1.5</v>
      </c>
      <c r="AB309">
        <v>-2.2999999999999998</v>
      </c>
      <c r="AC309">
        <v>-0.1</v>
      </c>
    </row>
    <row r="310" spans="1:29" x14ac:dyDescent="0.35">
      <c r="A310">
        <v>309</v>
      </c>
      <c r="B310" s="1" t="s">
        <v>379</v>
      </c>
      <c r="C310" s="1" t="s">
        <v>28</v>
      </c>
      <c r="D310">
        <v>30</v>
      </c>
      <c r="E310" s="1" t="s">
        <v>143</v>
      </c>
      <c r="F310">
        <v>59</v>
      </c>
      <c r="G310">
        <v>1450</v>
      </c>
      <c r="H310">
        <v>11</v>
      </c>
      <c r="I310">
        <v>0.53700000000000003</v>
      </c>
      <c r="J310">
        <v>0.72</v>
      </c>
      <c r="K310">
        <v>0.184</v>
      </c>
      <c r="L310">
        <v>5.4</v>
      </c>
      <c r="M310">
        <v>21.5</v>
      </c>
      <c r="N310">
        <v>13.4</v>
      </c>
      <c r="O310">
        <v>6.5</v>
      </c>
      <c r="P310">
        <v>1</v>
      </c>
      <c r="Q310">
        <v>3.6</v>
      </c>
      <c r="R310">
        <v>10.9</v>
      </c>
      <c r="S310">
        <v>13.3</v>
      </c>
      <c r="T310" s="1" t="s">
        <v>707</v>
      </c>
      <c r="U310">
        <v>0.7</v>
      </c>
      <c r="V310">
        <v>2.2999999999999998</v>
      </c>
      <c r="W310">
        <v>3</v>
      </c>
      <c r="X310">
        <v>9.8000000000000004E-2</v>
      </c>
      <c r="Y310" s="1" t="s">
        <v>707</v>
      </c>
      <c r="Z310">
        <v>-1.6</v>
      </c>
      <c r="AA310">
        <v>1.2</v>
      </c>
      <c r="AB310">
        <v>-0.4</v>
      </c>
      <c r="AC310">
        <v>0.6</v>
      </c>
    </row>
    <row r="311" spans="1:29" x14ac:dyDescent="0.35">
      <c r="A311">
        <v>310</v>
      </c>
      <c r="B311" s="1" t="s">
        <v>380</v>
      </c>
      <c r="C311" s="1" t="s">
        <v>48</v>
      </c>
      <c r="D311">
        <v>30</v>
      </c>
      <c r="E311" s="1" t="s">
        <v>143</v>
      </c>
      <c r="F311">
        <v>5</v>
      </c>
      <c r="G311">
        <v>65</v>
      </c>
      <c r="H311">
        <v>13</v>
      </c>
      <c r="I311">
        <v>0.56100000000000005</v>
      </c>
      <c r="J311">
        <v>0.68</v>
      </c>
      <c r="K311">
        <v>0.32</v>
      </c>
      <c r="L311">
        <v>0</v>
      </c>
      <c r="M311">
        <v>13.7</v>
      </c>
      <c r="N311">
        <v>6.8</v>
      </c>
      <c r="O311">
        <v>18.600000000000001</v>
      </c>
      <c r="P311">
        <v>0.8</v>
      </c>
      <c r="Q311">
        <v>0</v>
      </c>
      <c r="R311">
        <v>12.3</v>
      </c>
      <c r="S311">
        <v>22.5</v>
      </c>
      <c r="T311" s="1" t="s">
        <v>707</v>
      </c>
      <c r="U311">
        <v>0.1</v>
      </c>
      <c r="V311">
        <v>0.1</v>
      </c>
      <c r="W311">
        <v>0.1</v>
      </c>
      <c r="X311">
        <v>9.0999999999999998E-2</v>
      </c>
      <c r="Y311" s="1" t="s">
        <v>707</v>
      </c>
      <c r="Z311">
        <v>-2.7</v>
      </c>
      <c r="AA311">
        <v>-1.9</v>
      </c>
      <c r="AB311">
        <v>-4.5999999999999996</v>
      </c>
      <c r="AC311">
        <v>0</v>
      </c>
    </row>
    <row r="312" spans="1:29" x14ac:dyDescent="0.35">
      <c r="A312">
        <v>311</v>
      </c>
      <c r="B312" s="1" t="s">
        <v>381</v>
      </c>
      <c r="C312" s="1" t="s">
        <v>28</v>
      </c>
      <c r="D312">
        <v>24</v>
      </c>
      <c r="E312" s="1" t="s">
        <v>99</v>
      </c>
      <c r="F312">
        <v>37</v>
      </c>
      <c r="G312">
        <v>267</v>
      </c>
      <c r="H312">
        <v>18.7</v>
      </c>
      <c r="I312">
        <v>0.60299999999999998</v>
      </c>
      <c r="J312">
        <v>0.14799999999999999</v>
      </c>
      <c r="K312">
        <v>0.68200000000000005</v>
      </c>
      <c r="L312">
        <v>12.5</v>
      </c>
      <c r="M312">
        <v>21.8</v>
      </c>
      <c r="N312">
        <v>17.100000000000001</v>
      </c>
      <c r="O312">
        <v>11.9</v>
      </c>
      <c r="P312">
        <v>1.2</v>
      </c>
      <c r="Q312">
        <v>2.9</v>
      </c>
      <c r="R312">
        <v>13.6</v>
      </c>
      <c r="S312">
        <v>20.7</v>
      </c>
      <c r="T312" s="1" t="s">
        <v>707</v>
      </c>
      <c r="U312">
        <v>0.6</v>
      </c>
      <c r="V312">
        <v>0.3</v>
      </c>
      <c r="W312">
        <v>1</v>
      </c>
      <c r="X312">
        <v>0.17100000000000001</v>
      </c>
      <c r="Y312" s="1" t="s">
        <v>707</v>
      </c>
      <c r="Z312">
        <v>-0.7</v>
      </c>
      <c r="AA312">
        <v>0.1</v>
      </c>
      <c r="AB312">
        <v>-0.6</v>
      </c>
      <c r="AC312">
        <v>0.1</v>
      </c>
    </row>
    <row r="313" spans="1:29" x14ac:dyDescent="0.35">
      <c r="A313">
        <v>312</v>
      </c>
      <c r="B313" s="1" t="s">
        <v>382</v>
      </c>
      <c r="C313" s="1" t="s">
        <v>51</v>
      </c>
      <c r="D313">
        <v>22</v>
      </c>
      <c r="E313" s="1" t="s">
        <v>42</v>
      </c>
      <c r="F313">
        <v>30</v>
      </c>
      <c r="G313">
        <v>222</v>
      </c>
      <c r="H313">
        <v>10.9</v>
      </c>
      <c r="I313">
        <v>0.49099999999999999</v>
      </c>
      <c r="J313">
        <v>0.63500000000000001</v>
      </c>
      <c r="K313">
        <v>0.25900000000000001</v>
      </c>
      <c r="L313">
        <v>6.8</v>
      </c>
      <c r="M313">
        <v>14.8</v>
      </c>
      <c r="N313">
        <v>10.7</v>
      </c>
      <c r="O313">
        <v>6.5</v>
      </c>
      <c r="P313">
        <v>0.9</v>
      </c>
      <c r="Q313">
        <v>0.8</v>
      </c>
      <c r="R313">
        <v>6.9</v>
      </c>
      <c r="S313">
        <v>20</v>
      </c>
      <c r="T313" s="1" t="s">
        <v>707</v>
      </c>
      <c r="U313">
        <v>0.1</v>
      </c>
      <c r="V313">
        <v>0.2</v>
      </c>
      <c r="W313">
        <v>0.2</v>
      </c>
      <c r="X313">
        <v>4.7E-2</v>
      </c>
      <c r="Y313" s="1" t="s">
        <v>707</v>
      </c>
      <c r="Z313">
        <v>-1.9</v>
      </c>
      <c r="AA313">
        <v>-2.2000000000000002</v>
      </c>
      <c r="AB313">
        <v>-4.0999999999999996</v>
      </c>
      <c r="AC313">
        <v>-0.1</v>
      </c>
    </row>
    <row r="314" spans="1:29" x14ac:dyDescent="0.35">
      <c r="A314">
        <v>313</v>
      </c>
      <c r="B314" s="1" t="s">
        <v>383</v>
      </c>
      <c r="C314" s="1" t="s">
        <v>41</v>
      </c>
      <c r="D314">
        <v>25</v>
      </c>
      <c r="E314" s="1" t="s">
        <v>34</v>
      </c>
      <c r="F314">
        <v>72</v>
      </c>
      <c r="G314">
        <v>1292</v>
      </c>
      <c r="H314">
        <v>14</v>
      </c>
      <c r="I314">
        <v>0.61499999999999999</v>
      </c>
      <c r="J314">
        <v>0.48099999999999998</v>
      </c>
      <c r="K314">
        <v>0.187</v>
      </c>
      <c r="L314">
        <v>6.9</v>
      </c>
      <c r="M314">
        <v>20.100000000000001</v>
      </c>
      <c r="N314">
        <v>13.3</v>
      </c>
      <c r="O314">
        <v>10.6</v>
      </c>
      <c r="P314">
        <v>1.7</v>
      </c>
      <c r="Q314">
        <v>1.5</v>
      </c>
      <c r="R314">
        <v>9.3000000000000007</v>
      </c>
      <c r="S314">
        <v>9.9</v>
      </c>
      <c r="T314" s="1" t="s">
        <v>707</v>
      </c>
      <c r="U314">
        <v>2.4</v>
      </c>
      <c r="V314">
        <v>1.8</v>
      </c>
      <c r="W314">
        <v>4.2</v>
      </c>
      <c r="X314">
        <v>0.155</v>
      </c>
      <c r="Y314" s="1" t="s">
        <v>707</v>
      </c>
      <c r="Z314">
        <v>0.2</v>
      </c>
      <c r="AA314">
        <v>1.3</v>
      </c>
      <c r="AB314">
        <v>1.5</v>
      </c>
      <c r="AC314">
        <v>1.2</v>
      </c>
    </row>
    <row r="315" spans="1:29" x14ac:dyDescent="0.35">
      <c r="A315">
        <v>314</v>
      </c>
      <c r="B315" s="1" t="s">
        <v>384</v>
      </c>
      <c r="C315" s="1" t="s">
        <v>41</v>
      </c>
      <c r="D315">
        <v>24</v>
      </c>
      <c r="E315" s="1" t="s">
        <v>89</v>
      </c>
      <c r="F315">
        <v>67</v>
      </c>
      <c r="G315">
        <v>1414</v>
      </c>
      <c r="H315">
        <v>10.199999999999999</v>
      </c>
      <c r="I315">
        <v>0.502</v>
      </c>
      <c r="J315">
        <v>0.56599999999999995</v>
      </c>
      <c r="K315">
        <v>0.17899999999999999</v>
      </c>
      <c r="L315">
        <v>1.8</v>
      </c>
      <c r="M315">
        <v>11.9</v>
      </c>
      <c r="N315">
        <v>6.9</v>
      </c>
      <c r="O315">
        <v>13.1</v>
      </c>
      <c r="P315">
        <v>1.2</v>
      </c>
      <c r="Q315">
        <v>0.6</v>
      </c>
      <c r="R315">
        <v>8.6</v>
      </c>
      <c r="S315">
        <v>17.600000000000001</v>
      </c>
      <c r="T315" s="1" t="s">
        <v>707</v>
      </c>
      <c r="U315">
        <v>0.1</v>
      </c>
      <c r="V315">
        <v>1.1000000000000001</v>
      </c>
      <c r="W315">
        <v>1.2</v>
      </c>
      <c r="X315">
        <v>4.1000000000000002E-2</v>
      </c>
      <c r="Y315" s="1" t="s">
        <v>707</v>
      </c>
      <c r="Z315">
        <v>-2</v>
      </c>
      <c r="AA315">
        <v>-1.1000000000000001</v>
      </c>
      <c r="AB315">
        <v>-3.1</v>
      </c>
      <c r="AC315">
        <v>-0.4</v>
      </c>
    </row>
    <row r="316" spans="1:29" x14ac:dyDescent="0.35">
      <c r="A316">
        <v>315</v>
      </c>
      <c r="B316" s="1" t="s">
        <v>385</v>
      </c>
      <c r="C316" s="1" t="s">
        <v>31</v>
      </c>
      <c r="D316">
        <v>26</v>
      </c>
      <c r="E316" s="1" t="s">
        <v>42</v>
      </c>
      <c r="F316">
        <v>15</v>
      </c>
      <c r="G316">
        <v>103</v>
      </c>
      <c r="H316">
        <v>16.600000000000001</v>
      </c>
      <c r="I316">
        <v>0.50600000000000001</v>
      </c>
      <c r="J316">
        <v>0.185</v>
      </c>
      <c r="K316">
        <v>0.222</v>
      </c>
      <c r="L316">
        <v>14</v>
      </c>
      <c r="M316">
        <v>16.399999999999999</v>
      </c>
      <c r="N316">
        <v>15.2</v>
      </c>
      <c r="O316">
        <v>12.4</v>
      </c>
      <c r="P316">
        <v>1.4</v>
      </c>
      <c r="Q316">
        <v>2.6</v>
      </c>
      <c r="R316">
        <v>0</v>
      </c>
      <c r="S316">
        <v>12.7</v>
      </c>
      <c r="T316" s="1" t="s">
        <v>707</v>
      </c>
      <c r="U316">
        <v>0.2</v>
      </c>
      <c r="V316">
        <v>0.2</v>
      </c>
      <c r="W316">
        <v>0.4</v>
      </c>
      <c r="X316">
        <v>0.19400000000000001</v>
      </c>
      <c r="Y316" s="1" t="s">
        <v>707</v>
      </c>
      <c r="Z316">
        <v>-0.9</v>
      </c>
      <c r="AA316">
        <v>0.4</v>
      </c>
      <c r="AB316">
        <v>-0.5</v>
      </c>
      <c r="AC316">
        <v>0</v>
      </c>
    </row>
    <row r="317" spans="1:29" x14ac:dyDescent="0.35">
      <c r="A317">
        <v>316</v>
      </c>
      <c r="B317" s="1" t="s">
        <v>386</v>
      </c>
      <c r="C317" s="1" t="s">
        <v>41</v>
      </c>
      <c r="D317">
        <v>21</v>
      </c>
      <c r="E317" s="1" t="s">
        <v>96</v>
      </c>
      <c r="F317">
        <v>30</v>
      </c>
      <c r="G317">
        <v>690</v>
      </c>
      <c r="H317">
        <v>8.5</v>
      </c>
      <c r="I317">
        <v>0.52900000000000003</v>
      </c>
      <c r="J317">
        <v>0.58699999999999997</v>
      </c>
      <c r="K317">
        <v>0.13200000000000001</v>
      </c>
      <c r="L317">
        <v>2.6</v>
      </c>
      <c r="M317">
        <v>12.6</v>
      </c>
      <c r="N317">
        <v>7.5</v>
      </c>
      <c r="O317">
        <v>11.9</v>
      </c>
      <c r="P317">
        <v>1.3</v>
      </c>
      <c r="Q317">
        <v>1.1000000000000001</v>
      </c>
      <c r="R317">
        <v>14.1</v>
      </c>
      <c r="S317">
        <v>12.9</v>
      </c>
      <c r="T317" s="1" t="s">
        <v>707</v>
      </c>
      <c r="U317">
        <v>0.1</v>
      </c>
      <c r="V317">
        <v>0.5</v>
      </c>
      <c r="W317">
        <v>0.6</v>
      </c>
      <c r="X317">
        <v>4.2000000000000003E-2</v>
      </c>
      <c r="Y317" s="1" t="s">
        <v>707</v>
      </c>
      <c r="Z317">
        <v>-4.3</v>
      </c>
      <c r="AA317">
        <v>-1</v>
      </c>
      <c r="AB317">
        <v>-5.3</v>
      </c>
      <c r="AC317">
        <v>-0.6</v>
      </c>
    </row>
    <row r="318" spans="1:29" x14ac:dyDescent="0.35">
      <c r="A318">
        <v>317</v>
      </c>
      <c r="B318" s="1" t="s">
        <v>387</v>
      </c>
      <c r="C318" s="1" t="s">
        <v>51</v>
      </c>
      <c r="D318">
        <v>24</v>
      </c>
      <c r="E318" s="1" t="s">
        <v>73</v>
      </c>
      <c r="F318">
        <v>2</v>
      </c>
      <c r="G318">
        <v>5</v>
      </c>
      <c r="H318">
        <v>-10.7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8.5</v>
      </c>
      <c r="T318" s="1" t="s">
        <v>707</v>
      </c>
      <c r="U318">
        <v>0</v>
      </c>
      <c r="V318">
        <v>0</v>
      </c>
      <c r="W318">
        <v>0</v>
      </c>
      <c r="X318">
        <v>-0.217</v>
      </c>
      <c r="Y318" s="1" t="s">
        <v>707</v>
      </c>
      <c r="Z318">
        <v>-14.7</v>
      </c>
      <c r="AA318">
        <v>-7.1</v>
      </c>
      <c r="AB318">
        <v>-21.8</v>
      </c>
      <c r="AC318">
        <v>0</v>
      </c>
    </row>
    <row r="319" spans="1:29" x14ac:dyDescent="0.35">
      <c r="A319">
        <v>318</v>
      </c>
      <c r="B319" s="1" t="s">
        <v>388</v>
      </c>
      <c r="C319" s="1" t="s">
        <v>51</v>
      </c>
      <c r="D319">
        <v>19</v>
      </c>
      <c r="E319" s="1" t="s">
        <v>111</v>
      </c>
      <c r="F319">
        <v>70</v>
      </c>
      <c r="G319">
        <v>1185</v>
      </c>
      <c r="H319">
        <v>15.2</v>
      </c>
      <c r="I319">
        <v>0.6</v>
      </c>
      <c r="J319">
        <v>0.32400000000000001</v>
      </c>
      <c r="K319">
        <v>0.41299999999999998</v>
      </c>
      <c r="L319">
        <v>5.0999999999999996</v>
      </c>
      <c r="M319">
        <v>16.100000000000001</v>
      </c>
      <c r="N319">
        <v>10.8</v>
      </c>
      <c r="O319">
        <v>8.4</v>
      </c>
      <c r="P319">
        <v>1.3</v>
      </c>
      <c r="Q319">
        <v>1.8</v>
      </c>
      <c r="R319">
        <v>12</v>
      </c>
      <c r="S319">
        <v>22.7</v>
      </c>
      <c r="T319" s="1" t="s">
        <v>707</v>
      </c>
      <c r="U319">
        <v>1.3</v>
      </c>
      <c r="V319">
        <v>1.8</v>
      </c>
      <c r="W319">
        <v>3</v>
      </c>
      <c r="X319">
        <v>0.123</v>
      </c>
      <c r="Y319" s="1" t="s">
        <v>707</v>
      </c>
      <c r="Z319">
        <v>-1.3</v>
      </c>
      <c r="AA319">
        <v>-0.2</v>
      </c>
      <c r="AB319">
        <v>-1.5</v>
      </c>
      <c r="AC319">
        <v>0.1</v>
      </c>
    </row>
    <row r="320" spans="1:29" x14ac:dyDescent="0.35">
      <c r="A320">
        <v>319</v>
      </c>
      <c r="B320" s="1" t="s">
        <v>389</v>
      </c>
      <c r="C320" s="1" t="s">
        <v>28</v>
      </c>
      <c r="D320">
        <v>26</v>
      </c>
      <c r="E320" s="1" t="s">
        <v>65</v>
      </c>
      <c r="F320">
        <v>66</v>
      </c>
      <c r="G320">
        <v>2204</v>
      </c>
      <c r="H320">
        <v>15.2</v>
      </c>
      <c r="I320">
        <v>0.54700000000000004</v>
      </c>
      <c r="J320">
        <v>0.40100000000000002</v>
      </c>
      <c r="K320">
        <v>0.23400000000000001</v>
      </c>
      <c r="L320">
        <v>3.6</v>
      </c>
      <c r="M320">
        <v>24.3</v>
      </c>
      <c r="N320">
        <v>14.1</v>
      </c>
      <c r="O320">
        <v>16.3</v>
      </c>
      <c r="P320">
        <v>0.9</v>
      </c>
      <c r="Q320">
        <v>2.2000000000000002</v>
      </c>
      <c r="R320">
        <v>14.1</v>
      </c>
      <c r="S320">
        <v>24.2</v>
      </c>
      <c r="T320" s="1" t="s">
        <v>707</v>
      </c>
      <c r="U320">
        <v>0</v>
      </c>
      <c r="V320">
        <v>2</v>
      </c>
      <c r="W320">
        <v>2</v>
      </c>
      <c r="X320">
        <v>4.3999999999999997E-2</v>
      </c>
      <c r="Y320" s="1" t="s">
        <v>707</v>
      </c>
      <c r="Z320">
        <v>0.2</v>
      </c>
      <c r="AA320">
        <v>-0.4</v>
      </c>
      <c r="AB320">
        <v>-0.2</v>
      </c>
      <c r="AC320">
        <v>1</v>
      </c>
    </row>
    <row r="321" spans="1:29" x14ac:dyDescent="0.35">
      <c r="A321">
        <v>320</v>
      </c>
      <c r="B321" s="1" t="s">
        <v>390</v>
      </c>
      <c r="C321" s="1" t="s">
        <v>51</v>
      </c>
      <c r="D321">
        <v>24</v>
      </c>
      <c r="E321" s="1" t="s">
        <v>91</v>
      </c>
      <c r="F321">
        <v>2</v>
      </c>
      <c r="G321">
        <v>8</v>
      </c>
      <c r="H321">
        <v>-0.5</v>
      </c>
      <c r="I321">
        <v>0</v>
      </c>
      <c r="J321">
        <v>1</v>
      </c>
      <c r="K321">
        <v>0</v>
      </c>
      <c r="L321">
        <v>0</v>
      </c>
      <c r="M321">
        <v>13.2</v>
      </c>
      <c r="N321">
        <v>6.6</v>
      </c>
      <c r="O321">
        <v>27.9</v>
      </c>
      <c r="P321">
        <v>0</v>
      </c>
      <c r="Q321">
        <v>0</v>
      </c>
      <c r="R321">
        <v>0</v>
      </c>
      <c r="S321">
        <v>10.6</v>
      </c>
      <c r="T321" s="1" t="s">
        <v>707</v>
      </c>
      <c r="U321">
        <v>0</v>
      </c>
      <c r="V321">
        <v>0</v>
      </c>
      <c r="W321">
        <v>0</v>
      </c>
      <c r="X321">
        <v>-0.13800000000000001</v>
      </c>
      <c r="Y321" s="1" t="s">
        <v>707</v>
      </c>
      <c r="Z321">
        <v>-6.2</v>
      </c>
      <c r="AA321">
        <v>-1.8</v>
      </c>
      <c r="AB321">
        <v>-8</v>
      </c>
      <c r="AC321">
        <v>0</v>
      </c>
    </row>
    <row r="322" spans="1:29" x14ac:dyDescent="0.35">
      <c r="A322">
        <v>321</v>
      </c>
      <c r="B322" s="1" t="s">
        <v>391</v>
      </c>
      <c r="C322" s="1" t="s">
        <v>309</v>
      </c>
      <c r="D322">
        <v>29</v>
      </c>
      <c r="E322" s="1" t="s">
        <v>42</v>
      </c>
      <c r="F322">
        <v>56</v>
      </c>
      <c r="G322">
        <v>935</v>
      </c>
      <c r="H322">
        <v>13.3</v>
      </c>
      <c r="I322">
        <v>0.52100000000000002</v>
      </c>
      <c r="J322">
        <v>0.49</v>
      </c>
      <c r="K322">
        <v>0.30499999999999999</v>
      </c>
      <c r="L322">
        <v>3</v>
      </c>
      <c r="M322">
        <v>15.3</v>
      </c>
      <c r="N322">
        <v>9.1</v>
      </c>
      <c r="O322">
        <v>12.3</v>
      </c>
      <c r="P322">
        <v>1.6</v>
      </c>
      <c r="Q322">
        <v>2</v>
      </c>
      <c r="R322">
        <v>8.6</v>
      </c>
      <c r="S322">
        <v>19.7</v>
      </c>
      <c r="T322" s="1" t="s">
        <v>707</v>
      </c>
      <c r="U322">
        <v>0.6</v>
      </c>
      <c r="V322">
        <v>0.6</v>
      </c>
      <c r="W322">
        <v>1.2</v>
      </c>
      <c r="X322">
        <v>6.3E-2</v>
      </c>
      <c r="Y322" s="1" t="s">
        <v>707</v>
      </c>
      <c r="Z322">
        <v>-0.4</v>
      </c>
      <c r="AA322">
        <v>-0.5</v>
      </c>
      <c r="AB322">
        <v>-0.8</v>
      </c>
      <c r="AC322">
        <v>0.3</v>
      </c>
    </row>
    <row r="323" spans="1:29" x14ac:dyDescent="0.35">
      <c r="A323">
        <v>322</v>
      </c>
      <c r="B323" s="1" t="s">
        <v>392</v>
      </c>
      <c r="C323" s="1" t="s">
        <v>31</v>
      </c>
      <c r="D323">
        <v>26</v>
      </c>
      <c r="E323" s="1" t="s">
        <v>91</v>
      </c>
      <c r="F323">
        <v>54</v>
      </c>
      <c r="G323">
        <v>589</v>
      </c>
      <c r="H323">
        <v>16</v>
      </c>
      <c r="I323">
        <v>0.59699999999999998</v>
      </c>
      <c r="J323">
        <v>0.436</v>
      </c>
      <c r="K323">
        <v>0.20100000000000001</v>
      </c>
      <c r="L323">
        <v>11.1</v>
      </c>
      <c r="M323">
        <v>13.5</v>
      </c>
      <c r="N323">
        <v>12.3</v>
      </c>
      <c r="O323">
        <v>10.6</v>
      </c>
      <c r="P323">
        <v>0.8</v>
      </c>
      <c r="Q323">
        <v>2</v>
      </c>
      <c r="R323">
        <v>12.3</v>
      </c>
      <c r="S323">
        <v>18.100000000000001</v>
      </c>
      <c r="T323" s="1" t="s">
        <v>707</v>
      </c>
      <c r="U323">
        <v>1</v>
      </c>
      <c r="V323">
        <v>0.4</v>
      </c>
      <c r="W323">
        <v>1.5</v>
      </c>
      <c r="X323">
        <v>0.121</v>
      </c>
      <c r="Y323" s="1" t="s">
        <v>707</v>
      </c>
      <c r="Z323">
        <v>0.7</v>
      </c>
      <c r="AA323">
        <v>-1.1000000000000001</v>
      </c>
      <c r="AB323">
        <v>-0.4</v>
      </c>
      <c r="AC323">
        <v>0.2</v>
      </c>
    </row>
    <row r="324" spans="1:29" x14ac:dyDescent="0.35">
      <c r="A324">
        <v>323</v>
      </c>
      <c r="B324" s="1" t="s">
        <v>393</v>
      </c>
      <c r="C324" s="1" t="s">
        <v>41</v>
      </c>
      <c r="D324">
        <v>22</v>
      </c>
      <c r="E324" s="1" t="s">
        <v>42</v>
      </c>
      <c r="F324">
        <v>48</v>
      </c>
      <c r="G324">
        <v>771</v>
      </c>
      <c r="H324">
        <v>9.1999999999999993</v>
      </c>
      <c r="I324">
        <v>0.52</v>
      </c>
      <c r="J324">
        <v>0.44500000000000001</v>
      </c>
      <c r="K324">
        <v>0.22</v>
      </c>
      <c r="L324">
        <v>4.3</v>
      </c>
      <c r="M324">
        <v>10.7</v>
      </c>
      <c r="N324">
        <v>7.6</v>
      </c>
      <c r="O324">
        <v>3.7</v>
      </c>
      <c r="P324">
        <v>1.4</v>
      </c>
      <c r="Q324">
        <v>1.9</v>
      </c>
      <c r="R324">
        <v>7.1</v>
      </c>
      <c r="S324">
        <v>12.9</v>
      </c>
      <c r="T324" s="1" t="s">
        <v>707</v>
      </c>
      <c r="U324">
        <v>0.3</v>
      </c>
      <c r="V324">
        <v>1</v>
      </c>
      <c r="W324">
        <v>1.3</v>
      </c>
      <c r="X324">
        <v>8.2000000000000003E-2</v>
      </c>
      <c r="Y324" s="1" t="s">
        <v>707</v>
      </c>
      <c r="Z324">
        <v>-2.2999999999999998</v>
      </c>
      <c r="AA324">
        <v>1</v>
      </c>
      <c r="AB324">
        <v>-1.4</v>
      </c>
      <c r="AC324">
        <v>0.1</v>
      </c>
    </row>
    <row r="325" spans="1:29" x14ac:dyDescent="0.35">
      <c r="A325">
        <v>324</v>
      </c>
      <c r="B325" s="1" t="s">
        <v>394</v>
      </c>
      <c r="C325" s="1" t="s">
        <v>51</v>
      </c>
      <c r="D325">
        <v>26</v>
      </c>
      <c r="E325" s="1" t="s">
        <v>75</v>
      </c>
      <c r="F325">
        <v>67</v>
      </c>
      <c r="G325">
        <v>2328</v>
      </c>
      <c r="H325">
        <v>20</v>
      </c>
      <c r="I325">
        <v>0.60499999999999998</v>
      </c>
      <c r="J325">
        <v>0.40100000000000002</v>
      </c>
      <c r="K325">
        <v>0.316</v>
      </c>
      <c r="L325">
        <v>1.1000000000000001</v>
      </c>
      <c r="M325">
        <v>13.8</v>
      </c>
      <c r="N325">
        <v>7.4</v>
      </c>
      <c r="O325">
        <v>20.8</v>
      </c>
      <c r="P325">
        <v>0.9</v>
      </c>
      <c r="Q325">
        <v>0.9</v>
      </c>
      <c r="R325">
        <v>11.2</v>
      </c>
      <c r="S325">
        <v>28.8</v>
      </c>
      <c r="T325" s="1" t="s">
        <v>707</v>
      </c>
      <c r="U325">
        <v>4.5</v>
      </c>
      <c r="V325">
        <v>1.3</v>
      </c>
      <c r="W325">
        <v>5.8</v>
      </c>
      <c r="X325">
        <v>0.12</v>
      </c>
      <c r="Y325" s="1" t="s">
        <v>707</v>
      </c>
      <c r="Z325">
        <v>3.9</v>
      </c>
      <c r="AA325">
        <v>-1.5</v>
      </c>
      <c r="AB325">
        <v>2.4</v>
      </c>
      <c r="AC325">
        <v>2.6</v>
      </c>
    </row>
    <row r="326" spans="1:29" x14ac:dyDescent="0.35">
      <c r="A326">
        <v>325</v>
      </c>
      <c r="B326" s="1" t="s">
        <v>395</v>
      </c>
      <c r="C326" s="1" t="s">
        <v>51</v>
      </c>
      <c r="D326">
        <v>27</v>
      </c>
      <c r="E326" s="1" t="s">
        <v>99</v>
      </c>
      <c r="F326">
        <v>34</v>
      </c>
      <c r="G326">
        <v>231</v>
      </c>
      <c r="H326">
        <v>9</v>
      </c>
      <c r="I326">
        <v>0.5</v>
      </c>
      <c r="J326">
        <v>0.47899999999999998</v>
      </c>
      <c r="K326">
        <v>0.247</v>
      </c>
      <c r="L326">
        <v>2.7</v>
      </c>
      <c r="M326">
        <v>14.3</v>
      </c>
      <c r="N326">
        <v>8.4</v>
      </c>
      <c r="O326">
        <v>5.3</v>
      </c>
      <c r="P326">
        <v>1.4</v>
      </c>
      <c r="Q326">
        <v>2.1</v>
      </c>
      <c r="R326">
        <v>11</v>
      </c>
      <c r="S326">
        <v>16.399999999999999</v>
      </c>
      <c r="T326" s="1" t="s">
        <v>707</v>
      </c>
      <c r="U326">
        <v>-0.1</v>
      </c>
      <c r="V326">
        <v>0.2</v>
      </c>
      <c r="W326">
        <v>0.1</v>
      </c>
      <c r="X326">
        <v>2.4E-2</v>
      </c>
      <c r="Y326" s="1" t="s">
        <v>707</v>
      </c>
      <c r="Z326">
        <v>-3.3</v>
      </c>
      <c r="AA326">
        <v>-0.6</v>
      </c>
      <c r="AB326">
        <v>-3.9</v>
      </c>
      <c r="AC326">
        <v>-0.1</v>
      </c>
    </row>
    <row r="327" spans="1:29" x14ac:dyDescent="0.35">
      <c r="A327">
        <v>326</v>
      </c>
      <c r="B327" s="1" t="s">
        <v>396</v>
      </c>
      <c r="C327" s="1" t="s">
        <v>41</v>
      </c>
      <c r="D327">
        <v>29</v>
      </c>
      <c r="E327" s="1" t="s">
        <v>111</v>
      </c>
      <c r="F327">
        <v>63</v>
      </c>
      <c r="G327">
        <v>1256</v>
      </c>
      <c r="H327">
        <v>10.9</v>
      </c>
      <c r="I327">
        <v>0.56100000000000005</v>
      </c>
      <c r="J327">
        <v>0.48799999999999999</v>
      </c>
      <c r="K327">
        <v>0.19600000000000001</v>
      </c>
      <c r="L327">
        <v>2.4</v>
      </c>
      <c r="M327">
        <v>14.9</v>
      </c>
      <c r="N327">
        <v>8.8000000000000007</v>
      </c>
      <c r="O327">
        <v>7.1</v>
      </c>
      <c r="P327">
        <v>1.5</v>
      </c>
      <c r="Q327">
        <v>0.5</v>
      </c>
      <c r="R327">
        <v>8.4</v>
      </c>
      <c r="S327">
        <v>15.8</v>
      </c>
      <c r="T327" s="1" t="s">
        <v>707</v>
      </c>
      <c r="U327">
        <v>0.9</v>
      </c>
      <c r="V327">
        <v>1.8</v>
      </c>
      <c r="W327">
        <v>2.7</v>
      </c>
      <c r="X327">
        <v>0.10199999999999999</v>
      </c>
      <c r="Y327" s="1" t="s">
        <v>707</v>
      </c>
      <c r="Z327">
        <v>-2.4</v>
      </c>
      <c r="AA327">
        <v>0.4</v>
      </c>
      <c r="AB327">
        <v>-2</v>
      </c>
      <c r="AC327">
        <v>0</v>
      </c>
    </row>
    <row r="328" spans="1:29" x14ac:dyDescent="0.35">
      <c r="A328">
        <v>327</v>
      </c>
      <c r="B328" s="1" t="s">
        <v>397</v>
      </c>
      <c r="C328" s="1" t="s">
        <v>48</v>
      </c>
      <c r="D328">
        <v>22</v>
      </c>
      <c r="E328" s="1" t="s">
        <v>105</v>
      </c>
      <c r="F328">
        <v>37</v>
      </c>
      <c r="G328">
        <v>604</v>
      </c>
      <c r="H328">
        <v>13.8</v>
      </c>
      <c r="I328">
        <v>0.499</v>
      </c>
      <c r="J328">
        <v>0.33900000000000002</v>
      </c>
      <c r="K328">
        <v>0.40100000000000002</v>
      </c>
      <c r="L328">
        <v>3.1</v>
      </c>
      <c r="M328">
        <v>13</v>
      </c>
      <c r="N328">
        <v>7.8</v>
      </c>
      <c r="O328">
        <v>26.2</v>
      </c>
      <c r="P328">
        <v>2.9</v>
      </c>
      <c r="Q328">
        <v>1.8</v>
      </c>
      <c r="R328">
        <v>14.7</v>
      </c>
      <c r="S328">
        <v>17.3</v>
      </c>
      <c r="T328" s="1" t="s">
        <v>707</v>
      </c>
      <c r="U328">
        <v>0.3</v>
      </c>
      <c r="V328">
        <v>0.7</v>
      </c>
      <c r="W328">
        <v>0.9</v>
      </c>
      <c r="X328">
        <v>7.2999999999999995E-2</v>
      </c>
      <c r="Y328" s="1" t="s">
        <v>707</v>
      </c>
      <c r="Z328">
        <v>-1.9</v>
      </c>
      <c r="AA328">
        <v>1.5</v>
      </c>
      <c r="AB328">
        <v>-0.4</v>
      </c>
      <c r="AC328">
        <v>0.2</v>
      </c>
    </row>
    <row r="329" spans="1:29" x14ac:dyDescent="0.35">
      <c r="A329">
        <v>328</v>
      </c>
      <c r="B329" s="1" t="s">
        <v>398</v>
      </c>
      <c r="C329" s="1" t="s">
        <v>31</v>
      </c>
      <c r="D329">
        <v>28</v>
      </c>
      <c r="E329" s="1" t="s">
        <v>82</v>
      </c>
      <c r="F329">
        <v>39</v>
      </c>
      <c r="G329">
        <v>620</v>
      </c>
      <c r="H329">
        <v>13.1</v>
      </c>
      <c r="I329">
        <v>0.57699999999999996</v>
      </c>
      <c r="J329">
        <v>0.11899999999999999</v>
      </c>
      <c r="K329">
        <v>0.35799999999999998</v>
      </c>
      <c r="L329">
        <v>9</v>
      </c>
      <c r="M329">
        <v>19.3</v>
      </c>
      <c r="N329">
        <v>14.1</v>
      </c>
      <c r="O329">
        <v>10.6</v>
      </c>
      <c r="P329">
        <v>1</v>
      </c>
      <c r="Q329">
        <v>3.5</v>
      </c>
      <c r="R329">
        <v>17.399999999999999</v>
      </c>
      <c r="S329">
        <v>17.100000000000001</v>
      </c>
      <c r="T329" s="1" t="s">
        <v>707</v>
      </c>
      <c r="U329">
        <v>0.4</v>
      </c>
      <c r="V329">
        <v>0.5</v>
      </c>
      <c r="W329">
        <v>0.9</v>
      </c>
      <c r="X329">
        <v>7.0000000000000007E-2</v>
      </c>
      <c r="Y329" s="1" t="s">
        <v>707</v>
      </c>
      <c r="Z329">
        <v>-3.2</v>
      </c>
      <c r="AA329">
        <v>0.3</v>
      </c>
      <c r="AB329">
        <v>-2.9</v>
      </c>
      <c r="AC329">
        <v>-0.1</v>
      </c>
    </row>
    <row r="330" spans="1:29" x14ac:dyDescent="0.35">
      <c r="A330">
        <v>329</v>
      </c>
      <c r="B330" s="1" t="s">
        <v>399</v>
      </c>
      <c r="C330" s="1" t="s">
        <v>41</v>
      </c>
      <c r="D330">
        <v>27</v>
      </c>
      <c r="E330" s="1" t="s">
        <v>42</v>
      </c>
      <c r="F330">
        <v>58</v>
      </c>
      <c r="G330">
        <v>1781</v>
      </c>
      <c r="H330">
        <v>15.1</v>
      </c>
      <c r="I330">
        <v>0.52500000000000002</v>
      </c>
      <c r="J330">
        <v>0.3</v>
      </c>
      <c r="K330">
        <v>0.22600000000000001</v>
      </c>
      <c r="L330">
        <v>2.7</v>
      </c>
      <c r="M330">
        <v>10.7</v>
      </c>
      <c r="N330">
        <v>6.7</v>
      </c>
      <c r="O330">
        <v>22</v>
      </c>
      <c r="P330">
        <v>1.4</v>
      </c>
      <c r="Q330">
        <v>1.1000000000000001</v>
      </c>
      <c r="R330">
        <v>10.3</v>
      </c>
      <c r="S330">
        <v>25.4</v>
      </c>
      <c r="T330" s="1" t="s">
        <v>707</v>
      </c>
      <c r="U330">
        <v>1.2</v>
      </c>
      <c r="V330">
        <v>1</v>
      </c>
      <c r="W330">
        <v>2.2000000000000002</v>
      </c>
      <c r="X330">
        <v>5.8999999999999997E-2</v>
      </c>
      <c r="Y330" s="1" t="s">
        <v>707</v>
      </c>
      <c r="Z330">
        <v>0</v>
      </c>
      <c r="AA330">
        <v>-1.2</v>
      </c>
      <c r="AB330">
        <v>-1.2</v>
      </c>
      <c r="AC330">
        <v>0.4</v>
      </c>
    </row>
    <row r="331" spans="1:29" x14ac:dyDescent="0.35">
      <c r="A331">
        <v>330</v>
      </c>
      <c r="B331" s="1" t="s">
        <v>400</v>
      </c>
      <c r="C331" s="1" t="s">
        <v>48</v>
      </c>
      <c r="D331">
        <v>20</v>
      </c>
      <c r="E331" s="1" t="s">
        <v>49</v>
      </c>
      <c r="F331">
        <v>24</v>
      </c>
      <c r="G331">
        <v>341</v>
      </c>
      <c r="H331">
        <v>9.8000000000000007</v>
      </c>
      <c r="I331">
        <v>0.46600000000000003</v>
      </c>
      <c r="J331">
        <v>0.39700000000000002</v>
      </c>
      <c r="K331">
        <v>8.2000000000000003E-2</v>
      </c>
      <c r="L331">
        <v>2.9</v>
      </c>
      <c r="M331">
        <v>10</v>
      </c>
      <c r="N331">
        <v>6.3</v>
      </c>
      <c r="O331">
        <v>21.7</v>
      </c>
      <c r="P331">
        <v>1.6</v>
      </c>
      <c r="Q331">
        <v>0.3</v>
      </c>
      <c r="R331">
        <v>14.7</v>
      </c>
      <c r="S331">
        <v>22.3</v>
      </c>
      <c r="T331" s="1" t="s">
        <v>707</v>
      </c>
      <c r="U331">
        <v>-0.3</v>
      </c>
      <c r="V331">
        <v>0.2</v>
      </c>
      <c r="W331">
        <v>-0.1</v>
      </c>
      <c r="X331">
        <v>-1.7000000000000001E-2</v>
      </c>
      <c r="Y331" s="1" t="s">
        <v>707</v>
      </c>
      <c r="Z331">
        <v>-2.8</v>
      </c>
      <c r="AA331">
        <v>-1.2</v>
      </c>
      <c r="AB331">
        <v>-4</v>
      </c>
      <c r="AC331">
        <v>-0.2</v>
      </c>
    </row>
    <row r="332" spans="1:29" x14ac:dyDescent="0.35">
      <c r="A332">
        <v>331</v>
      </c>
      <c r="B332" s="1" t="s">
        <v>401</v>
      </c>
      <c r="C332" s="1" t="s">
        <v>41</v>
      </c>
      <c r="D332">
        <v>21</v>
      </c>
      <c r="E332" s="1" t="s">
        <v>73</v>
      </c>
      <c r="F332">
        <v>2</v>
      </c>
      <c r="G332">
        <v>7</v>
      </c>
      <c r="H332">
        <v>14.6</v>
      </c>
      <c r="I332">
        <v>0.56799999999999995</v>
      </c>
      <c r="L332">
        <v>0</v>
      </c>
      <c r="M332">
        <v>0</v>
      </c>
      <c r="N332">
        <v>0</v>
      </c>
      <c r="O332">
        <v>16.2</v>
      </c>
      <c r="P332">
        <v>6.9</v>
      </c>
      <c r="Q332">
        <v>0</v>
      </c>
      <c r="R332">
        <v>0</v>
      </c>
      <c r="S332">
        <v>5.3</v>
      </c>
      <c r="T332" s="1" t="s">
        <v>707</v>
      </c>
      <c r="U332">
        <v>0</v>
      </c>
      <c r="V332">
        <v>0</v>
      </c>
      <c r="W332">
        <v>0</v>
      </c>
      <c r="X332">
        <v>0.16400000000000001</v>
      </c>
      <c r="Y332" s="1" t="s">
        <v>707</v>
      </c>
      <c r="Z332">
        <v>0</v>
      </c>
      <c r="AA332">
        <v>5.9</v>
      </c>
      <c r="AB332">
        <v>6</v>
      </c>
      <c r="AC332">
        <v>0</v>
      </c>
    </row>
    <row r="333" spans="1:29" x14ac:dyDescent="0.35">
      <c r="A333">
        <v>332</v>
      </c>
      <c r="B333" s="1" t="s">
        <v>402</v>
      </c>
      <c r="C333" s="1" t="s">
        <v>48</v>
      </c>
      <c r="D333">
        <v>31</v>
      </c>
      <c r="E333" s="1" t="s">
        <v>114</v>
      </c>
      <c r="F333">
        <v>29</v>
      </c>
      <c r="G333">
        <v>1056</v>
      </c>
      <c r="H333">
        <v>18.5</v>
      </c>
      <c r="I333">
        <v>0.55000000000000004</v>
      </c>
      <c r="J333">
        <v>0.51400000000000001</v>
      </c>
      <c r="K333">
        <v>0.32800000000000001</v>
      </c>
      <c r="L333">
        <v>1.3</v>
      </c>
      <c r="M333">
        <v>11.6</v>
      </c>
      <c r="N333">
        <v>6.2</v>
      </c>
      <c r="O333">
        <v>34</v>
      </c>
      <c r="P333">
        <v>0.8</v>
      </c>
      <c r="Q333">
        <v>1</v>
      </c>
      <c r="R333">
        <v>11.6</v>
      </c>
      <c r="S333">
        <v>29.3</v>
      </c>
      <c r="T333" s="1" t="s">
        <v>707</v>
      </c>
      <c r="U333">
        <v>1.7</v>
      </c>
      <c r="V333">
        <v>0.1</v>
      </c>
      <c r="W333">
        <v>1.7</v>
      </c>
      <c r="X333">
        <v>7.9000000000000001E-2</v>
      </c>
      <c r="Y333" s="1" t="s">
        <v>707</v>
      </c>
      <c r="Z333">
        <v>4</v>
      </c>
      <c r="AA333">
        <v>-2.7</v>
      </c>
      <c r="AB333">
        <v>1.3</v>
      </c>
      <c r="AC333">
        <v>0.9</v>
      </c>
    </row>
    <row r="334" spans="1:29" x14ac:dyDescent="0.35">
      <c r="A334">
        <v>333</v>
      </c>
      <c r="B334" s="1" t="s">
        <v>403</v>
      </c>
      <c r="C334" s="1" t="s">
        <v>51</v>
      </c>
      <c r="D334">
        <v>21</v>
      </c>
      <c r="E334" s="1" t="s">
        <v>114</v>
      </c>
      <c r="F334">
        <v>42</v>
      </c>
      <c r="G334">
        <v>1088</v>
      </c>
      <c r="H334">
        <v>13.5</v>
      </c>
      <c r="I334">
        <v>0.57499999999999996</v>
      </c>
      <c r="J334">
        <v>0.48899999999999999</v>
      </c>
      <c r="K334">
        <v>0.29799999999999999</v>
      </c>
      <c r="L334">
        <v>5.7</v>
      </c>
      <c r="M334">
        <v>18.7</v>
      </c>
      <c r="N334">
        <v>11.9</v>
      </c>
      <c r="O334">
        <v>7.4</v>
      </c>
      <c r="P334">
        <v>1.1000000000000001</v>
      </c>
      <c r="Q334">
        <v>3.3</v>
      </c>
      <c r="R334">
        <v>10.1</v>
      </c>
      <c r="S334">
        <v>15.8</v>
      </c>
      <c r="T334" s="1" t="s">
        <v>707</v>
      </c>
      <c r="U334">
        <v>1.2</v>
      </c>
      <c r="V334">
        <v>0.6</v>
      </c>
      <c r="W334">
        <v>1.7</v>
      </c>
      <c r="X334">
        <v>7.5999999999999998E-2</v>
      </c>
      <c r="Y334" s="1" t="s">
        <v>707</v>
      </c>
      <c r="Z334">
        <v>-0.9</v>
      </c>
      <c r="AA334">
        <v>-0.6</v>
      </c>
      <c r="AB334">
        <v>-1.5</v>
      </c>
      <c r="AC334">
        <v>0.2</v>
      </c>
    </row>
    <row r="335" spans="1:29" x14ac:dyDescent="0.35">
      <c r="A335">
        <v>334</v>
      </c>
      <c r="B335" s="1" t="s">
        <v>404</v>
      </c>
      <c r="C335" s="1" t="s">
        <v>51</v>
      </c>
      <c r="D335">
        <v>23</v>
      </c>
      <c r="E335" s="1" t="s">
        <v>105</v>
      </c>
      <c r="F335">
        <v>19</v>
      </c>
      <c r="G335">
        <v>383</v>
      </c>
      <c r="H335">
        <v>11.1</v>
      </c>
      <c r="I335">
        <v>0.629</v>
      </c>
      <c r="J335">
        <v>0.71099999999999997</v>
      </c>
      <c r="K335">
        <v>0.156</v>
      </c>
      <c r="L335">
        <v>4</v>
      </c>
      <c r="M335">
        <v>12.5</v>
      </c>
      <c r="N335">
        <v>8</v>
      </c>
      <c r="O335">
        <v>8</v>
      </c>
      <c r="P335">
        <v>1.7</v>
      </c>
      <c r="Q335">
        <v>1.6</v>
      </c>
      <c r="R335">
        <v>13.5</v>
      </c>
      <c r="S335">
        <v>12.4</v>
      </c>
      <c r="T335" s="1" t="s">
        <v>707</v>
      </c>
      <c r="U335">
        <v>0.4</v>
      </c>
      <c r="V335">
        <v>0.3</v>
      </c>
      <c r="W335">
        <v>0.7</v>
      </c>
      <c r="X335">
        <v>8.5000000000000006E-2</v>
      </c>
      <c r="Y335" s="1" t="s">
        <v>707</v>
      </c>
      <c r="Z335">
        <v>-1.3</v>
      </c>
      <c r="AA335">
        <v>-0.2</v>
      </c>
      <c r="AB335">
        <v>-1.5</v>
      </c>
      <c r="AC335">
        <v>0</v>
      </c>
    </row>
    <row r="336" spans="1:29" x14ac:dyDescent="0.35">
      <c r="A336">
        <v>335</v>
      </c>
      <c r="B336" s="1" t="s">
        <v>405</v>
      </c>
      <c r="C336" s="1" t="s">
        <v>31</v>
      </c>
      <c r="D336">
        <v>25</v>
      </c>
      <c r="E336" s="1" t="s">
        <v>111</v>
      </c>
      <c r="F336">
        <v>82</v>
      </c>
      <c r="G336">
        <v>1732</v>
      </c>
      <c r="H336">
        <v>15.7</v>
      </c>
      <c r="I336">
        <v>0.58599999999999997</v>
      </c>
      <c r="J336">
        <v>3.0000000000000001E-3</v>
      </c>
      <c r="K336">
        <v>0.34300000000000003</v>
      </c>
      <c r="L336">
        <v>13.5</v>
      </c>
      <c r="M336">
        <v>23.8</v>
      </c>
      <c r="N336">
        <v>18.8</v>
      </c>
      <c r="O336">
        <v>13.2</v>
      </c>
      <c r="P336">
        <v>1.4</v>
      </c>
      <c r="Q336">
        <v>2.9</v>
      </c>
      <c r="R336">
        <v>13.8</v>
      </c>
      <c r="S336">
        <v>12.2</v>
      </c>
      <c r="T336" s="1" t="s">
        <v>707</v>
      </c>
      <c r="U336">
        <v>3.5</v>
      </c>
      <c r="V336">
        <v>3.2</v>
      </c>
      <c r="W336">
        <v>6.8</v>
      </c>
      <c r="X336">
        <v>0.187</v>
      </c>
      <c r="Y336" s="1" t="s">
        <v>707</v>
      </c>
      <c r="Z336">
        <v>-0.9</v>
      </c>
      <c r="AA336">
        <v>1.7</v>
      </c>
      <c r="AB336">
        <v>0.9</v>
      </c>
      <c r="AC336">
        <v>1.3</v>
      </c>
    </row>
    <row r="337" spans="1:29" x14ac:dyDescent="0.35">
      <c r="A337">
        <v>336</v>
      </c>
      <c r="B337" s="1" t="s">
        <v>406</v>
      </c>
      <c r="C337" s="1" t="s">
        <v>31</v>
      </c>
      <c r="D337">
        <v>33</v>
      </c>
      <c r="E337" s="1" t="s">
        <v>44</v>
      </c>
      <c r="F337">
        <v>13</v>
      </c>
      <c r="G337">
        <v>298</v>
      </c>
      <c r="H337">
        <v>16</v>
      </c>
      <c r="I337">
        <v>0.56999999999999995</v>
      </c>
      <c r="J337">
        <v>0.40500000000000003</v>
      </c>
      <c r="K337">
        <v>0.17599999999999999</v>
      </c>
      <c r="L337">
        <v>6.9</v>
      </c>
      <c r="M337">
        <v>11.9</v>
      </c>
      <c r="N337">
        <v>9.4</v>
      </c>
      <c r="O337">
        <v>3</v>
      </c>
      <c r="P337">
        <v>1.3</v>
      </c>
      <c r="Q337">
        <v>4.8</v>
      </c>
      <c r="R337">
        <v>7.8</v>
      </c>
      <c r="S337">
        <v>21.9</v>
      </c>
      <c r="T337" s="1" t="s">
        <v>707</v>
      </c>
      <c r="U337">
        <v>0.3</v>
      </c>
      <c r="V337">
        <v>0.3</v>
      </c>
      <c r="W337">
        <v>0.7</v>
      </c>
      <c r="X337">
        <v>0.108</v>
      </c>
      <c r="Y337" s="1" t="s">
        <v>707</v>
      </c>
      <c r="Z337">
        <v>-0.7</v>
      </c>
      <c r="AA337">
        <v>-0.7</v>
      </c>
      <c r="AB337">
        <v>-1.3</v>
      </c>
      <c r="AC337">
        <v>0.1</v>
      </c>
    </row>
    <row r="338" spans="1:29" x14ac:dyDescent="0.35">
      <c r="A338">
        <v>337</v>
      </c>
      <c r="B338" s="1" t="s">
        <v>407</v>
      </c>
      <c r="C338" s="1" t="s">
        <v>31</v>
      </c>
      <c r="D338">
        <v>33</v>
      </c>
      <c r="E338" s="1" t="s">
        <v>58</v>
      </c>
      <c r="F338">
        <v>36</v>
      </c>
      <c r="G338">
        <v>612</v>
      </c>
      <c r="H338">
        <v>13.7</v>
      </c>
      <c r="I338">
        <v>0.56999999999999995</v>
      </c>
      <c r="J338">
        <v>0.03</v>
      </c>
      <c r="K338">
        <v>0.27100000000000002</v>
      </c>
      <c r="L338">
        <v>11.7</v>
      </c>
      <c r="M338">
        <v>10</v>
      </c>
      <c r="N338">
        <v>10.9</v>
      </c>
      <c r="O338">
        <v>14.4</v>
      </c>
      <c r="P338">
        <v>0.2</v>
      </c>
      <c r="Q338">
        <v>2.7</v>
      </c>
      <c r="R338">
        <v>16.5</v>
      </c>
      <c r="S338">
        <v>18.899999999999999</v>
      </c>
      <c r="T338" s="1" t="s">
        <v>707</v>
      </c>
      <c r="U338">
        <v>0.5</v>
      </c>
      <c r="V338">
        <v>0.3</v>
      </c>
      <c r="W338">
        <v>0.8</v>
      </c>
      <c r="X338">
        <v>6.4000000000000001E-2</v>
      </c>
      <c r="Y338" s="1" t="s">
        <v>707</v>
      </c>
      <c r="Z338">
        <v>-2.4</v>
      </c>
      <c r="AA338">
        <v>-1.4</v>
      </c>
      <c r="AB338">
        <v>-3.8</v>
      </c>
      <c r="AC338">
        <v>-0.3</v>
      </c>
    </row>
    <row r="339" spans="1:29" x14ac:dyDescent="0.35">
      <c r="A339">
        <v>338</v>
      </c>
      <c r="B339" s="1" t="s">
        <v>408</v>
      </c>
      <c r="C339" s="1" t="s">
        <v>137</v>
      </c>
      <c r="D339">
        <v>22</v>
      </c>
      <c r="E339" s="1" t="s">
        <v>42</v>
      </c>
      <c r="F339">
        <v>9</v>
      </c>
      <c r="G339">
        <v>129</v>
      </c>
      <c r="H339">
        <v>6.4</v>
      </c>
      <c r="I339">
        <v>0.51700000000000002</v>
      </c>
      <c r="J339">
        <v>0.69699999999999995</v>
      </c>
      <c r="K339">
        <v>6.0999999999999999E-2</v>
      </c>
      <c r="L339">
        <v>4.0999999999999996</v>
      </c>
      <c r="M339">
        <v>10.6</v>
      </c>
      <c r="N339">
        <v>7.2</v>
      </c>
      <c r="O339">
        <v>5.3</v>
      </c>
      <c r="P339">
        <v>0.8</v>
      </c>
      <c r="Q339">
        <v>1.5</v>
      </c>
      <c r="R339">
        <v>12.9</v>
      </c>
      <c r="S339">
        <v>13</v>
      </c>
      <c r="T339" s="1" t="s">
        <v>707</v>
      </c>
      <c r="U339">
        <v>0</v>
      </c>
      <c r="V339">
        <v>0</v>
      </c>
      <c r="W339">
        <v>0</v>
      </c>
      <c r="X339">
        <v>-5.0000000000000001E-3</v>
      </c>
      <c r="Y339" s="1" t="s">
        <v>707</v>
      </c>
      <c r="Z339">
        <v>-4.0999999999999996</v>
      </c>
      <c r="AA339">
        <v>-3.4</v>
      </c>
      <c r="AB339">
        <v>-7.5</v>
      </c>
      <c r="AC339">
        <v>-0.2</v>
      </c>
    </row>
    <row r="340" spans="1:29" x14ac:dyDescent="0.35">
      <c r="A340">
        <v>339</v>
      </c>
      <c r="B340" s="1" t="s">
        <v>409</v>
      </c>
      <c r="C340" s="1" t="s">
        <v>28</v>
      </c>
      <c r="D340">
        <v>33</v>
      </c>
      <c r="E340" s="1" t="s">
        <v>46</v>
      </c>
      <c r="F340">
        <v>74</v>
      </c>
      <c r="G340">
        <v>1665</v>
      </c>
      <c r="H340">
        <v>19.600000000000001</v>
      </c>
      <c r="I340">
        <v>0.59399999999999997</v>
      </c>
      <c r="J340">
        <v>0.627</v>
      </c>
      <c r="K340">
        <v>0.26</v>
      </c>
      <c r="L340">
        <v>5.9</v>
      </c>
      <c r="M340">
        <v>29.2</v>
      </c>
      <c r="N340">
        <v>17.8</v>
      </c>
      <c r="O340">
        <v>15.3</v>
      </c>
      <c r="P340">
        <v>0.8</v>
      </c>
      <c r="Q340">
        <v>1</v>
      </c>
      <c r="R340">
        <v>10.4</v>
      </c>
      <c r="S340">
        <v>25.1</v>
      </c>
      <c r="T340" s="1" t="s">
        <v>707</v>
      </c>
      <c r="U340">
        <v>3.2</v>
      </c>
      <c r="V340">
        <v>2.5</v>
      </c>
      <c r="W340">
        <v>5.7</v>
      </c>
      <c r="X340">
        <v>0.16400000000000001</v>
      </c>
      <c r="Y340" s="1" t="s">
        <v>707</v>
      </c>
      <c r="Z340">
        <v>4.3</v>
      </c>
      <c r="AA340">
        <v>0.1</v>
      </c>
      <c r="AB340">
        <v>4.5</v>
      </c>
      <c r="AC340">
        <v>2.7</v>
      </c>
    </row>
    <row r="341" spans="1:29" x14ac:dyDescent="0.35">
      <c r="A341">
        <v>340</v>
      </c>
      <c r="B341" s="1" t="s">
        <v>410</v>
      </c>
      <c r="C341" s="1" t="s">
        <v>48</v>
      </c>
      <c r="D341">
        <v>35</v>
      </c>
      <c r="E341" s="1" t="s">
        <v>36</v>
      </c>
      <c r="F341">
        <v>63</v>
      </c>
      <c r="G341">
        <v>2133</v>
      </c>
      <c r="H341">
        <v>15</v>
      </c>
      <c r="I341">
        <v>0.6</v>
      </c>
      <c r="J341">
        <v>0.60899999999999999</v>
      </c>
      <c r="K341">
        <v>0.27800000000000002</v>
      </c>
      <c r="L341">
        <v>1.8</v>
      </c>
      <c r="M341">
        <v>13</v>
      </c>
      <c r="N341">
        <v>7.5</v>
      </c>
      <c r="O341">
        <v>32.299999999999997</v>
      </c>
      <c r="P341">
        <v>1.6</v>
      </c>
      <c r="Q341">
        <v>0.8</v>
      </c>
      <c r="R341">
        <v>19.3</v>
      </c>
      <c r="S341">
        <v>18.2</v>
      </c>
      <c r="T341" s="1" t="s">
        <v>707</v>
      </c>
      <c r="U341">
        <v>3.7</v>
      </c>
      <c r="V341">
        <v>2.7</v>
      </c>
      <c r="W341">
        <v>6.4</v>
      </c>
      <c r="X341">
        <v>0.14299999999999999</v>
      </c>
      <c r="Y341" s="1" t="s">
        <v>707</v>
      </c>
      <c r="Z341">
        <v>1.1000000000000001</v>
      </c>
      <c r="AA341">
        <v>0.8</v>
      </c>
      <c r="AB341">
        <v>1.9</v>
      </c>
      <c r="AC341">
        <v>2.1</v>
      </c>
    </row>
    <row r="342" spans="1:29" x14ac:dyDescent="0.35">
      <c r="A342">
        <v>341</v>
      </c>
      <c r="B342" s="1" t="s">
        <v>411</v>
      </c>
      <c r="C342" s="1" t="s">
        <v>41</v>
      </c>
      <c r="D342">
        <v>27</v>
      </c>
      <c r="E342" s="1" t="s">
        <v>68</v>
      </c>
      <c r="F342">
        <v>4</v>
      </c>
      <c r="G342">
        <v>44</v>
      </c>
      <c r="H342">
        <v>7.7</v>
      </c>
      <c r="I342">
        <v>0.34200000000000003</v>
      </c>
      <c r="J342">
        <v>0.42099999999999999</v>
      </c>
      <c r="K342">
        <v>0</v>
      </c>
      <c r="L342">
        <v>5</v>
      </c>
      <c r="M342">
        <v>11.9</v>
      </c>
      <c r="N342">
        <v>8.5</v>
      </c>
      <c r="O342">
        <v>31.5</v>
      </c>
      <c r="P342">
        <v>3.3</v>
      </c>
      <c r="Q342">
        <v>0</v>
      </c>
      <c r="R342">
        <v>13.6</v>
      </c>
      <c r="S342">
        <v>21.5</v>
      </c>
      <c r="T342" s="1" t="s">
        <v>707</v>
      </c>
      <c r="U342">
        <v>-0.1</v>
      </c>
      <c r="V342">
        <v>0.1</v>
      </c>
      <c r="W342">
        <v>0</v>
      </c>
      <c r="X342">
        <v>-5.0000000000000001E-3</v>
      </c>
      <c r="Y342" s="1" t="s">
        <v>707</v>
      </c>
      <c r="Z342">
        <v>-5.3</v>
      </c>
      <c r="AA342">
        <v>0.5</v>
      </c>
      <c r="AB342">
        <v>-4.8</v>
      </c>
      <c r="AC342">
        <v>0</v>
      </c>
    </row>
    <row r="343" spans="1:29" x14ac:dyDescent="0.35">
      <c r="A343">
        <v>342</v>
      </c>
      <c r="B343" s="1" t="s">
        <v>412</v>
      </c>
      <c r="C343" s="1" t="s">
        <v>51</v>
      </c>
      <c r="D343">
        <v>26</v>
      </c>
      <c r="E343" s="1" t="s">
        <v>80</v>
      </c>
      <c r="F343">
        <v>52</v>
      </c>
      <c r="G343">
        <v>685</v>
      </c>
      <c r="H343">
        <v>9.3000000000000007</v>
      </c>
      <c r="I343">
        <v>0.55600000000000005</v>
      </c>
      <c r="J343">
        <v>0.65600000000000003</v>
      </c>
      <c r="K343">
        <v>0.22</v>
      </c>
      <c r="L343">
        <v>2.7</v>
      </c>
      <c r="M343">
        <v>10.3</v>
      </c>
      <c r="N343">
        <v>6.6</v>
      </c>
      <c r="O343">
        <v>7.7</v>
      </c>
      <c r="P343">
        <v>1.3</v>
      </c>
      <c r="Q343">
        <v>0.8</v>
      </c>
      <c r="R343">
        <v>8.9</v>
      </c>
      <c r="S343">
        <v>14.3</v>
      </c>
      <c r="T343" s="1" t="s">
        <v>707</v>
      </c>
      <c r="U343">
        <v>0.6</v>
      </c>
      <c r="V343">
        <v>0.3</v>
      </c>
      <c r="W343">
        <v>0.9</v>
      </c>
      <c r="X343">
        <v>6.0999999999999999E-2</v>
      </c>
      <c r="Y343" s="1" t="s">
        <v>707</v>
      </c>
      <c r="Z343">
        <v>-2.2999999999999998</v>
      </c>
      <c r="AA343">
        <v>-1</v>
      </c>
      <c r="AB343">
        <v>-3.3</v>
      </c>
      <c r="AC343">
        <v>-0.2</v>
      </c>
    </row>
    <row r="344" spans="1:29" x14ac:dyDescent="0.35">
      <c r="A344">
        <v>343</v>
      </c>
      <c r="B344" s="1" t="s">
        <v>413</v>
      </c>
      <c r="C344" s="1" t="s">
        <v>28</v>
      </c>
      <c r="D344">
        <v>26</v>
      </c>
      <c r="E344" s="1" t="s">
        <v>42</v>
      </c>
      <c r="F344">
        <v>75</v>
      </c>
      <c r="G344">
        <v>1537</v>
      </c>
      <c r="H344">
        <v>16.399999999999999</v>
      </c>
      <c r="I344">
        <v>0.58799999999999997</v>
      </c>
      <c r="J344">
        <v>0.372</v>
      </c>
      <c r="K344">
        <v>0.432</v>
      </c>
      <c r="L344">
        <v>6</v>
      </c>
      <c r="M344">
        <v>21.2</v>
      </c>
      <c r="N344">
        <v>13.4</v>
      </c>
      <c r="O344">
        <v>9</v>
      </c>
      <c r="P344">
        <v>0.9</v>
      </c>
      <c r="Q344">
        <v>1.9</v>
      </c>
      <c r="R344">
        <v>9.8000000000000007</v>
      </c>
      <c r="S344">
        <v>20.7</v>
      </c>
      <c r="T344" s="1" t="s">
        <v>707</v>
      </c>
      <c r="U344">
        <v>2.4</v>
      </c>
      <c r="V344">
        <v>1.2</v>
      </c>
      <c r="W344">
        <v>3.5</v>
      </c>
      <c r="X344">
        <v>0.111</v>
      </c>
      <c r="Y344" s="1" t="s">
        <v>707</v>
      </c>
      <c r="Z344">
        <v>0.5</v>
      </c>
      <c r="AA344">
        <v>-0.8</v>
      </c>
      <c r="AB344">
        <v>-0.3</v>
      </c>
      <c r="AC344">
        <v>0.7</v>
      </c>
    </row>
    <row r="345" spans="1:29" x14ac:dyDescent="0.35">
      <c r="A345">
        <v>344</v>
      </c>
      <c r="B345" s="1" t="s">
        <v>414</v>
      </c>
      <c r="C345" s="1" t="s">
        <v>48</v>
      </c>
      <c r="D345">
        <v>20</v>
      </c>
      <c r="E345" s="1" t="s">
        <v>96</v>
      </c>
      <c r="F345">
        <v>51</v>
      </c>
      <c r="G345">
        <v>908</v>
      </c>
      <c r="H345">
        <v>10.6</v>
      </c>
      <c r="I345">
        <v>0.5</v>
      </c>
      <c r="J345">
        <v>0.47299999999999998</v>
      </c>
      <c r="K345">
        <v>0.315</v>
      </c>
      <c r="L345">
        <v>2.2000000000000002</v>
      </c>
      <c r="M345">
        <v>12.8</v>
      </c>
      <c r="N345">
        <v>7.4</v>
      </c>
      <c r="O345">
        <v>18.5</v>
      </c>
      <c r="P345">
        <v>1.7</v>
      </c>
      <c r="Q345">
        <v>1.1000000000000001</v>
      </c>
      <c r="R345">
        <v>15.3</v>
      </c>
      <c r="S345">
        <v>20.3</v>
      </c>
      <c r="T345" s="1" t="s">
        <v>707</v>
      </c>
      <c r="U345">
        <v>-0.5</v>
      </c>
      <c r="V345">
        <v>0.8</v>
      </c>
      <c r="W345">
        <v>0.3</v>
      </c>
      <c r="X345">
        <v>1.4999999999999999E-2</v>
      </c>
      <c r="Y345" s="1" t="s">
        <v>707</v>
      </c>
      <c r="Z345">
        <v>-3.7</v>
      </c>
      <c r="AA345">
        <v>-0.7</v>
      </c>
      <c r="AB345">
        <v>-4.4000000000000004</v>
      </c>
      <c r="AC345">
        <v>-0.6</v>
      </c>
    </row>
    <row r="346" spans="1:29" x14ac:dyDescent="0.35">
      <c r="A346">
        <v>345</v>
      </c>
      <c r="B346" s="1" t="s">
        <v>415</v>
      </c>
      <c r="C346" s="1" t="s">
        <v>28</v>
      </c>
      <c r="D346">
        <v>22</v>
      </c>
      <c r="E346" s="1" t="s">
        <v>44</v>
      </c>
      <c r="F346">
        <v>41</v>
      </c>
      <c r="G346">
        <v>407</v>
      </c>
      <c r="H346">
        <v>14.7</v>
      </c>
      <c r="I346">
        <v>0.61799999999999999</v>
      </c>
      <c r="J346">
        <v>0.45200000000000001</v>
      </c>
      <c r="K346">
        <v>0.191</v>
      </c>
      <c r="L346">
        <v>9.3000000000000007</v>
      </c>
      <c r="M346">
        <v>12</v>
      </c>
      <c r="N346">
        <v>10.7</v>
      </c>
      <c r="O346">
        <v>7.4</v>
      </c>
      <c r="P346">
        <v>1.1000000000000001</v>
      </c>
      <c r="Q346">
        <v>2.1</v>
      </c>
      <c r="R346">
        <v>10.7</v>
      </c>
      <c r="S346">
        <v>14.6</v>
      </c>
      <c r="T346" s="1" t="s">
        <v>707</v>
      </c>
      <c r="U346">
        <v>0.8</v>
      </c>
      <c r="V346">
        <v>0.3</v>
      </c>
      <c r="W346">
        <v>1.1000000000000001</v>
      </c>
      <c r="X346">
        <v>0.13500000000000001</v>
      </c>
      <c r="Y346" s="1" t="s">
        <v>707</v>
      </c>
      <c r="Z346">
        <v>0.6</v>
      </c>
      <c r="AA346">
        <v>-1</v>
      </c>
      <c r="AB346">
        <v>-0.3</v>
      </c>
      <c r="AC346">
        <v>0.2</v>
      </c>
    </row>
    <row r="347" spans="1:29" x14ac:dyDescent="0.35">
      <c r="A347">
        <v>346</v>
      </c>
      <c r="B347" s="1" t="s">
        <v>416</v>
      </c>
      <c r="C347" s="1" t="s">
        <v>51</v>
      </c>
      <c r="D347">
        <v>25</v>
      </c>
      <c r="E347" s="1" t="s">
        <v>93</v>
      </c>
      <c r="F347">
        <v>81</v>
      </c>
      <c r="G347">
        <v>2317</v>
      </c>
      <c r="H347">
        <v>13.4</v>
      </c>
      <c r="I347">
        <v>0.57199999999999995</v>
      </c>
      <c r="J347">
        <v>0.30099999999999999</v>
      </c>
      <c r="K347">
        <v>0.23799999999999999</v>
      </c>
      <c r="L347">
        <v>4.9000000000000004</v>
      </c>
      <c r="M347">
        <v>14.3</v>
      </c>
      <c r="N347">
        <v>9.6999999999999993</v>
      </c>
      <c r="O347">
        <v>13.1</v>
      </c>
      <c r="P347">
        <v>1.2</v>
      </c>
      <c r="Q347">
        <v>0.8</v>
      </c>
      <c r="R347">
        <v>9.9</v>
      </c>
      <c r="S347">
        <v>16</v>
      </c>
      <c r="T347" s="1" t="s">
        <v>707</v>
      </c>
      <c r="U347">
        <v>3.1</v>
      </c>
      <c r="V347">
        <v>2.4</v>
      </c>
      <c r="W347">
        <v>5.5</v>
      </c>
      <c r="X347">
        <v>0.113</v>
      </c>
      <c r="Y347" s="1" t="s">
        <v>707</v>
      </c>
      <c r="Z347">
        <v>-0.8</v>
      </c>
      <c r="AA347">
        <v>0.2</v>
      </c>
      <c r="AB347">
        <v>-0.6</v>
      </c>
      <c r="AC347">
        <v>0.8</v>
      </c>
    </row>
    <row r="348" spans="1:29" x14ac:dyDescent="0.35">
      <c r="A348">
        <v>347</v>
      </c>
      <c r="B348" s="1" t="s">
        <v>417</v>
      </c>
      <c r="C348" s="1" t="s">
        <v>48</v>
      </c>
      <c r="D348">
        <v>20</v>
      </c>
      <c r="E348" s="1" t="s">
        <v>96</v>
      </c>
      <c r="F348">
        <v>60</v>
      </c>
      <c r="G348">
        <v>1367</v>
      </c>
      <c r="H348">
        <v>10.199999999999999</v>
      </c>
      <c r="I348">
        <v>0.501</v>
      </c>
      <c r="J348">
        <v>0.46300000000000002</v>
      </c>
      <c r="K348">
        <v>0.13900000000000001</v>
      </c>
      <c r="L348">
        <v>1.9</v>
      </c>
      <c r="M348">
        <v>11.2</v>
      </c>
      <c r="N348">
        <v>6.4</v>
      </c>
      <c r="O348">
        <v>10.7</v>
      </c>
      <c r="P348">
        <v>1.7</v>
      </c>
      <c r="Q348">
        <v>0.8</v>
      </c>
      <c r="R348">
        <v>10.199999999999999</v>
      </c>
      <c r="S348">
        <v>22</v>
      </c>
      <c r="T348" s="1" t="s">
        <v>707</v>
      </c>
      <c r="U348">
        <v>-1</v>
      </c>
      <c r="V348">
        <v>1</v>
      </c>
      <c r="W348">
        <v>0.1</v>
      </c>
      <c r="X348">
        <v>2E-3</v>
      </c>
      <c r="Y348" s="1" t="s">
        <v>707</v>
      </c>
      <c r="Z348">
        <v>-3.3</v>
      </c>
      <c r="AA348">
        <v>-1.1000000000000001</v>
      </c>
      <c r="AB348">
        <v>-4.3</v>
      </c>
      <c r="AC348">
        <v>-0.8</v>
      </c>
    </row>
    <row r="349" spans="1:29" x14ac:dyDescent="0.35">
      <c r="A349">
        <v>348</v>
      </c>
      <c r="B349" s="1" t="s">
        <v>418</v>
      </c>
      <c r="C349" s="1" t="s">
        <v>31</v>
      </c>
      <c r="D349">
        <v>33</v>
      </c>
      <c r="E349" s="1" t="s">
        <v>143</v>
      </c>
      <c r="F349">
        <v>23</v>
      </c>
      <c r="G349">
        <v>128</v>
      </c>
      <c r="H349">
        <v>18.5</v>
      </c>
      <c r="I349">
        <v>0.61499999999999999</v>
      </c>
      <c r="J349">
        <v>5.7000000000000002E-2</v>
      </c>
      <c r="K349">
        <v>0.314</v>
      </c>
      <c r="L349">
        <v>6.9</v>
      </c>
      <c r="M349">
        <v>27</v>
      </c>
      <c r="N349">
        <v>16.899999999999999</v>
      </c>
      <c r="O349">
        <v>4.8</v>
      </c>
      <c r="P349">
        <v>0</v>
      </c>
      <c r="Q349">
        <v>2.1</v>
      </c>
      <c r="R349">
        <v>15.8</v>
      </c>
      <c r="S349">
        <v>33.299999999999997</v>
      </c>
      <c r="T349" s="1" t="s">
        <v>707</v>
      </c>
      <c r="U349">
        <v>-0.1</v>
      </c>
      <c r="V349">
        <v>0.2</v>
      </c>
      <c r="W349">
        <v>0.1</v>
      </c>
      <c r="X349">
        <v>4.4999999999999998E-2</v>
      </c>
      <c r="Y349" s="1" t="s">
        <v>707</v>
      </c>
      <c r="Z349">
        <v>-3.2</v>
      </c>
      <c r="AA349">
        <v>-1.2</v>
      </c>
      <c r="AB349">
        <v>-4.4000000000000004</v>
      </c>
      <c r="AC349">
        <v>-0.1</v>
      </c>
    </row>
    <row r="350" spans="1:29" x14ac:dyDescent="0.35">
      <c r="A350">
        <v>349</v>
      </c>
      <c r="B350" s="1" t="s">
        <v>419</v>
      </c>
      <c r="C350" s="1" t="s">
        <v>28</v>
      </c>
      <c r="D350">
        <v>24</v>
      </c>
      <c r="E350" s="1" t="s">
        <v>46</v>
      </c>
      <c r="F350">
        <v>61</v>
      </c>
      <c r="G350">
        <v>1878</v>
      </c>
      <c r="H350">
        <v>14.7</v>
      </c>
      <c r="I350">
        <v>0.58199999999999996</v>
      </c>
      <c r="J350">
        <v>0.54100000000000004</v>
      </c>
      <c r="K350">
        <v>0.22600000000000001</v>
      </c>
      <c r="L350">
        <v>3.5</v>
      </c>
      <c r="M350">
        <v>16.5</v>
      </c>
      <c r="N350">
        <v>10.199999999999999</v>
      </c>
      <c r="O350">
        <v>6.6</v>
      </c>
      <c r="P350">
        <v>1.2</v>
      </c>
      <c r="Q350">
        <v>1.4</v>
      </c>
      <c r="R350">
        <v>6.5</v>
      </c>
      <c r="S350">
        <v>19.5</v>
      </c>
      <c r="T350" s="1" t="s">
        <v>707</v>
      </c>
      <c r="U350">
        <v>2.7</v>
      </c>
      <c r="V350">
        <v>2.2999999999999998</v>
      </c>
      <c r="W350">
        <v>5</v>
      </c>
      <c r="X350">
        <v>0.127</v>
      </c>
      <c r="Y350" s="1" t="s">
        <v>707</v>
      </c>
      <c r="Z350">
        <v>0.4</v>
      </c>
      <c r="AA350">
        <v>-0.1</v>
      </c>
      <c r="AB350">
        <v>0.4</v>
      </c>
      <c r="AC350">
        <v>1.1000000000000001</v>
      </c>
    </row>
    <row r="351" spans="1:29" x14ac:dyDescent="0.35">
      <c r="A351">
        <v>350</v>
      </c>
      <c r="B351" s="1" t="s">
        <v>420</v>
      </c>
      <c r="C351" s="1" t="s">
        <v>51</v>
      </c>
      <c r="D351">
        <v>24</v>
      </c>
      <c r="E351" s="1" t="s">
        <v>49</v>
      </c>
      <c r="F351">
        <v>55</v>
      </c>
      <c r="G351">
        <v>735</v>
      </c>
      <c r="H351">
        <v>12.3</v>
      </c>
      <c r="I351">
        <v>0.505</v>
      </c>
      <c r="J351">
        <v>0.39</v>
      </c>
      <c r="K351">
        <v>0.34599999999999997</v>
      </c>
      <c r="L351">
        <v>5.6</v>
      </c>
      <c r="M351">
        <v>16</v>
      </c>
      <c r="N351">
        <v>10.7</v>
      </c>
      <c r="O351">
        <v>12.3</v>
      </c>
      <c r="P351">
        <v>2.2000000000000002</v>
      </c>
      <c r="Q351">
        <v>1</v>
      </c>
      <c r="R351">
        <v>12.9</v>
      </c>
      <c r="S351">
        <v>20.8</v>
      </c>
      <c r="T351" s="1" t="s">
        <v>707</v>
      </c>
      <c r="U351">
        <v>0</v>
      </c>
      <c r="V351">
        <v>0.7</v>
      </c>
      <c r="W351">
        <v>0.8</v>
      </c>
      <c r="X351">
        <v>0.05</v>
      </c>
      <c r="Y351" s="1" t="s">
        <v>707</v>
      </c>
      <c r="Z351">
        <v>-2.7</v>
      </c>
      <c r="AA351">
        <v>-0.5</v>
      </c>
      <c r="AB351">
        <v>-3.2</v>
      </c>
      <c r="AC351">
        <v>-0.2</v>
      </c>
    </row>
    <row r="352" spans="1:29" x14ac:dyDescent="0.35">
      <c r="A352">
        <v>351</v>
      </c>
      <c r="B352" s="1" t="s">
        <v>421</v>
      </c>
      <c r="C352" s="1" t="s">
        <v>51</v>
      </c>
      <c r="D352">
        <v>26</v>
      </c>
      <c r="E352" s="1" t="s">
        <v>36</v>
      </c>
      <c r="F352">
        <v>60</v>
      </c>
      <c r="G352">
        <v>1372</v>
      </c>
      <c r="H352">
        <v>14.8</v>
      </c>
      <c r="I352">
        <v>0.61099999999999999</v>
      </c>
      <c r="J352">
        <v>0.378</v>
      </c>
      <c r="K352">
        <v>0.22700000000000001</v>
      </c>
      <c r="L352">
        <v>5.9</v>
      </c>
      <c r="M352">
        <v>13</v>
      </c>
      <c r="N352">
        <v>9.5</v>
      </c>
      <c r="O352">
        <v>7</v>
      </c>
      <c r="P352">
        <v>2.1</v>
      </c>
      <c r="Q352">
        <v>2.2999999999999998</v>
      </c>
      <c r="R352">
        <v>10.3</v>
      </c>
      <c r="S352">
        <v>16.3</v>
      </c>
      <c r="T352" s="1" t="s">
        <v>707</v>
      </c>
      <c r="U352">
        <v>1.9</v>
      </c>
      <c r="V352">
        <v>2.1</v>
      </c>
      <c r="W352">
        <v>4</v>
      </c>
      <c r="X352">
        <v>0.13900000000000001</v>
      </c>
      <c r="Y352" s="1" t="s">
        <v>707</v>
      </c>
      <c r="Z352">
        <v>0.1</v>
      </c>
      <c r="AA352">
        <v>0.9</v>
      </c>
      <c r="AB352">
        <v>1.1000000000000001</v>
      </c>
      <c r="AC352">
        <v>1.1000000000000001</v>
      </c>
    </row>
    <row r="353" spans="1:29" x14ac:dyDescent="0.35">
      <c r="A353">
        <v>352</v>
      </c>
      <c r="B353" s="1" t="s">
        <v>422</v>
      </c>
      <c r="C353" s="1" t="s">
        <v>51</v>
      </c>
      <c r="D353">
        <v>26</v>
      </c>
      <c r="E353" s="1" t="s">
        <v>73</v>
      </c>
      <c r="F353">
        <v>71</v>
      </c>
      <c r="G353">
        <v>1866</v>
      </c>
      <c r="H353">
        <v>12.7</v>
      </c>
      <c r="I353">
        <v>0.57899999999999996</v>
      </c>
      <c r="J353">
        <v>0.376</v>
      </c>
      <c r="K353">
        <v>0.253</v>
      </c>
      <c r="L353">
        <v>4.5999999999999996</v>
      </c>
      <c r="M353">
        <v>11.7</v>
      </c>
      <c r="N353">
        <v>8.1</v>
      </c>
      <c r="O353">
        <v>12.4</v>
      </c>
      <c r="P353">
        <v>2.2999999999999998</v>
      </c>
      <c r="Q353">
        <v>1.6</v>
      </c>
      <c r="R353">
        <v>11.5</v>
      </c>
      <c r="S353">
        <v>12.1</v>
      </c>
      <c r="T353" s="1" t="s">
        <v>707</v>
      </c>
      <c r="U353">
        <v>2.4</v>
      </c>
      <c r="V353">
        <v>1.5</v>
      </c>
      <c r="W353">
        <v>3.9</v>
      </c>
      <c r="X353">
        <v>0.10100000000000001</v>
      </c>
      <c r="Y353" s="1" t="s">
        <v>707</v>
      </c>
      <c r="Z353">
        <v>-1.2</v>
      </c>
      <c r="AA353">
        <v>0.7</v>
      </c>
      <c r="AB353">
        <v>-0.5</v>
      </c>
      <c r="AC353">
        <v>0.7</v>
      </c>
    </row>
    <row r="354" spans="1:29" x14ac:dyDescent="0.35">
      <c r="A354">
        <v>353</v>
      </c>
      <c r="B354" s="1" t="s">
        <v>423</v>
      </c>
      <c r="C354" s="1" t="s">
        <v>51</v>
      </c>
      <c r="D354">
        <v>26</v>
      </c>
      <c r="E354" s="1" t="s">
        <v>42</v>
      </c>
      <c r="F354">
        <v>30</v>
      </c>
      <c r="G354">
        <v>450</v>
      </c>
      <c r="H354">
        <v>9.4</v>
      </c>
      <c r="I354">
        <v>0.48399999999999999</v>
      </c>
      <c r="J354">
        <v>0.439</v>
      </c>
      <c r="K354">
        <v>7.5999999999999998E-2</v>
      </c>
      <c r="L354">
        <v>4.0999999999999996</v>
      </c>
      <c r="M354">
        <v>9.6</v>
      </c>
      <c r="N354">
        <v>6.8</v>
      </c>
      <c r="O354">
        <v>6.7</v>
      </c>
      <c r="P354">
        <v>1.4</v>
      </c>
      <c r="Q354">
        <v>1.7</v>
      </c>
      <c r="R354">
        <v>7.3</v>
      </c>
      <c r="S354">
        <v>18.100000000000001</v>
      </c>
      <c r="T354" s="1" t="s">
        <v>707</v>
      </c>
      <c r="U354">
        <v>-0.1</v>
      </c>
      <c r="V354">
        <v>0.2</v>
      </c>
      <c r="W354">
        <v>0</v>
      </c>
      <c r="X354">
        <v>5.0000000000000001E-3</v>
      </c>
      <c r="Y354" s="1" t="s">
        <v>707</v>
      </c>
      <c r="Z354">
        <v>-2.6</v>
      </c>
      <c r="AA354">
        <v>-1</v>
      </c>
      <c r="AB354">
        <v>-3.6</v>
      </c>
      <c r="AC354">
        <v>-0.2</v>
      </c>
    </row>
    <row r="355" spans="1:29" x14ac:dyDescent="0.35">
      <c r="A355">
        <v>354</v>
      </c>
      <c r="B355" s="1" t="s">
        <v>424</v>
      </c>
      <c r="C355" s="1" t="s">
        <v>51</v>
      </c>
      <c r="D355">
        <v>21</v>
      </c>
      <c r="E355" s="1" t="s">
        <v>170</v>
      </c>
      <c r="F355">
        <v>79</v>
      </c>
      <c r="G355">
        <v>1656</v>
      </c>
      <c r="H355">
        <v>14.3</v>
      </c>
      <c r="I355">
        <v>0.60299999999999998</v>
      </c>
      <c r="J355">
        <v>0.32100000000000001</v>
      </c>
      <c r="K355">
        <v>0.23499999999999999</v>
      </c>
      <c r="L355">
        <v>5.3</v>
      </c>
      <c r="M355">
        <v>14.5</v>
      </c>
      <c r="N355">
        <v>9.9</v>
      </c>
      <c r="O355">
        <v>9.4</v>
      </c>
      <c r="P355">
        <v>1</v>
      </c>
      <c r="Q355">
        <v>2.2000000000000002</v>
      </c>
      <c r="R355">
        <v>9.4</v>
      </c>
      <c r="S355">
        <v>16.3</v>
      </c>
      <c r="T355" s="1" t="s">
        <v>707</v>
      </c>
      <c r="U355">
        <v>2.2999999999999998</v>
      </c>
      <c r="V355">
        <v>0.6</v>
      </c>
      <c r="W355">
        <v>2.9</v>
      </c>
      <c r="X355">
        <v>8.4000000000000005E-2</v>
      </c>
      <c r="Y355" s="1" t="s">
        <v>707</v>
      </c>
      <c r="Z355">
        <v>0</v>
      </c>
      <c r="AA355">
        <v>-1.2</v>
      </c>
      <c r="AB355">
        <v>-1.2</v>
      </c>
      <c r="AC355">
        <v>0.4</v>
      </c>
    </row>
    <row r="356" spans="1:29" x14ac:dyDescent="0.35">
      <c r="A356">
        <v>355</v>
      </c>
      <c r="B356" s="1" t="s">
        <v>425</v>
      </c>
      <c r="C356" s="1" t="s">
        <v>41</v>
      </c>
      <c r="D356">
        <v>25</v>
      </c>
      <c r="E356" s="1" t="s">
        <v>170</v>
      </c>
      <c r="F356">
        <v>65</v>
      </c>
      <c r="G356">
        <v>1712</v>
      </c>
      <c r="H356">
        <v>11</v>
      </c>
      <c r="I356">
        <v>0.60199999999999998</v>
      </c>
      <c r="J356">
        <v>0.83699999999999997</v>
      </c>
      <c r="K356">
        <v>0.39</v>
      </c>
      <c r="L356">
        <v>2</v>
      </c>
      <c r="M356">
        <v>10.199999999999999</v>
      </c>
      <c r="N356">
        <v>6.1</v>
      </c>
      <c r="O356">
        <v>5.3</v>
      </c>
      <c r="P356">
        <v>1.6</v>
      </c>
      <c r="Q356">
        <v>1.3</v>
      </c>
      <c r="R356">
        <v>7.1</v>
      </c>
      <c r="S356">
        <v>14.4</v>
      </c>
      <c r="T356" s="1" t="s">
        <v>707</v>
      </c>
      <c r="U356">
        <v>2.2000000000000002</v>
      </c>
      <c r="V356">
        <v>0.5</v>
      </c>
      <c r="W356">
        <v>2.8</v>
      </c>
      <c r="X356">
        <v>7.8E-2</v>
      </c>
      <c r="Y356" s="1" t="s">
        <v>707</v>
      </c>
      <c r="Z356">
        <v>-1.3</v>
      </c>
      <c r="AA356">
        <v>-1</v>
      </c>
      <c r="AB356">
        <v>-2.2999999999999998</v>
      </c>
      <c r="AC356">
        <v>-0.1</v>
      </c>
    </row>
    <row r="357" spans="1:29" x14ac:dyDescent="0.35">
      <c r="A357">
        <v>356</v>
      </c>
      <c r="B357" s="1" t="s">
        <v>426</v>
      </c>
      <c r="C357" s="1" t="s">
        <v>41</v>
      </c>
      <c r="D357">
        <v>26</v>
      </c>
      <c r="E357" s="1" t="s">
        <v>34</v>
      </c>
      <c r="F357">
        <v>6</v>
      </c>
      <c r="G357">
        <v>16</v>
      </c>
      <c r="H357">
        <v>11</v>
      </c>
      <c r="I357">
        <v>0.5</v>
      </c>
      <c r="J357">
        <v>1</v>
      </c>
      <c r="K357">
        <v>0</v>
      </c>
      <c r="L357">
        <v>0</v>
      </c>
      <c r="M357">
        <v>13.4</v>
      </c>
      <c r="N357">
        <v>6.5</v>
      </c>
      <c r="O357">
        <v>8</v>
      </c>
      <c r="P357">
        <v>3</v>
      </c>
      <c r="Q357">
        <v>0</v>
      </c>
      <c r="R357">
        <v>0</v>
      </c>
      <c r="S357">
        <v>15.4</v>
      </c>
      <c r="T357" s="1" t="s">
        <v>707</v>
      </c>
      <c r="U357">
        <v>0</v>
      </c>
      <c r="V357">
        <v>0</v>
      </c>
      <c r="W357">
        <v>0</v>
      </c>
      <c r="X357">
        <v>0.114</v>
      </c>
      <c r="Y357" s="1" t="s">
        <v>707</v>
      </c>
      <c r="Z357">
        <v>-1.4</v>
      </c>
      <c r="AA357">
        <v>1.7</v>
      </c>
      <c r="AB357">
        <v>0.3</v>
      </c>
      <c r="AC357">
        <v>0</v>
      </c>
    </row>
    <row r="358" spans="1:29" x14ac:dyDescent="0.35">
      <c r="A358">
        <v>357</v>
      </c>
      <c r="B358" s="1" t="s">
        <v>427</v>
      </c>
      <c r="C358" s="1" t="s">
        <v>41</v>
      </c>
      <c r="D358">
        <v>35</v>
      </c>
      <c r="E358" s="1" t="s">
        <v>44</v>
      </c>
      <c r="F358">
        <v>49</v>
      </c>
      <c r="G358">
        <v>1002</v>
      </c>
      <c r="H358">
        <v>6.9</v>
      </c>
      <c r="I358">
        <v>0.53600000000000003</v>
      </c>
      <c r="J358">
        <v>0.71399999999999997</v>
      </c>
      <c r="K358">
        <v>0.127</v>
      </c>
      <c r="L358">
        <v>3.2</v>
      </c>
      <c r="M358">
        <v>6.4</v>
      </c>
      <c r="N358">
        <v>4.9000000000000004</v>
      </c>
      <c r="O358">
        <v>4.5999999999999996</v>
      </c>
      <c r="P358">
        <v>1.1000000000000001</v>
      </c>
      <c r="Q358">
        <v>0.8</v>
      </c>
      <c r="R358">
        <v>7.2</v>
      </c>
      <c r="S358">
        <v>10.7</v>
      </c>
      <c r="T358" s="1" t="s">
        <v>707</v>
      </c>
      <c r="U358">
        <v>0.6</v>
      </c>
      <c r="V358">
        <v>0.6</v>
      </c>
      <c r="W358">
        <v>1.2</v>
      </c>
      <c r="X358">
        <v>5.6000000000000001E-2</v>
      </c>
      <c r="Y358" s="1" t="s">
        <v>707</v>
      </c>
      <c r="Z358">
        <v>-3</v>
      </c>
      <c r="AA358">
        <v>-0.3</v>
      </c>
      <c r="AB358">
        <v>-3.3</v>
      </c>
      <c r="AC358">
        <v>-0.3</v>
      </c>
    </row>
    <row r="359" spans="1:29" x14ac:dyDescent="0.35">
      <c r="A359">
        <v>358</v>
      </c>
      <c r="B359" s="1" t="s">
        <v>428</v>
      </c>
      <c r="C359" s="1" t="s">
        <v>48</v>
      </c>
      <c r="D359">
        <v>21</v>
      </c>
      <c r="E359" s="1" t="s">
        <v>89</v>
      </c>
      <c r="F359">
        <v>75</v>
      </c>
      <c r="G359">
        <v>2650</v>
      </c>
      <c r="H359">
        <v>16.2</v>
      </c>
      <c r="I359">
        <v>0.59399999999999997</v>
      </c>
      <c r="J359">
        <v>0.311</v>
      </c>
      <c r="K359">
        <v>0.247</v>
      </c>
      <c r="L359">
        <v>1.1000000000000001</v>
      </c>
      <c r="M359">
        <v>8.9</v>
      </c>
      <c r="N359">
        <v>5.0999999999999996</v>
      </c>
      <c r="O359">
        <v>19.100000000000001</v>
      </c>
      <c r="P359">
        <v>1</v>
      </c>
      <c r="Q359">
        <v>1.1000000000000001</v>
      </c>
      <c r="R359">
        <v>7.4</v>
      </c>
      <c r="S359">
        <v>20.2</v>
      </c>
      <c r="T359" s="1" t="s">
        <v>707</v>
      </c>
      <c r="U359">
        <v>5.4</v>
      </c>
      <c r="V359">
        <v>1.9</v>
      </c>
      <c r="W359">
        <v>7.3</v>
      </c>
      <c r="X359">
        <v>0.13200000000000001</v>
      </c>
      <c r="Y359" s="1" t="s">
        <v>707</v>
      </c>
      <c r="Z359">
        <v>1.3</v>
      </c>
      <c r="AA359">
        <v>-0.7</v>
      </c>
      <c r="AB359">
        <v>0.6</v>
      </c>
      <c r="AC359">
        <v>1.8</v>
      </c>
    </row>
    <row r="360" spans="1:29" x14ac:dyDescent="0.35">
      <c r="A360">
        <v>359</v>
      </c>
      <c r="B360" s="1" t="s">
        <v>429</v>
      </c>
      <c r="C360" s="1" t="s">
        <v>41</v>
      </c>
      <c r="D360">
        <v>24</v>
      </c>
      <c r="E360" s="1" t="s">
        <v>80</v>
      </c>
      <c r="F360">
        <v>28</v>
      </c>
      <c r="G360">
        <v>220</v>
      </c>
      <c r="H360">
        <v>11.7</v>
      </c>
      <c r="I360">
        <v>0.58899999999999997</v>
      </c>
      <c r="J360">
        <v>0.39100000000000001</v>
      </c>
      <c r="K360">
        <v>0.14099999999999999</v>
      </c>
      <c r="L360">
        <v>2.5</v>
      </c>
      <c r="M360">
        <v>9.9</v>
      </c>
      <c r="N360">
        <v>6.2</v>
      </c>
      <c r="O360">
        <v>10.8</v>
      </c>
      <c r="P360">
        <v>1.6</v>
      </c>
      <c r="Q360">
        <v>0</v>
      </c>
      <c r="R360">
        <v>12.8</v>
      </c>
      <c r="S360">
        <v>15.5</v>
      </c>
      <c r="T360" s="1" t="s">
        <v>707</v>
      </c>
      <c r="U360">
        <v>0.2</v>
      </c>
      <c r="V360">
        <v>0.1</v>
      </c>
      <c r="W360">
        <v>0.3</v>
      </c>
      <c r="X360">
        <v>6.0999999999999999E-2</v>
      </c>
      <c r="Y360" s="1" t="s">
        <v>707</v>
      </c>
      <c r="Z360">
        <v>-1.2</v>
      </c>
      <c r="AA360">
        <v>-0.8</v>
      </c>
      <c r="AB360">
        <v>-2</v>
      </c>
      <c r="AC360">
        <v>0</v>
      </c>
    </row>
    <row r="361" spans="1:29" x14ac:dyDescent="0.35">
      <c r="A361">
        <v>360</v>
      </c>
      <c r="B361" s="1" t="s">
        <v>430</v>
      </c>
      <c r="C361" s="1" t="s">
        <v>48</v>
      </c>
      <c r="D361">
        <v>21</v>
      </c>
      <c r="E361" s="1" t="s">
        <v>61</v>
      </c>
      <c r="F361">
        <v>40</v>
      </c>
      <c r="G361">
        <v>372</v>
      </c>
      <c r="H361">
        <v>6.1</v>
      </c>
      <c r="I361">
        <v>0.39300000000000002</v>
      </c>
      <c r="J361">
        <v>0.63</v>
      </c>
      <c r="K361">
        <v>0.111</v>
      </c>
      <c r="L361">
        <v>1.1000000000000001</v>
      </c>
      <c r="M361">
        <v>11.2</v>
      </c>
      <c r="N361">
        <v>6.1</v>
      </c>
      <c r="O361">
        <v>15.9</v>
      </c>
      <c r="P361">
        <v>1.9</v>
      </c>
      <c r="Q361">
        <v>0.3</v>
      </c>
      <c r="R361">
        <v>4.2</v>
      </c>
      <c r="S361">
        <v>13.9</v>
      </c>
      <c r="T361" s="1" t="s">
        <v>707</v>
      </c>
      <c r="U361">
        <v>-0.1</v>
      </c>
      <c r="V361">
        <v>0.4</v>
      </c>
      <c r="W361">
        <v>0.2</v>
      </c>
      <c r="X361">
        <v>3.2000000000000001E-2</v>
      </c>
      <c r="Y361" s="1" t="s">
        <v>707</v>
      </c>
      <c r="Z361">
        <v>-5.5</v>
      </c>
      <c r="AA361">
        <v>1</v>
      </c>
      <c r="AB361">
        <v>-4.5</v>
      </c>
      <c r="AC361">
        <v>-0.2</v>
      </c>
    </row>
    <row r="362" spans="1:29" x14ac:dyDescent="0.35">
      <c r="A362">
        <v>361</v>
      </c>
      <c r="B362" s="1" t="s">
        <v>431</v>
      </c>
      <c r="C362" s="1" t="s">
        <v>132</v>
      </c>
      <c r="D362">
        <v>23</v>
      </c>
      <c r="E362" s="1" t="s">
        <v>42</v>
      </c>
      <c r="F362">
        <v>2</v>
      </c>
      <c r="G362">
        <v>25</v>
      </c>
      <c r="H362">
        <v>5.2</v>
      </c>
      <c r="I362">
        <v>0.621</v>
      </c>
      <c r="J362">
        <v>0.5</v>
      </c>
      <c r="K362">
        <v>0.16700000000000001</v>
      </c>
      <c r="L362">
        <v>0</v>
      </c>
      <c r="M362">
        <v>12.9</v>
      </c>
      <c r="N362">
        <v>6.5</v>
      </c>
      <c r="O362">
        <v>5.2</v>
      </c>
      <c r="P362">
        <v>1.9</v>
      </c>
      <c r="Q362">
        <v>3.6</v>
      </c>
      <c r="R362">
        <v>31.8</v>
      </c>
      <c r="S362">
        <v>16.3</v>
      </c>
      <c r="T362" s="1" t="s">
        <v>707</v>
      </c>
      <c r="U362">
        <v>0</v>
      </c>
      <c r="V362">
        <v>0</v>
      </c>
      <c r="W362">
        <v>0</v>
      </c>
      <c r="X362">
        <v>-4.2999999999999997E-2</v>
      </c>
      <c r="Y362" s="1" t="s">
        <v>707</v>
      </c>
      <c r="Z362">
        <v>-8.4</v>
      </c>
      <c r="AA362">
        <v>-1.2</v>
      </c>
      <c r="AB362">
        <v>-9.6</v>
      </c>
      <c r="AC362">
        <v>0</v>
      </c>
    </row>
    <row r="363" spans="1:29" x14ac:dyDescent="0.35">
      <c r="A363">
        <v>362</v>
      </c>
      <c r="B363" s="1" t="s">
        <v>432</v>
      </c>
      <c r="C363" s="1" t="s">
        <v>41</v>
      </c>
      <c r="D363">
        <v>30</v>
      </c>
      <c r="E363" s="1" t="s">
        <v>42</v>
      </c>
      <c r="F363">
        <v>62</v>
      </c>
      <c r="G363">
        <v>2145</v>
      </c>
      <c r="H363">
        <v>18.3</v>
      </c>
      <c r="I363">
        <v>0.55300000000000005</v>
      </c>
      <c r="J363">
        <v>0.40300000000000002</v>
      </c>
      <c r="K363">
        <v>0.14599999999999999</v>
      </c>
      <c r="L363">
        <v>2.6</v>
      </c>
      <c r="M363">
        <v>11.5</v>
      </c>
      <c r="N363">
        <v>6.9</v>
      </c>
      <c r="O363">
        <v>26.1</v>
      </c>
      <c r="P363">
        <v>1.6</v>
      </c>
      <c r="Q363">
        <v>1</v>
      </c>
      <c r="R363">
        <v>9.3000000000000007</v>
      </c>
      <c r="S363">
        <v>27.5</v>
      </c>
      <c r="T363" s="1" t="s">
        <v>707</v>
      </c>
      <c r="U363">
        <v>2.6</v>
      </c>
      <c r="V363">
        <v>1</v>
      </c>
      <c r="W363">
        <v>3.6</v>
      </c>
      <c r="X363">
        <v>8.1000000000000003E-2</v>
      </c>
      <c r="Y363" s="1" t="s">
        <v>707</v>
      </c>
      <c r="Z363">
        <v>3.2</v>
      </c>
      <c r="AA363">
        <v>-1.3</v>
      </c>
      <c r="AB363">
        <v>1.9</v>
      </c>
      <c r="AC363">
        <v>2.1</v>
      </c>
    </row>
    <row r="364" spans="1:29" x14ac:dyDescent="0.35">
      <c r="A364">
        <v>363</v>
      </c>
      <c r="B364" s="1" t="s">
        <v>433</v>
      </c>
      <c r="C364" s="1" t="s">
        <v>48</v>
      </c>
      <c r="D364">
        <v>29</v>
      </c>
      <c r="E364" s="1" t="s">
        <v>108</v>
      </c>
      <c r="F364">
        <v>27</v>
      </c>
      <c r="G364">
        <v>652</v>
      </c>
      <c r="H364">
        <v>15.1</v>
      </c>
      <c r="I364">
        <v>0.52500000000000002</v>
      </c>
      <c r="J364">
        <v>0.159</v>
      </c>
      <c r="K364">
        <v>0.111</v>
      </c>
      <c r="L364">
        <v>3.4</v>
      </c>
      <c r="M364">
        <v>12.2</v>
      </c>
      <c r="N364">
        <v>7.7</v>
      </c>
      <c r="O364">
        <v>28.7</v>
      </c>
      <c r="P364">
        <v>2.2000000000000002</v>
      </c>
      <c r="Q364">
        <v>1.3</v>
      </c>
      <c r="R364">
        <v>11.7</v>
      </c>
      <c r="S364">
        <v>16.2</v>
      </c>
      <c r="T364" s="1" t="s">
        <v>707</v>
      </c>
      <c r="U364">
        <v>1</v>
      </c>
      <c r="V364">
        <v>0.4</v>
      </c>
      <c r="W364">
        <v>1.3</v>
      </c>
      <c r="X364">
        <v>9.8000000000000004E-2</v>
      </c>
      <c r="Y364" s="1" t="s">
        <v>707</v>
      </c>
      <c r="Z364">
        <v>-0.4</v>
      </c>
      <c r="AA364">
        <v>1.4</v>
      </c>
      <c r="AB364">
        <v>0.9</v>
      </c>
      <c r="AC364">
        <v>0.5</v>
      </c>
    </row>
    <row r="365" spans="1:29" x14ac:dyDescent="0.35">
      <c r="A365">
        <v>364</v>
      </c>
      <c r="B365" s="1" t="s">
        <v>434</v>
      </c>
      <c r="C365" s="1" t="s">
        <v>28</v>
      </c>
      <c r="D365">
        <v>21</v>
      </c>
      <c r="E365" s="1" t="s">
        <v>99</v>
      </c>
      <c r="F365">
        <v>70</v>
      </c>
      <c r="G365">
        <v>1803</v>
      </c>
      <c r="H365">
        <v>10.3</v>
      </c>
      <c r="I365">
        <v>0.55300000000000005</v>
      </c>
      <c r="J365">
        <v>0.45500000000000002</v>
      </c>
      <c r="K365">
        <v>0.128</v>
      </c>
      <c r="L365">
        <v>4.4000000000000004</v>
      </c>
      <c r="M365">
        <v>13.2</v>
      </c>
      <c r="N365">
        <v>8.6999999999999993</v>
      </c>
      <c r="O365">
        <v>6.1</v>
      </c>
      <c r="P365">
        <v>1.4</v>
      </c>
      <c r="Q365">
        <v>2.9</v>
      </c>
      <c r="R365">
        <v>11.4</v>
      </c>
      <c r="S365">
        <v>15.3</v>
      </c>
      <c r="T365" s="1" t="s">
        <v>707</v>
      </c>
      <c r="U365">
        <v>0.7</v>
      </c>
      <c r="V365">
        <v>1.7</v>
      </c>
      <c r="W365">
        <v>2.4</v>
      </c>
      <c r="X365">
        <v>6.5000000000000002E-2</v>
      </c>
      <c r="Y365" s="1" t="s">
        <v>707</v>
      </c>
      <c r="Z365">
        <v>-2.9</v>
      </c>
      <c r="AA365">
        <v>-0.1</v>
      </c>
      <c r="AB365">
        <v>-2.9</v>
      </c>
      <c r="AC365">
        <v>-0.4</v>
      </c>
    </row>
    <row r="366" spans="1:29" x14ac:dyDescent="0.35">
      <c r="A366">
        <v>365</v>
      </c>
      <c r="B366" s="1" t="s">
        <v>435</v>
      </c>
      <c r="C366" s="1" t="s">
        <v>51</v>
      </c>
      <c r="D366">
        <v>24</v>
      </c>
      <c r="E366" s="1" t="s">
        <v>73</v>
      </c>
      <c r="F366">
        <v>55</v>
      </c>
      <c r="G366">
        <v>895</v>
      </c>
      <c r="H366">
        <v>12.7</v>
      </c>
      <c r="I366">
        <v>0.59499999999999997</v>
      </c>
      <c r="J366">
        <v>0.42499999999999999</v>
      </c>
      <c r="K366">
        <v>0.28299999999999997</v>
      </c>
      <c r="L366">
        <v>4.3</v>
      </c>
      <c r="M366">
        <v>16</v>
      </c>
      <c r="N366">
        <v>10.1</v>
      </c>
      <c r="O366">
        <v>8.6999999999999993</v>
      </c>
      <c r="P366">
        <v>1.4</v>
      </c>
      <c r="Q366">
        <v>2.2999999999999998</v>
      </c>
      <c r="R366">
        <v>11.2</v>
      </c>
      <c r="S366">
        <v>15.3</v>
      </c>
      <c r="T366" s="1" t="s">
        <v>707</v>
      </c>
      <c r="U366">
        <v>1</v>
      </c>
      <c r="V366">
        <v>0.7</v>
      </c>
      <c r="W366">
        <v>1.7</v>
      </c>
      <c r="X366">
        <v>9.2999999999999999E-2</v>
      </c>
      <c r="Y366" s="1" t="s">
        <v>707</v>
      </c>
      <c r="Z366">
        <v>-1.9</v>
      </c>
      <c r="AA366">
        <v>-0.4</v>
      </c>
      <c r="AB366">
        <v>-2.2999999999999998</v>
      </c>
      <c r="AC366">
        <v>-0.1</v>
      </c>
    </row>
    <row r="367" spans="1:29" x14ac:dyDescent="0.35">
      <c r="A367">
        <v>366</v>
      </c>
      <c r="B367" s="1" t="s">
        <v>436</v>
      </c>
      <c r="C367" s="1" t="s">
        <v>28</v>
      </c>
      <c r="D367">
        <v>30</v>
      </c>
      <c r="E367" s="1" t="s">
        <v>91</v>
      </c>
      <c r="F367">
        <v>51</v>
      </c>
      <c r="G367">
        <v>1223</v>
      </c>
      <c r="H367">
        <v>11.4</v>
      </c>
      <c r="I367">
        <v>0.59299999999999997</v>
      </c>
      <c r="J367">
        <v>0.55100000000000005</v>
      </c>
      <c r="K367">
        <v>0.11</v>
      </c>
      <c r="L367">
        <v>1.5</v>
      </c>
      <c r="M367">
        <v>8.4</v>
      </c>
      <c r="N367">
        <v>4.9000000000000004</v>
      </c>
      <c r="O367">
        <v>7.3</v>
      </c>
      <c r="P367">
        <v>0.5</v>
      </c>
      <c r="Q367">
        <v>0.4</v>
      </c>
      <c r="R367">
        <v>8.1</v>
      </c>
      <c r="S367">
        <v>18.3</v>
      </c>
      <c r="T367" s="1" t="s">
        <v>707</v>
      </c>
      <c r="U367">
        <v>1.1000000000000001</v>
      </c>
      <c r="V367">
        <v>0.5</v>
      </c>
      <c r="W367">
        <v>1.6</v>
      </c>
      <c r="X367">
        <v>6.2E-2</v>
      </c>
      <c r="Y367" s="1" t="s">
        <v>707</v>
      </c>
      <c r="Z367">
        <v>-0.4</v>
      </c>
      <c r="AA367">
        <v>-2.1</v>
      </c>
      <c r="AB367">
        <v>-2.5</v>
      </c>
      <c r="AC367">
        <v>-0.1</v>
      </c>
    </row>
    <row r="368" spans="1:29" x14ac:dyDescent="0.35">
      <c r="A368">
        <v>367</v>
      </c>
      <c r="B368" s="1" t="s">
        <v>437</v>
      </c>
      <c r="C368" s="1" t="s">
        <v>31</v>
      </c>
      <c r="D368">
        <v>34</v>
      </c>
      <c r="E368" s="1" t="s">
        <v>68</v>
      </c>
      <c r="F368">
        <v>74</v>
      </c>
      <c r="G368">
        <v>1172</v>
      </c>
      <c r="H368">
        <v>22.6</v>
      </c>
      <c r="I368">
        <v>0.65100000000000002</v>
      </c>
      <c r="J368">
        <v>0.02</v>
      </c>
      <c r="K368">
        <v>0.31900000000000001</v>
      </c>
      <c r="L368">
        <v>15.3</v>
      </c>
      <c r="M368">
        <v>29.7</v>
      </c>
      <c r="N368">
        <v>22.7</v>
      </c>
      <c r="O368">
        <v>5.4</v>
      </c>
      <c r="P368">
        <v>0.9</v>
      </c>
      <c r="Q368">
        <v>6.1</v>
      </c>
      <c r="R368">
        <v>15.8</v>
      </c>
      <c r="S368">
        <v>22.8</v>
      </c>
      <c r="T368" s="1" t="s">
        <v>707</v>
      </c>
      <c r="U368">
        <v>2.4</v>
      </c>
      <c r="V368">
        <v>2.6</v>
      </c>
      <c r="W368">
        <v>4.9000000000000004</v>
      </c>
      <c r="X368">
        <v>0.20100000000000001</v>
      </c>
      <c r="Y368" s="1" t="s">
        <v>707</v>
      </c>
      <c r="Z368">
        <v>-0.1</v>
      </c>
      <c r="AA368">
        <v>0.9</v>
      </c>
      <c r="AB368">
        <v>0.8</v>
      </c>
      <c r="AC368">
        <v>0.8</v>
      </c>
    </row>
    <row r="369" spans="1:29" x14ac:dyDescent="0.35">
      <c r="A369">
        <v>368</v>
      </c>
      <c r="B369" s="1" t="s">
        <v>438</v>
      </c>
      <c r="C369" s="1" t="s">
        <v>51</v>
      </c>
      <c r="D369">
        <v>24</v>
      </c>
      <c r="E369" s="1" t="s">
        <v>114</v>
      </c>
      <c r="F369">
        <v>3</v>
      </c>
      <c r="G369">
        <v>46</v>
      </c>
      <c r="H369">
        <v>12.5</v>
      </c>
      <c r="I369">
        <v>0.47</v>
      </c>
      <c r="J369">
        <v>0.42899999999999999</v>
      </c>
      <c r="K369">
        <v>0.14299999999999999</v>
      </c>
      <c r="L369">
        <v>13.8</v>
      </c>
      <c r="M369">
        <v>22.3</v>
      </c>
      <c r="N369">
        <v>17.899999999999999</v>
      </c>
      <c r="O369">
        <v>9.4</v>
      </c>
      <c r="P369">
        <v>0</v>
      </c>
      <c r="Q369">
        <v>2.1</v>
      </c>
      <c r="R369">
        <v>0</v>
      </c>
      <c r="S369">
        <v>14</v>
      </c>
      <c r="T369" s="1" t="s">
        <v>707</v>
      </c>
      <c r="U369">
        <v>0.1</v>
      </c>
      <c r="V369">
        <v>0</v>
      </c>
      <c r="W369">
        <v>0.1</v>
      </c>
      <c r="X369">
        <v>9.7000000000000003E-2</v>
      </c>
      <c r="Y369" s="1" t="s">
        <v>707</v>
      </c>
      <c r="Z369">
        <v>-1</v>
      </c>
      <c r="AA369">
        <v>-3</v>
      </c>
      <c r="AB369">
        <v>-4</v>
      </c>
      <c r="AC369">
        <v>0</v>
      </c>
    </row>
    <row r="370" spans="1:29" x14ac:dyDescent="0.35">
      <c r="A370">
        <v>369</v>
      </c>
      <c r="B370" s="1" t="s">
        <v>439</v>
      </c>
      <c r="C370" s="1" t="s">
        <v>41</v>
      </c>
      <c r="D370">
        <v>30</v>
      </c>
      <c r="E370" s="1" t="s">
        <v>105</v>
      </c>
      <c r="F370">
        <v>51</v>
      </c>
      <c r="G370">
        <v>754</v>
      </c>
      <c r="H370">
        <v>11.6</v>
      </c>
      <c r="I370">
        <v>0.57699999999999996</v>
      </c>
      <c r="J370">
        <v>0.64900000000000002</v>
      </c>
      <c r="K370">
        <v>0.11600000000000001</v>
      </c>
      <c r="L370">
        <v>4.2</v>
      </c>
      <c r="M370">
        <v>12.1</v>
      </c>
      <c r="N370">
        <v>8</v>
      </c>
      <c r="O370">
        <v>9.6</v>
      </c>
      <c r="P370">
        <v>1.4</v>
      </c>
      <c r="Q370">
        <v>0.8</v>
      </c>
      <c r="R370">
        <v>9.1999999999999993</v>
      </c>
      <c r="S370">
        <v>14.8</v>
      </c>
      <c r="T370" s="1" t="s">
        <v>707</v>
      </c>
      <c r="U370">
        <v>0.7</v>
      </c>
      <c r="V370">
        <v>0.4</v>
      </c>
      <c r="W370">
        <v>1.2</v>
      </c>
      <c r="X370">
        <v>7.4999999999999997E-2</v>
      </c>
      <c r="Y370" s="1" t="s">
        <v>707</v>
      </c>
      <c r="Z370">
        <v>-0.7</v>
      </c>
      <c r="AA370">
        <v>-0.7</v>
      </c>
      <c r="AB370">
        <v>-1.4</v>
      </c>
      <c r="AC370">
        <v>0.1</v>
      </c>
    </row>
    <row r="371" spans="1:29" x14ac:dyDescent="0.35">
      <c r="A371">
        <v>370</v>
      </c>
      <c r="B371" s="1" t="s">
        <v>440</v>
      </c>
      <c r="C371" s="1" t="s">
        <v>51</v>
      </c>
      <c r="D371">
        <v>29</v>
      </c>
      <c r="E371" s="1" t="s">
        <v>75</v>
      </c>
      <c r="F371">
        <v>17</v>
      </c>
      <c r="G371">
        <v>206</v>
      </c>
      <c r="H371">
        <v>5.6</v>
      </c>
      <c r="I371">
        <v>0.45700000000000002</v>
      </c>
      <c r="J371">
        <v>0.443</v>
      </c>
      <c r="K371">
        <v>0.13100000000000001</v>
      </c>
      <c r="L371">
        <v>7.1</v>
      </c>
      <c r="M371">
        <v>10.9</v>
      </c>
      <c r="N371">
        <v>9</v>
      </c>
      <c r="O371">
        <v>3.2</v>
      </c>
      <c r="P371">
        <v>0.5</v>
      </c>
      <c r="Q371">
        <v>1.3</v>
      </c>
      <c r="R371">
        <v>9.8000000000000007</v>
      </c>
      <c r="S371">
        <v>15.3</v>
      </c>
      <c r="T371" s="1" t="s">
        <v>707</v>
      </c>
      <c r="U371">
        <v>-0.2</v>
      </c>
      <c r="V371">
        <v>0.1</v>
      </c>
      <c r="W371">
        <v>-0.1</v>
      </c>
      <c r="X371">
        <v>-1.4999999999999999E-2</v>
      </c>
      <c r="Y371" s="1" t="s">
        <v>707</v>
      </c>
      <c r="Z371">
        <v>-5.6</v>
      </c>
      <c r="AA371">
        <v>-3.4</v>
      </c>
      <c r="AB371">
        <v>-9</v>
      </c>
      <c r="AC371">
        <v>-0.4</v>
      </c>
    </row>
    <row r="372" spans="1:29" x14ac:dyDescent="0.35">
      <c r="A372">
        <v>371</v>
      </c>
      <c r="B372" s="1" t="s">
        <v>441</v>
      </c>
      <c r="C372" s="1" t="s">
        <v>48</v>
      </c>
      <c r="D372">
        <v>24</v>
      </c>
      <c r="E372" s="1" t="s">
        <v>143</v>
      </c>
      <c r="F372">
        <v>4</v>
      </c>
      <c r="G372">
        <v>11</v>
      </c>
      <c r="H372">
        <v>-2.9</v>
      </c>
      <c r="I372">
        <v>0</v>
      </c>
      <c r="J372">
        <v>0.5</v>
      </c>
      <c r="K372">
        <v>0</v>
      </c>
      <c r="L372">
        <v>0</v>
      </c>
      <c r="M372">
        <v>0</v>
      </c>
      <c r="N372">
        <v>0</v>
      </c>
      <c r="O372">
        <v>22.3</v>
      </c>
      <c r="P372">
        <v>0</v>
      </c>
      <c r="Q372">
        <v>0</v>
      </c>
      <c r="R372">
        <v>0</v>
      </c>
      <c r="S372">
        <v>8.1999999999999993</v>
      </c>
      <c r="T372" s="1" t="s">
        <v>707</v>
      </c>
      <c r="U372">
        <v>0</v>
      </c>
      <c r="V372">
        <v>0</v>
      </c>
      <c r="W372">
        <v>0</v>
      </c>
      <c r="X372">
        <v>-0.10100000000000001</v>
      </c>
      <c r="Y372" s="1" t="s">
        <v>707</v>
      </c>
      <c r="Z372">
        <v>-9.4</v>
      </c>
      <c r="AA372">
        <v>-4.2</v>
      </c>
      <c r="AB372">
        <v>-13.6</v>
      </c>
      <c r="AC372">
        <v>0</v>
      </c>
    </row>
    <row r="373" spans="1:29" x14ac:dyDescent="0.35">
      <c r="A373">
        <v>372</v>
      </c>
      <c r="B373" s="1" t="s">
        <v>442</v>
      </c>
      <c r="C373" s="1" t="s">
        <v>48</v>
      </c>
      <c r="D373">
        <v>25</v>
      </c>
      <c r="E373" s="1" t="s">
        <v>99</v>
      </c>
      <c r="F373">
        <v>62</v>
      </c>
      <c r="G373">
        <v>902</v>
      </c>
      <c r="H373">
        <v>13.4</v>
      </c>
      <c r="I373">
        <v>0.53500000000000003</v>
      </c>
      <c r="J373">
        <v>0.42499999999999999</v>
      </c>
      <c r="K373">
        <v>0.2</v>
      </c>
      <c r="L373">
        <v>2.6</v>
      </c>
      <c r="M373">
        <v>8.8000000000000007</v>
      </c>
      <c r="N373">
        <v>5.6</v>
      </c>
      <c r="O373">
        <v>26.1</v>
      </c>
      <c r="P373">
        <v>3</v>
      </c>
      <c r="Q373">
        <v>1.1000000000000001</v>
      </c>
      <c r="R373">
        <v>14.9</v>
      </c>
      <c r="S373">
        <v>11.8</v>
      </c>
      <c r="T373" s="1" t="s">
        <v>707</v>
      </c>
      <c r="U373">
        <v>1.3</v>
      </c>
      <c r="V373">
        <v>1</v>
      </c>
      <c r="W373">
        <v>2.2999999999999998</v>
      </c>
      <c r="X373">
        <v>0.123</v>
      </c>
      <c r="Y373" s="1" t="s">
        <v>707</v>
      </c>
      <c r="Z373">
        <v>-1.2</v>
      </c>
      <c r="AA373">
        <v>1.6</v>
      </c>
      <c r="AB373">
        <v>0.4</v>
      </c>
      <c r="AC373">
        <v>0.6</v>
      </c>
    </row>
    <row r="374" spans="1:29" x14ac:dyDescent="0.35">
      <c r="A374">
        <v>373</v>
      </c>
      <c r="B374" s="1" t="s">
        <v>443</v>
      </c>
      <c r="C374" s="1" t="s">
        <v>41</v>
      </c>
      <c r="D374">
        <v>28</v>
      </c>
      <c r="E374" s="1" t="s">
        <v>114</v>
      </c>
      <c r="F374">
        <v>64</v>
      </c>
      <c r="G374">
        <v>1285</v>
      </c>
      <c r="H374">
        <v>11.7</v>
      </c>
      <c r="I374">
        <v>0.56699999999999995</v>
      </c>
      <c r="J374">
        <v>0.77400000000000002</v>
      </c>
      <c r="K374">
        <v>0.16300000000000001</v>
      </c>
      <c r="L374">
        <v>1</v>
      </c>
      <c r="M374">
        <v>8.1</v>
      </c>
      <c r="N374">
        <v>4.4000000000000004</v>
      </c>
      <c r="O374">
        <v>7.3</v>
      </c>
      <c r="P374">
        <v>1.4</v>
      </c>
      <c r="Q374">
        <v>0.8</v>
      </c>
      <c r="R374">
        <v>8.6999999999999993</v>
      </c>
      <c r="S374">
        <v>21.3</v>
      </c>
      <c r="T374" s="1" t="s">
        <v>707</v>
      </c>
      <c r="U374">
        <v>0.7</v>
      </c>
      <c r="V374">
        <v>0.2</v>
      </c>
      <c r="W374">
        <v>0.8</v>
      </c>
      <c r="X374">
        <v>3.1E-2</v>
      </c>
      <c r="Y374" s="1" t="s">
        <v>707</v>
      </c>
      <c r="Z374">
        <v>-0.7</v>
      </c>
      <c r="AA374">
        <v>-2.5</v>
      </c>
      <c r="AB374">
        <v>-3.2</v>
      </c>
      <c r="AC374">
        <v>-0.4</v>
      </c>
    </row>
    <row r="375" spans="1:29" x14ac:dyDescent="0.35">
      <c r="A375">
        <v>374</v>
      </c>
      <c r="B375" s="1" t="s">
        <v>444</v>
      </c>
      <c r="C375" s="1" t="s">
        <v>41</v>
      </c>
      <c r="D375">
        <v>23</v>
      </c>
      <c r="E375" s="1" t="s">
        <v>34</v>
      </c>
      <c r="F375">
        <v>73</v>
      </c>
      <c r="G375">
        <v>1657</v>
      </c>
      <c r="H375">
        <v>15.2</v>
      </c>
      <c r="I375">
        <v>0.52900000000000003</v>
      </c>
      <c r="J375">
        <v>0.53500000000000003</v>
      </c>
      <c r="K375">
        <v>0.17299999999999999</v>
      </c>
      <c r="L375">
        <v>4</v>
      </c>
      <c r="M375">
        <v>17.100000000000001</v>
      </c>
      <c r="N375">
        <v>10.4</v>
      </c>
      <c r="O375">
        <v>16</v>
      </c>
      <c r="P375">
        <v>3</v>
      </c>
      <c r="Q375">
        <v>2.1</v>
      </c>
      <c r="R375">
        <v>13</v>
      </c>
      <c r="S375">
        <v>21.3</v>
      </c>
      <c r="T375" s="1" t="s">
        <v>707</v>
      </c>
      <c r="U375">
        <v>0.9</v>
      </c>
      <c r="V375">
        <v>2.8</v>
      </c>
      <c r="W375">
        <v>3.7</v>
      </c>
      <c r="X375">
        <v>0.107</v>
      </c>
      <c r="Y375" s="1" t="s">
        <v>707</v>
      </c>
      <c r="Z375">
        <v>0.3</v>
      </c>
      <c r="AA375">
        <v>1.6</v>
      </c>
      <c r="AB375">
        <v>1.9</v>
      </c>
      <c r="AC375">
        <v>1.6</v>
      </c>
    </row>
    <row r="376" spans="1:29" x14ac:dyDescent="0.35">
      <c r="A376">
        <v>375</v>
      </c>
      <c r="B376" s="1" t="s">
        <v>445</v>
      </c>
      <c r="C376" s="1" t="s">
        <v>41</v>
      </c>
      <c r="D376">
        <v>25</v>
      </c>
      <c r="E376" s="1" t="s">
        <v>34</v>
      </c>
      <c r="F376">
        <v>6</v>
      </c>
      <c r="G376">
        <v>58</v>
      </c>
      <c r="H376">
        <v>7.5</v>
      </c>
      <c r="I376">
        <v>0.48499999999999999</v>
      </c>
      <c r="J376">
        <v>0.95799999999999996</v>
      </c>
      <c r="K376">
        <v>0.16700000000000001</v>
      </c>
      <c r="L376">
        <v>1.8</v>
      </c>
      <c r="M376">
        <v>11.1</v>
      </c>
      <c r="N376">
        <v>6.3</v>
      </c>
      <c r="O376">
        <v>9</v>
      </c>
      <c r="P376">
        <v>0</v>
      </c>
      <c r="Q376">
        <v>0</v>
      </c>
      <c r="R376">
        <v>7.2</v>
      </c>
      <c r="S376">
        <v>19.600000000000001</v>
      </c>
      <c r="T376" s="1" t="s">
        <v>707</v>
      </c>
      <c r="U376">
        <v>0</v>
      </c>
      <c r="V376">
        <v>0</v>
      </c>
      <c r="W376">
        <v>0</v>
      </c>
      <c r="X376">
        <v>2.9000000000000001E-2</v>
      </c>
      <c r="Y376" s="1" t="s">
        <v>707</v>
      </c>
      <c r="Z376">
        <v>-2.2000000000000002</v>
      </c>
      <c r="AA376">
        <v>-3.4</v>
      </c>
      <c r="AB376">
        <v>-5.6</v>
      </c>
      <c r="AC376">
        <v>-0.1</v>
      </c>
    </row>
    <row r="377" spans="1:29" x14ac:dyDescent="0.35">
      <c r="A377">
        <v>376</v>
      </c>
      <c r="B377" s="1" t="s">
        <v>446</v>
      </c>
      <c r="C377" s="1" t="s">
        <v>31</v>
      </c>
      <c r="D377">
        <v>24</v>
      </c>
      <c r="E377" s="1" t="s">
        <v>82</v>
      </c>
      <c r="F377">
        <v>60</v>
      </c>
      <c r="G377">
        <v>1279</v>
      </c>
      <c r="H377">
        <v>13.4</v>
      </c>
      <c r="I377">
        <v>0.54600000000000004</v>
      </c>
      <c r="J377">
        <v>0.41399999999999998</v>
      </c>
      <c r="K377">
        <v>0.20300000000000001</v>
      </c>
      <c r="L377">
        <v>2.9</v>
      </c>
      <c r="M377">
        <v>25.9</v>
      </c>
      <c r="N377">
        <v>14.3</v>
      </c>
      <c r="O377">
        <v>6.9</v>
      </c>
      <c r="P377">
        <v>1.9</v>
      </c>
      <c r="Q377">
        <v>2.2000000000000002</v>
      </c>
      <c r="R377">
        <v>11.1</v>
      </c>
      <c r="S377">
        <v>18.5</v>
      </c>
      <c r="T377" s="1" t="s">
        <v>707</v>
      </c>
      <c r="U377">
        <v>0.1</v>
      </c>
      <c r="V377">
        <v>1.4</v>
      </c>
      <c r="W377">
        <v>1.5</v>
      </c>
      <c r="X377">
        <v>5.6000000000000001E-2</v>
      </c>
      <c r="Y377" s="1" t="s">
        <v>707</v>
      </c>
      <c r="Z377">
        <v>-1.6</v>
      </c>
      <c r="AA377">
        <v>0.1</v>
      </c>
      <c r="AB377">
        <v>-1.5</v>
      </c>
      <c r="AC377">
        <v>0.2</v>
      </c>
    </row>
    <row r="378" spans="1:29" x14ac:dyDescent="0.35">
      <c r="A378">
        <v>377</v>
      </c>
      <c r="B378" s="1" t="s">
        <v>447</v>
      </c>
      <c r="C378" s="1" t="s">
        <v>51</v>
      </c>
      <c r="D378">
        <v>30</v>
      </c>
      <c r="E378" s="1" t="s">
        <v>44</v>
      </c>
      <c r="F378">
        <v>66</v>
      </c>
      <c r="G378">
        <v>2141</v>
      </c>
      <c r="H378">
        <v>18.100000000000001</v>
      </c>
      <c r="I378">
        <v>0.57699999999999996</v>
      </c>
      <c r="J378">
        <v>0.42499999999999999</v>
      </c>
      <c r="K378">
        <v>0.28499999999999998</v>
      </c>
      <c r="L378">
        <v>2.1</v>
      </c>
      <c r="M378">
        <v>15.3</v>
      </c>
      <c r="N378">
        <v>8.8000000000000007</v>
      </c>
      <c r="O378">
        <v>25.5</v>
      </c>
      <c r="P378">
        <v>1.7</v>
      </c>
      <c r="Q378">
        <v>0.8</v>
      </c>
      <c r="R378">
        <v>14.2</v>
      </c>
      <c r="S378">
        <v>26.7</v>
      </c>
      <c r="T378" s="1" t="s">
        <v>707</v>
      </c>
      <c r="U378">
        <v>3.2</v>
      </c>
      <c r="V378">
        <v>2.2000000000000002</v>
      </c>
      <c r="W378">
        <v>5.3</v>
      </c>
      <c r="X378">
        <v>0.11899999999999999</v>
      </c>
      <c r="Y378" s="1" t="s">
        <v>707</v>
      </c>
      <c r="Z378">
        <v>1.9</v>
      </c>
      <c r="AA378">
        <v>-0.3</v>
      </c>
      <c r="AB378">
        <v>1.6</v>
      </c>
      <c r="AC378">
        <v>1.9</v>
      </c>
    </row>
    <row r="379" spans="1:29" x14ac:dyDescent="0.35">
      <c r="A379">
        <v>378</v>
      </c>
      <c r="B379" s="1" t="s">
        <v>448</v>
      </c>
      <c r="C379" s="1" t="s">
        <v>41</v>
      </c>
      <c r="D379">
        <v>34</v>
      </c>
      <c r="E379" s="1" t="s">
        <v>140</v>
      </c>
      <c r="F379">
        <v>1</v>
      </c>
      <c r="G379">
        <v>2</v>
      </c>
      <c r="H379">
        <v>-7.8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S379">
        <v>0</v>
      </c>
      <c r="T379" s="1" t="s">
        <v>707</v>
      </c>
      <c r="U379">
        <v>0</v>
      </c>
      <c r="V379">
        <v>0</v>
      </c>
      <c r="W379">
        <v>0</v>
      </c>
      <c r="X379">
        <v>0.03</v>
      </c>
      <c r="Y379" s="1" t="s">
        <v>707</v>
      </c>
      <c r="Z379">
        <v>-16.3</v>
      </c>
      <c r="AA379">
        <v>0</v>
      </c>
      <c r="AB379">
        <v>-16.3</v>
      </c>
      <c r="AC379">
        <v>0</v>
      </c>
    </row>
    <row r="380" spans="1:29" x14ac:dyDescent="0.35">
      <c r="A380">
        <v>379</v>
      </c>
      <c r="B380" s="1" t="s">
        <v>449</v>
      </c>
      <c r="C380" s="1" t="s">
        <v>48</v>
      </c>
      <c r="D380">
        <v>33</v>
      </c>
      <c r="E380" s="1" t="s">
        <v>39</v>
      </c>
      <c r="F380">
        <v>81</v>
      </c>
      <c r="G380">
        <v>2346</v>
      </c>
      <c r="H380">
        <v>10.4</v>
      </c>
      <c r="I380">
        <v>0.56299999999999994</v>
      </c>
      <c r="J380">
        <v>0.71499999999999997</v>
      </c>
      <c r="K380">
        <v>7.3999999999999996E-2</v>
      </c>
      <c r="L380">
        <v>0.9</v>
      </c>
      <c r="M380">
        <v>6.2</v>
      </c>
      <c r="N380">
        <v>3.6</v>
      </c>
      <c r="O380">
        <v>10.6</v>
      </c>
      <c r="P380">
        <v>1.1000000000000001</v>
      </c>
      <c r="Q380">
        <v>0.6</v>
      </c>
      <c r="R380">
        <v>8.1999999999999993</v>
      </c>
      <c r="S380">
        <v>16.399999999999999</v>
      </c>
      <c r="T380" s="1" t="s">
        <v>707</v>
      </c>
      <c r="U380">
        <v>1.9</v>
      </c>
      <c r="V380">
        <v>0.9</v>
      </c>
      <c r="W380">
        <v>2.8</v>
      </c>
      <c r="X380">
        <v>5.8000000000000003E-2</v>
      </c>
      <c r="Y380" s="1" t="s">
        <v>707</v>
      </c>
      <c r="Z380">
        <v>-0.3</v>
      </c>
      <c r="AA380">
        <v>-1.4</v>
      </c>
      <c r="AB380">
        <v>-1.7</v>
      </c>
      <c r="AC380">
        <v>0.2</v>
      </c>
    </row>
    <row r="381" spans="1:29" x14ac:dyDescent="0.35">
      <c r="A381">
        <v>380</v>
      </c>
      <c r="B381" s="1" t="s">
        <v>450</v>
      </c>
      <c r="C381" s="1" t="s">
        <v>28</v>
      </c>
      <c r="D381">
        <v>36</v>
      </c>
      <c r="E381" s="1" t="s">
        <v>42</v>
      </c>
      <c r="F381">
        <v>33</v>
      </c>
      <c r="G381">
        <v>376</v>
      </c>
      <c r="H381">
        <v>10.8</v>
      </c>
      <c r="I381">
        <v>0.45800000000000002</v>
      </c>
      <c r="J381">
        <v>0.30399999999999999</v>
      </c>
      <c r="K381">
        <v>0.20899999999999999</v>
      </c>
      <c r="L381">
        <v>12.3</v>
      </c>
      <c r="M381">
        <v>20.7</v>
      </c>
      <c r="N381">
        <v>16.600000000000001</v>
      </c>
      <c r="O381">
        <v>10.4</v>
      </c>
      <c r="P381">
        <v>1.3</v>
      </c>
      <c r="Q381">
        <v>3.1</v>
      </c>
      <c r="R381">
        <v>13.1</v>
      </c>
      <c r="S381">
        <v>16.7</v>
      </c>
      <c r="T381" s="1" t="s">
        <v>707</v>
      </c>
      <c r="U381">
        <v>0</v>
      </c>
      <c r="V381">
        <v>0.5</v>
      </c>
      <c r="W381">
        <v>0.5</v>
      </c>
      <c r="X381">
        <v>6.0999999999999999E-2</v>
      </c>
      <c r="Y381" s="1" t="s">
        <v>707</v>
      </c>
      <c r="Z381">
        <v>-3.7</v>
      </c>
      <c r="AA381">
        <v>0.3</v>
      </c>
      <c r="AB381">
        <v>-3.4</v>
      </c>
      <c r="AC381">
        <v>-0.1</v>
      </c>
    </row>
    <row r="382" spans="1:29" x14ac:dyDescent="0.35">
      <c r="A382">
        <v>381</v>
      </c>
      <c r="B382" s="1" t="s">
        <v>451</v>
      </c>
      <c r="C382" s="1" t="s">
        <v>48</v>
      </c>
      <c r="D382">
        <v>25</v>
      </c>
      <c r="E382" s="1" t="s">
        <v>89</v>
      </c>
      <c r="F382">
        <v>55</v>
      </c>
      <c r="G382">
        <v>1179</v>
      </c>
      <c r="H382">
        <v>11.9</v>
      </c>
      <c r="I382">
        <v>0.51700000000000002</v>
      </c>
      <c r="J382">
        <v>0.33</v>
      </c>
      <c r="K382">
        <v>0.18099999999999999</v>
      </c>
      <c r="L382">
        <v>2.9</v>
      </c>
      <c r="M382">
        <v>10.4</v>
      </c>
      <c r="N382">
        <v>6.7</v>
      </c>
      <c r="O382">
        <v>17.600000000000001</v>
      </c>
      <c r="P382">
        <v>1.2</v>
      </c>
      <c r="Q382">
        <v>1.3</v>
      </c>
      <c r="R382">
        <v>9.1999999999999993</v>
      </c>
      <c r="S382">
        <v>18.3</v>
      </c>
      <c r="T382" s="1" t="s">
        <v>707</v>
      </c>
      <c r="U382">
        <v>0.7</v>
      </c>
      <c r="V382">
        <v>1</v>
      </c>
      <c r="W382">
        <v>1.7</v>
      </c>
      <c r="X382">
        <v>6.9000000000000006E-2</v>
      </c>
      <c r="Y382" s="1" t="s">
        <v>707</v>
      </c>
      <c r="Z382">
        <v>-1.6</v>
      </c>
      <c r="AA382">
        <v>-0.6</v>
      </c>
      <c r="AB382">
        <v>-2.2000000000000002</v>
      </c>
      <c r="AC382">
        <v>-0.1</v>
      </c>
    </row>
    <row r="383" spans="1:29" x14ac:dyDescent="0.35">
      <c r="A383">
        <v>382</v>
      </c>
      <c r="B383" s="1" t="s">
        <v>452</v>
      </c>
      <c r="C383" s="1" t="s">
        <v>48</v>
      </c>
      <c r="D383">
        <v>23</v>
      </c>
      <c r="E383" s="1" t="s">
        <v>82</v>
      </c>
      <c r="F383">
        <v>75</v>
      </c>
      <c r="G383">
        <v>2076</v>
      </c>
      <c r="H383">
        <v>10.8</v>
      </c>
      <c r="I383">
        <v>0.48899999999999999</v>
      </c>
      <c r="J383">
        <v>0.38</v>
      </c>
      <c r="K383">
        <v>0.10100000000000001</v>
      </c>
      <c r="L383">
        <v>1.7</v>
      </c>
      <c r="M383">
        <v>7</v>
      </c>
      <c r="N383">
        <v>4.4000000000000004</v>
      </c>
      <c r="O383">
        <v>22.5</v>
      </c>
      <c r="P383">
        <v>1.3</v>
      </c>
      <c r="Q383">
        <v>1</v>
      </c>
      <c r="R383">
        <v>11.5</v>
      </c>
      <c r="S383">
        <v>20.6</v>
      </c>
      <c r="T383" s="1" t="s">
        <v>707</v>
      </c>
      <c r="U383">
        <v>-0.5</v>
      </c>
      <c r="V383">
        <v>0.6</v>
      </c>
      <c r="W383">
        <v>0.1</v>
      </c>
      <c r="X383">
        <v>3.0000000000000001E-3</v>
      </c>
      <c r="Y383" s="1" t="s">
        <v>707</v>
      </c>
      <c r="Z383">
        <v>-2.1</v>
      </c>
      <c r="AA383">
        <v>-1.7</v>
      </c>
      <c r="AB383">
        <v>-3.8</v>
      </c>
      <c r="AC383">
        <v>-0.9</v>
      </c>
    </row>
    <row r="384" spans="1:29" x14ac:dyDescent="0.35">
      <c r="A384">
        <v>383</v>
      </c>
      <c r="B384" s="1" t="s">
        <v>453</v>
      </c>
      <c r="C384" s="1" t="s">
        <v>41</v>
      </c>
      <c r="D384">
        <v>25</v>
      </c>
      <c r="E384" s="1" t="s">
        <v>70</v>
      </c>
      <c r="F384">
        <v>67</v>
      </c>
      <c r="G384">
        <v>2266</v>
      </c>
      <c r="H384">
        <v>21.6</v>
      </c>
      <c r="I384">
        <v>0.57199999999999995</v>
      </c>
      <c r="J384">
        <v>0.47499999999999998</v>
      </c>
      <c r="K384">
        <v>0.22700000000000001</v>
      </c>
      <c r="L384">
        <v>2.7</v>
      </c>
      <c r="M384">
        <v>10.6</v>
      </c>
      <c r="N384">
        <v>6.8</v>
      </c>
      <c r="O384">
        <v>27.7</v>
      </c>
      <c r="P384">
        <v>2.2000000000000002</v>
      </c>
      <c r="Q384">
        <v>0.5</v>
      </c>
      <c r="R384">
        <v>11.7</v>
      </c>
      <c r="S384">
        <v>32.9</v>
      </c>
      <c r="T384" s="1" t="s">
        <v>707</v>
      </c>
      <c r="U384">
        <v>4.7</v>
      </c>
      <c r="V384">
        <v>2.5</v>
      </c>
      <c r="W384">
        <v>7.2</v>
      </c>
      <c r="X384">
        <v>0.152</v>
      </c>
      <c r="Y384" s="1" t="s">
        <v>707</v>
      </c>
      <c r="Z384">
        <v>4.5999999999999996</v>
      </c>
      <c r="AA384">
        <v>-0.3</v>
      </c>
      <c r="AB384">
        <v>4.3</v>
      </c>
      <c r="AC384">
        <v>3.6</v>
      </c>
    </row>
    <row r="385" spans="1:29" x14ac:dyDescent="0.35">
      <c r="A385">
        <v>384</v>
      </c>
      <c r="B385" s="1" t="s">
        <v>454</v>
      </c>
      <c r="C385" s="1" t="s">
        <v>28</v>
      </c>
      <c r="D385">
        <v>20</v>
      </c>
      <c r="E385" s="1" t="s">
        <v>46</v>
      </c>
      <c r="F385">
        <v>69</v>
      </c>
      <c r="G385">
        <v>2331</v>
      </c>
      <c r="H385">
        <v>16.100000000000001</v>
      </c>
      <c r="I385">
        <v>0.54900000000000004</v>
      </c>
      <c r="J385">
        <v>0.111</v>
      </c>
      <c r="K385">
        <v>0.30399999999999999</v>
      </c>
      <c r="L385">
        <v>6.9</v>
      </c>
      <c r="M385">
        <v>19.8</v>
      </c>
      <c r="N385">
        <v>13.5</v>
      </c>
      <c r="O385">
        <v>11.6</v>
      </c>
      <c r="P385">
        <v>1.2</v>
      </c>
      <c r="Q385">
        <v>4.4000000000000004</v>
      </c>
      <c r="R385">
        <v>12.4</v>
      </c>
      <c r="S385">
        <v>20.399999999999999</v>
      </c>
      <c r="T385" s="1" t="s">
        <v>707</v>
      </c>
      <c r="U385">
        <v>1.5</v>
      </c>
      <c r="V385">
        <v>3.7</v>
      </c>
      <c r="W385">
        <v>5.2</v>
      </c>
      <c r="X385">
        <v>0.107</v>
      </c>
      <c r="Y385" s="1" t="s">
        <v>707</v>
      </c>
      <c r="Z385">
        <v>-0.9</v>
      </c>
      <c r="AA385">
        <v>1.5</v>
      </c>
      <c r="AB385">
        <v>0.6</v>
      </c>
      <c r="AC385">
        <v>1.5</v>
      </c>
    </row>
    <row r="386" spans="1:29" x14ac:dyDescent="0.35">
      <c r="A386">
        <v>385</v>
      </c>
      <c r="B386" s="1" t="s">
        <v>455</v>
      </c>
      <c r="C386" s="1" t="s">
        <v>41</v>
      </c>
      <c r="D386">
        <v>23</v>
      </c>
      <c r="E386" s="1" t="s">
        <v>56</v>
      </c>
      <c r="F386">
        <v>76</v>
      </c>
      <c r="G386">
        <v>2139</v>
      </c>
      <c r="H386">
        <v>14.4</v>
      </c>
      <c r="I386">
        <v>0.59699999999999998</v>
      </c>
      <c r="J386">
        <v>0.53500000000000003</v>
      </c>
      <c r="K386">
        <v>0.14199999999999999</v>
      </c>
      <c r="L386">
        <v>1.9</v>
      </c>
      <c r="M386">
        <v>11</v>
      </c>
      <c r="N386">
        <v>6.4</v>
      </c>
      <c r="O386">
        <v>15.2</v>
      </c>
      <c r="P386">
        <v>1.4</v>
      </c>
      <c r="Q386">
        <v>1.2</v>
      </c>
      <c r="R386">
        <v>12.2</v>
      </c>
      <c r="S386">
        <v>20.100000000000001</v>
      </c>
      <c r="T386" s="1" t="s">
        <v>707</v>
      </c>
      <c r="U386">
        <v>2.2999999999999998</v>
      </c>
      <c r="V386">
        <v>1.4</v>
      </c>
      <c r="W386">
        <v>3.6</v>
      </c>
      <c r="X386">
        <v>8.1000000000000003E-2</v>
      </c>
      <c r="Y386" s="1" t="s">
        <v>707</v>
      </c>
      <c r="Z386">
        <v>0.5</v>
      </c>
      <c r="AA386">
        <v>-1</v>
      </c>
      <c r="AB386">
        <v>-0.5</v>
      </c>
      <c r="AC386">
        <v>0.8</v>
      </c>
    </row>
    <row r="387" spans="1:29" x14ac:dyDescent="0.35">
      <c r="A387">
        <v>386</v>
      </c>
      <c r="B387" s="1" t="s">
        <v>456</v>
      </c>
      <c r="C387" s="1" t="s">
        <v>31</v>
      </c>
      <c r="D387">
        <v>31</v>
      </c>
      <c r="E387" s="1" t="s">
        <v>42</v>
      </c>
      <c r="F387">
        <v>14</v>
      </c>
      <c r="G387">
        <v>195</v>
      </c>
      <c r="H387">
        <v>19.5</v>
      </c>
      <c r="I387">
        <v>0.56599999999999995</v>
      </c>
      <c r="J387">
        <v>0</v>
      </c>
      <c r="K387">
        <v>0.40400000000000003</v>
      </c>
      <c r="L387">
        <v>16.899999999999999</v>
      </c>
      <c r="M387">
        <v>18.8</v>
      </c>
      <c r="N387">
        <v>17.7</v>
      </c>
      <c r="O387">
        <v>16.2</v>
      </c>
      <c r="P387">
        <v>2</v>
      </c>
      <c r="Q387">
        <v>4.8</v>
      </c>
      <c r="R387">
        <v>15.2</v>
      </c>
      <c r="S387">
        <v>17.3</v>
      </c>
      <c r="T387" s="1" t="s">
        <v>707</v>
      </c>
      <c r="U387">
        <v>0.4</v>
      </c>
      <c r="V387">
        <v>0.3</v>
      </c>
      <c r="W387">
        <v>0.7</v>
      </c>
      <c r="X387">
        <v>0.16900000000000001</v>
      </c>
      <c r="Y387" s="1" t="s">
        <v>707</v>
      </c>
      <c r="Z387">
        <v>-0.3</v>
      </c>
      <c r="AA387">
        <v>0.7</v>
      </c>
      <c r="AB387">
        <v>0.4</v>
      </c>
      <c r="AC387">
        <v>0.1</v>
      </c>
    </row>
    <row r="388" spans="1:29" x14ac:dyDescent="0.35">
      <c r="A388">
        <v>387</v>
      </c>
      <c r="B388" s="1" t="s">
        <v>457</v>
      </c>
      <c r="C388" s="1" t="s">
        <v>41</v>
      </c>
      <c r="D388">
        <v>19</v>
      </c>
      <c r="E388" s="1" t="s">
        <v>111</v>
      </c>
      <c r="F388">
        <v>52</v>
      </c>
      <c r="G388">
        <v>607</v>
      </c>
      <c r="H388">
        <v>10.5</v>
      </c>
      <c r="I388">
        <v>0.57299999999999995</v>
      </c>
      <c r="J388">
        <v>0.60099999999999998</v>
      </c>
      <c r="K388">
        <v>0.19700000000000001</v>
      </c>
      <c r="L388">
        <v>3.2</v>
      </c>
      <c r="M388">
        <v>11</v>
      </c>
      <c r="N388">
        <v>7.2</v>
      </c>
      <c r="O388">
        <v>5.3</v>
      </c>
      <c r="P388">
        <v>0.6</v>
      </c>
      <c r="Q388">
        <v>1.6</v>
      </c>
      <c r="R388">
        <v>6.1</v>
      </c>
      <c r="S388">
        <v>15.2</v>
      </c>
      <c r="T388" s="1" t="s">
        <v>707</v>
      </c>
      <c r="U388">
        <v>0.6</v>
      </c>
      <c r="V388">
        <v>0.7</v>
      </c>
      <c r="W388">
        <v>1.3</v>
      </c>
      <c r="X388">
        <v>0.10100000000000001</v>
      </c>
      <c r="Y388" s="1" t="s">
        <v>707</v>
      </c>
      <c r="Z388">
        <v>-1.4</v>
      </c>
      <c r="AA388">
        <v>-1.1000000000000001</v>
      </c>
      <c r="AB388">
        <v>-2.5</v>
      </c>
      <c r="AC388">
        <v>-0.1</v>
      </c>
    </row>
    <row r="389" spans="1:29" x14ac:dyDescent="0.35">
      <c r="A389">
        <v>388</v>
      </c>
      <c r="B389" s="1" t="s">
        <v>458</v>
      </c>
      <c r="C389" s="1" t="s">
        <v>41</v>
      </c>
      <c r="D389">
        <v>27</v>
      </c>
      <c r="E389" s="1" t="s">
        <v>93</v>
      </c>
      <c r="F389">
        <v>10</v>
      </c>
      <c r="G389">
        <v>137</v>
      </c>
      <c r="H389">
        <v>16.2</v>
      </c>
      <c r="I389">
        <v>0.54500000000000004</v>
      </c>
      <c r="J389">
        <v>0.27500000000000002</v>
      </c>
      <c r="K389">
        <v>9.8000000000000004E-2</v>
      </c>
      <c r="L389">
        <v>1.6</v>
      </c>
      <c r="M389">
        <v>9</v>
      </c>
      <c r="N389">
        <v>5.4</v>
      </c>
      <c r="O389">
        <v>27</v>
      </c>
      <c r="P389">
        <v>2.5</v>
      </c>
      <c r="Q389">
        <v>1.9</v>
      </c>
      <c r="R389">
        <v>10.1</v>
      </c>
      <c r="S389">
        <v>19</v>
      </c>
      <c r="T389" s="1" t="s">
        <v>707</v>
      </c>
      <c r="U389">
        <v>0.2</v>
      </c>
      <c r="V389">
        <v>0.2</v>
      </c>
      <c r="W389">
        <v>0.3</v>
      </c>
      <c r="X389">
        <v>0.121</v>
      </c>
      <c r="Y389" s="1" t="s">
        <v>707</v>
      </c>
      <c r="Z389">
        <v>-1.1000000000000001</v>
      </c>
      <c r="AA389">
        <v>1</v>
      </c>
      <c r="AB389">
        <v>-0.1</v>
      </c>
      <c r="AC389">
        <v>0.1</v>
      </c>
    </row>
    <row r="390" spans="1:29" x14ac:dyDescent="0.35">
      <c r="A390">
        <v>389</v>
      </c>
      <c r="B390" s="1" t="s">
        <v>459</v>
      </c>
      <c r="C390" s="1" t="s">
        <v>41</v>
      </c>
      <c r="D390">
        <v>24</v>
      </c>
      <c r="E390" s="1" t="s">
        <v>61</v>
      </c>
      <c r="F390">
        <v>1</v>
      </c>
      <c r="G390">
        <v>2</v>
      </c>
      <c r="H390">
        <v>-20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25</v>
      </c>
      <c r="Q390">
        <v>0</v>
      </c>
      <c r="R390">
        <v>50</v>
      </c>
      <c r="S390">
        <v>43.8</v>
      </c>
      <c r="T390" s="1" t="s">
        <v>707</v>
      </c>
      <c r="U390">
        <v>-0.1</v>
      </c>
      <c r="V390">
        <v>0</v>
      </c>
      <c r="W390">
        <v>0</v>
      </c>
      <c r="X390">
        <v>-0.91500000000000004</v>
      </c>
      <c r="Y390" s="1" t="s">
        <v>707</v>
      </c>
      <c r="Z390">
        <v>-33.9</v>
      </c>
      <c r="AA390">
        <v>11.5</v>
      </c>
      <c r="AB390">
        <v>-22.3</v>
      </c>
      <c r="AC390">
        <v>0</v>
      </c>
    </row>
    <row r="391" spans="1:29" x14ac:dyDescent="0.35">
      <c r="A391">
        <v>390</v>
      </c>
      <c r="B391" s="1" t="s">
        <v>460</v>
      </c>
      <c r="C391" s="1" t="s">
        <v>48</v>
      </c>
      <c r="D391">
        <v>22</v>
      </c>
      <c r="E391" s="1" t="s">
        <v>34</v>
      </c>
      <c r="F391">
        <v>57</v>
      </c>
      <c r="G391">
        <v>1889</v>
      </c>
      <c r="H391">
        <v>24.4</v>
      </c>
      <c r="I391">
        <v>0.57499999999999996</v>
      </c>
      <c r="J391">
        <v>0.218</v>
      </c>
      <c r="K391">
        <v>0.35299999999999998</v>
      </c>
      <c r="L391">
        <v>4.2</v>
      </c>
      <c r="M391">
        <v>14.1</v>
      </c>
      <c r="N391">
        <v>9</v>
      </c>
      <c r="O391">
        <v>34.1</v>
      </c>
      <c r="P391">
        <v>1.7</v>
      </c>
      <c r="Q391">
        <v>1</v>
      </c>
      <c r="R391">
        <v>12.6</v>
      </c>
      <c r="S391">
        <v>33.700000000000003</v>
      </c>
      <c r="T391" s="1" t="s">
        <v>707</v>
      </c>
      <c r="U391">
        <v>4.5999999999999996</v>
      </c>
      <c r="V391">
        <v>2.1</v>
      </c>
      <c r="W391">
        <v>6.7</v>
      </c>
      <c r="X391">
        <v>0.17100000000000001</v>
      </c>
      <c r="Y391" s="1" t="s">
        <v>707</v>
      </c>
      <c r="Z391">
        <v>6.2</v>
      </c>
      <c r="AA391">
        <v>-0.1</v>
      </c>
      <c r="AB391">
        <v>6.1</v>
      </c>
      <c r="AC391">
        <v>3.9</v>
      </c>
    </row>
    <row r="392" spans="1:29" x14ac:dyDescent="0.35">
      <c r="A392">
        <v>391</v>
      </c>
      <c r="B392" s="1" t="s">
        <v>461</v>
      </c>
      <c r="C392" s="1" t="s">
        <v>28</v>
      </c>
      <c r="D392">
        <v>24</v>
      </c>
      <c r="E392" s="1" t="s">
        <v>42</v>
      </c>
      <c r="F392">
        <v>2</v>
      </c>
      <c r="G392">
        <v>31</v>
      </c>
      <c r="H392">
        <v>8.3000000000000007</v>
      </c>
      <c r="I392">
        <v>0.83299999999999996</v>
      </c>
      <c r="J392">
        <v>0.66700000000000004</v>
      </c>
      <c r="K392">
        <v>0</v>
      </c>
      <c r="L392">
        <v>6.6</v>
      </c>
      <c r="M392">
        <v>7.4</v>
      </c>
      <c r="N392">
        <v>7</v>
      </c>
      <c r="O392">
        <v>4.2</v>
      </c>
      <c r="P392">
        <v>0</v>
      </c>
      <c r="Q392">
        <v>0</v>
      </c>
      <c r="R392">
        <v>0</v>
      </c>
      <c r="S392">
        <v>4.0999999999999996</v>
      </c>
      <c r="T392" s="1" t="s">
        <v>707</v>
      </c>
      <c r="U392">
        <v>0.1</v>
      </c>
      <c r="V392">
        <v>0</v>
      </c>
      <c r="W392">
        <v>0.1</v>
      </c>
      <c r="X392">
        <v>0.124</v>
      </c>
      <c r="Y392" s="1" t="s">
        <v>707</v>
      </c>
      <c r="Z392">
        <v>-3.3</v>
      </c>
      <c r="AA392">
        <v>-3.9</v>
      </c>
      <c r="AB392">
        <v>-7.1</v>
      </c>
      <c r="AC392">
        <v>0</v>
      </c>
    </row>
    <row r="393" spans="1:29" x14ac:dyDescent="0.35">
      <c r="A393">
        <v>392</v>
      </c>
      <c r="B393" s="1" t="s">
        <v>462</v>
      </c>
      <c r="C393" s="1" t="s">
        <v>41</v>
      </c>
      <c r="D393">
        <v>26</v>
      </c>
      <c r="E393" s="1" t="s">
        <v>91</v>
      </c>
      <c r="F393">
        <v>3</v>
      </c>
      <c r="G393">
        <v>16</v>
      </c>
      <c r="H393">
        <v>-11.4</v>
      </c>
      <c r="I393">
        <v>0.129</v>
      </c>
      <c r="J393">
        <v>0.33300000000000002</v>
      </c>
      <c r="K393">
        <v>0.66700000000000004</v>
      </c>
      <c r="L393">
        <v>0</v>
      </c>
      <c r="M393">
        <v>13.2</v>
      </c>
      <c r="N393">
        <v>6.6</v>
      </c>
      <c r="O393">
        <v>14</v>
      </c>
      <c r="P393">
        <v>0</v>
      </c>
      <c r="Q393">
        <v>0</v>
      </c>
      <c r="R393">
        <v>11.4</v>
      </c>
      <c r="S393">
        <v>23.1</v>
      </c>
      <c r="T393" s="1" t="s">
        <v>707</v>
      </c>
      <c r="U393">
        <v>-0.1</v>
      </c>
      <c r="V393">
        <v>0</v>
      </c>
      <c r="W393">
        <v>-0.1</v>
      </c>
      <c r="X393">
        <v>-0.376</v>
      </c>
      <c r="Y393" s="1" t="s">
        <v>707</v>
      </c>
      <c r="Z393">
        <v>-15.8</v>
      </c>
      <c r="AA393">
        <v>-5.7</v>
      </c>
      <c r="AB393">
        <v>-21.5</v>
      </c>
      <c r="AC393">
        <v>-0.1</v>
      </c>
    </row>
    <row r="394" spans="1:29" x14ac:dyDescent="0.35">
      <c r="A394">
        <v>393</v>
      </c>
      <c r="B394" s="1" t="s">
        <v>463</v>
      </c>
      <c r="C394" s="1" t="s">
        <v>28</v>
      </c>
      <c r="D394">
        <v>32</v>
      </c>
      <c r="E394" s="1" t="s">
        <v>93</v>
      </c>
      <c r="F394">
        <v>54</v>
      </c>
      <c r="G394">
        <v>1564</v>
      </c>
      <c r="H394">
        <v>13.7</v>
      </c>
      <c r="I394">
        <v>0.54900000000000004</v>
      </c>
      <c r="J394">
        <v>0.39800000000000002</v>
      </c>
      <c r="K394">
        <v>0.214</v>
      </c>
      <c r="L394">
        <v>1.8</v>
      </c>
      <c r="M394">
        <v>14</v>
      </c>
      <c r="N394">
        <v>8.1</v>
      </c>
      <c r="O394">
        <v>11.3</v>
      </c>
      <c r="P394">
        <v>0.9</v>
      </c>
      <c r="Q394">
        <v>1</v>
      </c>
      <c r="R394">
        <v>8.4</v>
      </c>
      <c r="S394">
        <v>23.2</v>
      </c>
      <c r="T394" s="1" t="s">
        <v>707</v>
      </c>
      <c r="U394">
        <v>0.9</v>
      </c>
      <c r="V394">
        <v>1.5</v>
      </c>
      <c r="W394">
        <v>2.4</v>
      </c>
      <c r="X394">
        <v>7.3999999999999996E-2</v>
      </c>
      <c r="Y394" s="1" t="s">
        <v>707</v>
      </c>
      <c r="Z394">
        <v>-0.3</v>
      </c>
      <c r="AA394">
        <v>-1</v>
      </c>
      <c r="AB394">
        <v>-1.4</v>
      </c>
      <c r="AC394">
        <v>0.3</v>
      </c>
    </row>
    <row r="395" spans="1:29" x14ac:dyDescent="0.35">
      <c r="A395">
        <v>394</v>
      </c>
      <c r="B395" s="1" t="s">
        <v>464</v>
      </c>
      <c r="C395" s="1" t="s">
        <v>28</v>
      </c>
      <c r="D395">
        <v>32</v>
      </c>
      <c r="E395" s="1" t="s">
        <v>36</v>
      </c>
      <c r="F395">
        <v>17</v>
      </c>
      <c r="G395">
        <v>298</v>
      </c>
      <c r="H395">
        <v>10.9</v>
      </c>
      <c r="I395">
        <v>0.54700000000000004</v>
      </c>
      <c r="J395">
        <v>0.34200000000000003</v>
      </c>
      <c r="K395">
        <v>7.9000000000000001E-2</v>
      </c>
      <c r="L395">
        <v>6.6</v>
      </c>
      <c r="M395">
        <v>10.5</v>
      </c>
      <c r="N395">
        <v>8.6</v>
      </c>
      <c r="O395">
        <v>12.1</v>
      </c>
      <c r="P395">
        <v>1</v>
      </c>
      <c r="Q395">
        <v>0.4</v>
      </c>
      <c r="R395">
        <v>14.5</v>
      </c>
      <c r="S395">
        <v>20.6</v>
      </c>
      <c r="T395" s="1" t="s">
        <v>707</v>
      </c>
      <c r="U395">
        <v>0</v>
      </c>
      <c r="V395">
        <v>0.3</v>
      </c>
      <c r="W395">
        <v>0.3</v>
      </c>
      <c r="X395">
        <v>5.3999999999999999E-2</v>
      </c>
      <c r="Y395" s="1" t="s">
        <v>707</v>
      </c>
      <c r="Z395">
        <v>-1.5</v>
      </c>
      <c r="AA395">
        <v>-0.4</v>
      </c>
      <c r="AB395">
        <v>-1.9</v>
      </c>
      <c r="AC395">
        <v>0</v>
      </c>
    </row>
    <row r="396" spans="1:29" x14ac:dyDescent="0.35">
      <c r="A396">
        <v>395</v>
      </c>
      <c r="B396" s="1" t="s">
        <v>465</v>
      </c>
      <c r="C396" s="1" t="s">
        <v>48</v>
      </c>
      <c r="D396">
        <v>26</v>
      </c>
      <c r="E396" s="1" t="s">
        <v>86</v>
      </c>
      <c r="F396">
        <v>75</v>
      </c>
      <c r="G396">
        <v>2239</v>
      </c>
      <c r="H396">
        <v>14.7</v>
      </c>
      <c r="I396">
        <v>0.58299999999999996</v>
      </c>
      <c r="J396">
        <v>0.40600000000000003</v>
      </c>
      <c r="K396">
        <v>0.109</v>
      </c>
      <c r="L396">
        <v>1.4</v>
      </c>
      <c r="M396">
        <v>9.6</v>
      </c>
      <c r="N396">
        <v>5.6</v>
      </c>
      <c r="O396">
        <v>21.4</v>
      </c>
      <c r="P396">
        <v>1.2</v>
      </c>
      <c r="Q396">
        <v>0.6</v>
      </c>
      <c r="R396">
        <v>8.8000000000000007</v>
      </c>
      <c r="S396">
        <v>17.399999999999999</v>
      </c>
      <c r="T396" s="1" t="s">
        <v>707</v>
      </c>
      <c r="U396">
        <v>3.9</v>
      </c>
      <c r="V396">
        <v>1.5</v>
      </c>
      <c r="W396">
        <v>5.4</v>
      </c>
      <c r="X396">
        <v>0.11600000000000001</v>
      </c>
      <c r="Y396" s="1" t="s">
        <v>707</v>
      </c>
      <c r="Z396">
        <v>0.8</v>
      </c>
      <c r="AA396">
        <v>-0.8</v>
      </c>
      <c r="AB396">
        <v>0</v>
      </c>
      <c r="AC396">
        <v>1.1000000000000001</v>
      </c>
    </row>
    <row r="397" spans="1:29" x14ac:dyDescent="0.35">
      <c r="A397">
        <v>396</v>
      </c>
      <c r="B397" s="1" t="s">
        <v>466</v>
      </c>
      <c r="C397" s="1" t="s">
        <v>48</v>
      </c>
      <c r="D397">
        <v>25</v>
      </c>
      <c r="E397" s="1" t="s">
        <v>82</v>
      </c>
      <c r="F397">
        <v>2</v>
      </c>
      <c r="G397">
        <v>11</v>
      </c>
      <c r="H397">
        <v>12.3</v>
      </c>
      <c r="I397">
        <v>0.39900000000000002</v>
      </c>
      <c r="J397">
        <v>0</v>
      </c>
      <c r="K397">
        <v>2</v>
      </c>
      <c r="L397">
        <v>0</v>
      </c>
      <c r="M397">
        <v>0</v>
      </c>
      <c r="N397">
        <v>0</v>
      </c>
      <c r="O397">
        <v>43.4</v>
      </c>
      <c r="P397">
        <v>4.4000000000000004</v>
      </c>
      <c r="Q397">
        <v>0</v>
      </c>
      <c r="R397">
        <v>21</v>
      </c>
      <c r="S397">
        <v>18.600000000000001</v>
      </c>
      <c r="T397" s="1" t="s">
        <v>707</v>
      </c>
      <c r="U397">
        <v>0</v>
      </c>
      <c r="V397">
        <v>0</v>
      </c>
      <c r="W397">
        <v>0</v>
      </c>
      <c r="X397">
        <v>2.3E-2</v>
      </c>
      <c r="Y397" s="1" t="s">
        <v>707</v>
      </c>
      <c r="Z397">
        <v>-2.7</v>
      </c>
      <c r="AA397">
        <v>1.5</v>
      </c>
      <c r="AB397">
        <v>-1.2</v>
      </c>
      <c r="AC397">
        <v>0</v>
      </c>
    </row>
    <row r="398" spans="1:29" x14ac:dyDescent="0.35">
      <c r="A398">
        <v>397</v>
      </c>
      <c r="B398" s="1" t="s">
        <v>467</v>
      </c>
      <c r="C398" s="1" t="s">
        <v>48</v>
      </c>
      <c r="D398">
        <v>27</v>
      </c>
      <c r="E398" s="1" t="s">
        <v>42</v>
      </c>
      <c r="F398">
        <v>17</v>
      </c>
      <c r="G398">
        <v>239</v>
      </c>
      <c r="H398">
        <v>3.7</v>
      </c>
      <c r="I398">
        <v>0.438</v>
      </c>
      <c r="J398">
        <v>0.70099999999999996</v>
      </c>
      <c r="K398">
        <v>5.1999999999999998E-2</v>
      </c>
      <c r="L398">
        <v>0.9</v>
      </c>
      <c r="M398">
        <v>9.8000000000000007</v>
      </c>
      <c r="N398">
        <v>5.3</v>
      </c>
      <c r="O398">
        <v>3</v>
      </c>
      <c r="P398">
        <v>0.8</v>
      </c>
      <c r="Q398">
        <v>0.8</v>
      </c>
      <c r="R398">
        <v>9.1999999999999993</v>
      </c>
      <c r="S398">
        <v>15.8</v>
      </c>
      <c r="T398" s="1" t="s">
        <v>707</v>
      </c>
      <c r="U398">
        <v>-0.4</v>
      </c>
      <c r="V398">
        <v>0.1</v>
      </c>
      <c r="W398">
        <v>-0.2</v>
      </c>
      <c r="X398">
        <v>-0.05</v>
      </c>
      <c r="Y398" s="1" t="s">
        <v>707</v>
      </c>
      <c r="Z398">
        <v>-5.9</v>
      </c>
      <c r="AA398">
        <v>-1.8</v>
      </c>
      <c r="AB398">
        <v>-7.7</v>
      </c>
      <c r="AC398">
        <v>-0.3</v>
      </c>
    </row>
    <row r="399" spans="1:29" x14ac:dyDescent="0.35">
      <c r="A399">
        <v>398</v>
      </c>
      <c r="B399" s="1" t="s">
        <v>468</v>
      </c>
      <c r="C399" s="1" t="s">
        <v>41</v>
      </c>
      <c r="D399">
        <v>24</v>
      </c>
      <c r="E399" s="1" t="s">
        <v>82</v>
      </c>
      <c r="F399">
        <v>1</v>
      </c>
      <c r="G399">
        <v>1</v>
      </c>
      <c r="H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S399">
        <v>0</v>
      </c>
      <c r="T399" s="1" t="s">
        <v>707</v>
      </c>
      <c r="U399">
        <v>0</v>
      </c>
      <c r="V399">
        <v>0</v>
      </c>
      <c r="W399">
        <v>0</v>
      </c>
      <c r="X399">
        <v>-1.7000000000000001E-2</v>
      </c>
      <c r="Y399" s="1" t="s">
        <v>707</v>
      </c>
      <c r="Z399">
        <v>-7.4</v>
      </c>
      <c r="AA399">
        <v>-2.2999999999999998</v>
      </c>
      <c r="AB399">
        <v>-9.6999999999999993</v>
      </c>
      <c r="AC399">
        <v>0</v>
      </c>
    </row>
    <row r="400" spans="1:29" x14ac:dyDescent="0.35">
      <c r="A400">
        <v>399</v>
      </c>
      <c r="B400" s="1" t="s">
        <v>469</v>
      </c>
      <c r="C400" s="1" t="s">
        <v>51</v>
      </c>
      <c r="D400">
        <v>21</v>
      </c>
      <c r="E400" s="1" t="s">
        <v>49</v>
      </c>
      <c r="F400">
        <v>62</v>
      </c>
      <c r="G400">
        <v>864</v>
      </c>
      <c r="H400">
        <v>12.5</v>
      </c>
      <c r="I400">
        <v>0.55800000000000005</v>
      </c>
      <c r="J400">
        <v>0.67100000000000004</v>
      </c>
      <c r="K400">
        <v>0.184</v>
      </c>
      <c r="L400">
        <v>5.9</v>
      </c>
      <c r="M400">
        <v>13.1</v>
      </c>
      <c r="N400">
        <v>9.4</v>
      </c>
      <c r="O400">
        <v>6.2</v>
      </c>
      <c r="P400">
        <v>1.3</v>
      </c>
      <c r="Q400">
        <v>0.8</v>
      </c>
      <c r="R400">
        <v>5.0999999999999996</v>
      </c>
      <c r="S400">
        <v>15.7</v>
      </c>
      <c r="T400" s="1" t="s">
        <v>707</v>
      </c>
      <c r="U400">
        <v>1.3</v>
      </c>
      <c r="V400">
        <v>0.6</v>
      </c>
      <c r="W400">
        <v>1.9</v>
      </c>
      <c r="X400">
        <v>0.104</v>
      </c>
      <c r="Y400" s="1" t="s">
        <v>707</v>
      </c>
      <c r="Z400">
        <v>0.2</v>
      </c>
      <c r="AA400">
        <v>-1.4</v>
      </c>
      <c r="AB400">
        <v>-1.2</v>
      </c>
      <c r="AC400">
        <v>0.2</v>
      </c>
    </row>
    <row r="401" spans="1:29" x14ac:dyDescent="0.35">
      <c r="A401">
        <v>400</v>
      </c>
      <c r="B401" s="1" t="s">
        <v>470</v>
      </c>
      <c r="C401" s="1" t="s">
        <v>48</v>
      </c>
      <c r="D401">
        <v>25</v>
      </c>
      <c r="E401" s="1" t="s">
        <v>91</v>
      </c>
      <c r="F401">
        <v>68</v>
      </c>
      <c r="G401">
        <v>2366</v>
      </c>
      <c r="H401">
        <v>22.3</v>
      </c>
      <c r="I401">
        <v>0.53300000000000003</v>
      </c>
      <c r="J401">
        <v>0.23699999999999999</v>
      </c>
      <c r="K401">
        <v>0.19900000000000001</v>
      </c>
      <c r="L401">
        <v>3.5</v>
      </c>
      <c r="M401">
        <v>21.6</v>
      </c>
      <c r="N401">
        <v>12.5</v>
      </c>
      <c r="O401">
        <v>40.6</v>
      </c>
      <c r="P401">
        <v>2.8</v>
      </c>
      <c r="Q401">
        <v>0.8</v>
      </c>
      <c r="R401">
        <v>11.8</v>
      </c>
      <c r="S401">
        <v>27.3</v>
      </c>
      <c r="T401" s="1" t="s">
        <v>707</v>
      </c>
      <c r="U401">
        <v>3.9</v>
      </c>
      <c r="V401">
        <v>3.4</v>
      </c>
      <c r="W401">
        <v>7.3</v>
      </c>
      <c r="X401">
        <v>0.14899999999999999</v>
      </c>
      <c r="Y401" s="1" t="s">
        <v>707</v>
      </c>
      <c r="Z401">
        <v>3.7</v>
      </c>
      <c r="AA401">
        <v>1.7</v>
      </c>
      <c r="AB401">
        <v>5.4</v>
      </c>
      <c r="AC401">
        <v>4.4000000000000004</v>
      </c>
    </row>
    <row r="402" spans="1:29" x14ac:dyDescent="0.35">
      <c r="A402">
        <v>401</v>
      </c>
      <c r="B402" s="1" t="s">
        <v>471</v>
      </c>
      <c r="C402" s="1" t="s">
        <v>31</v>
      </c>
      <c r="D402">
        <v>30</v>
      </c>
      <c r="E402" s="1" t="s">
        <v>96</v>
      </c>
      <c r="F402">
        <v>43</v>
      </c>
      <c r="G402">
        <v>592</v>
      </c>
      <c r="H402">
        <v>19.7</v>
      </c>
      <c r="I402">
        <v>0.63</v>
      </c>
      <c r="J402">
        <v>0.65700000000000003</v>
      </c>
      <c r="K402">
        <v>0.23</v>
      </c>
      <c r="L402">
        <v>3.6</v>
      </c>
      <c r="M402">
        <v>19.100000000000001</v>
      </c>
      <c r="N402">
        <v>11.2</v>
      </c>
      <c r="O402">
        <v>6.2</v>
      </c>
      <c r="P402">
        <v>1.5</v>
      </c>
      <c r="Q402">
        <v>4.0999999999999996</v>
      </c>
      <c r="R402">
        <v>4.9000000000000004</v>
      </c>
      <c r="S402">
        <v>20.9</v>
      </c>
      <c r="T402" s="1" t="s">
        <v>707</v>
      </c>
      <c r="U402">
        <v>1.4</v>
      </c>
      <c r="V402">
        <v>0.7</v>
      </c>
      <c r="W402">
        <v>2.1</v>
      </c>
      <c r="X402">
        <v>0.17</v>
      </c>
      <c r="Y402" s="1" t="s">
        <v>707</v>
      </c>
      <c r="Z402">
        <v>3.8</v>
      </c>
      <c r="AA402">
        <v>1.2</v>
      </c>
      <c r="AB402">
        <v>5</v>
      </c>
      <c r="AC402">
        <v>1.1000000000000001</v>
      </c>
    </row>
    <row r="403" spans="1:29" x14ac:dyDescent="0.35">
      <c r="A403">
        <v>402</v>
      </c>
      <c r="B403" s="1" t="s">
        <v>472</v>
      </c>
      <c r="C403" s="1" t="s">
        <v>51</v>
      </c>
      <c r="D403">
        <v>24</v>
      </c>
      <c r="E403" s="1" t="s">
        <v>32</v>
      </c>
      <c r="F403">
        <v>56</v>
      </c>
      <c r="G403">
        <v>716</v>
      </c>
      <c r="H403">
        <v>9.6</v>
      </c>
      <c r="I403">
        <v>0.50900000000000001</v>
      </c>
      <c r="J403">
        <v>0.57299999999999995</v>
      </c>
      <c r="K403">
        <v>0.158</v>
      </c>
      <c r="L403">
        <v>2.9</v>
      </c>
      <c r="M403">
        <v>11.5</v>
      </c>
      <c r="N403">
        <v>7</v>
      </c>
      <c r="O403">
        <v>8.8000000000000007</v>
      </c>
      <c r="P403">
        <v>1.8</v>
      </c>
      <c r="Q403">
        <v>0.5</v>
      </c>
      <c r="R403">
        <v>11.3</v>
      </c>
      <c r="S403">
        <v>16.899999999999999</v>
      </c>
      <c r="T403" s="1" t="s">
        <v>707</v>
      </c>
      <c r="U403">
        <v>0.1</v>
      </c>
      <c r="V403">
        <v>0.7</v>
      </c>
      <c r="W403">
        <v>0.8</v>
      </c>
      <c r="X403">
        <v>5.1999999999999998E-2</v>
      </c>
      <c r="Y403" s="1" t="s">
        <v>707</v>
      </c>
      <c r="Z403">
        <v>-2.7</v>
      </c>
      <c r="AA403">
        <v>-0.2</v>
      </c>
      <c r="AB403">
        <v>-2.9</v>
      </c>
      <c r="AC403">
        <v>-0.2</v>
      </c>
    </row>
    <row r="404" spans="1:29" x14ac:dyDescent="0.35">
      <c r="A404">
        <v>403</v>
      </c>
      <c r="B404" s="1" t="s">
        <v>473</v>
      </c>
      <c r="C404" s="1" t="s">
        <v>51</v>
      </c>
      <c r="D404">
        <v>28</v>
      </c>
      <c r="E404" s="1" t="s">
        <v>68</v>
      </c>
      <c r="F404">
        <v>14</v>
      </c>
      <c r="G404">
        <v>145</v>
      </c>
      <c r="H404">
        <v>4.9000000000000004</v>
      </c>
      <c r="I404">
        <v>0.43099999999999999</v>
      </c>
      <c r="J404">
        <v>0.4</v>
      </c>
      <c r="K404">
        <v>0.28599999999999998</v>
      </c>
      <c r="L404">
        <v>3</v>
      </c>
      <c r="M404">
        <v>16.600000000000001</v>
      </c>
      <c r="N404">
        <v>10</v>
      </c>
      <c r="O404">
        <v>5.9</v>
      </c>
      <c r="P404">
        <v>2.7</v>
      </c>
      <c r="Q404">
        <v>2.5</v>
      </c>
      <c r="R404">
        <v>21.8</v>
      </c>
      <c r="S404">
        <v>15</v>
      </c>
      <c r="T404" s="1" t="s">
        <v>707</v>
      </c>
      <c r="U404">
        <v>-0.3</v>
      </c>
      <c r="V404">
        <v>0.3</v>
      </c>
      <c r="W404">
        <v>0</v>
      </c>
      <c r="X404">
        <v>-8.9999999999999993E-3</v>
      </c>
      <c r="Y404" s="1" t="s">
        <v>707</v>
      </c>
      <c r="Z404">
        <v>-7.1</v>
      </c>
      <c r="AA404">
        <v>2.2000000000000002</v>
      </c>
      <c r="AB404">
        <v>-5</v>
      </c>
      <c r="AC404">
        <v>-0.1</v>
      </c>
    </row>
    <row r="405" spans="1:29" x14ac:dyDescent="0.35">
      <c r="A405">
        <v>404</v>
      </c>
      <c r="B405" s="1" t="s">
        <v>474</v>
      </c>
      <c r="C405" s="1" t="s">
        <v>28</v>
      </c>
      <c r="D405">
        <v>29</v>
      </c>
      <c r="E405" s="1" t="s">
        <v>42</v>
      </c>
      <c r="F405">
        <v>46</v>
      </c>
      <c r="G405">
        <v>1040</v>
      </c>
      <c r="H405">
        <v>14.4</v>
      </c>
      <c r="I405">
        <v>0.59</v>
      </c>
      <c r="J405">
        <v>0.28299999999999997</v>
      </c>
      <c r="K405">
        <v>0.23100000000000001</v>
      </c>
      <c r="L405">
        <v>7.4</v>
      </c>
      <c r="M405">
        <v>19.3</v>
      </c>
      <c r="N405">
        <v>13.1</v>
      </c>
      <c r="O405">
        <v>11.4</v>
      </c>
      <c r="P405">
        <v>2</v>
      </c>
      <c r="Q405">
        <v>1.9</v>
      </c>
      <c r="R405">
        <v>12</v>
      </c>
      <c r="S405">
        <v>12.8</v>
      </c>
      <c r="T405" s="1" t="s">
        <v>707</v>
      </c>
      <c r="U405">
        <v>1.5</v>
      </c>
      <c r="V405">
        <v>0.8</v>
      </c>
      <c r="W405">
        <v>2.2999999999999998</v>
      </c>
      <c r="X405">
        <v>0.104</v>
      </c>
      <c r="Y405" s="1" t="s">
        <v>707</v>
      </c>
      <c r="Z405">
        <v>-0.5</v>
      </c>
      <c r="AA405">
        <v>0.4</v>
      </c>
      <c r="AB405">
        <v>-0.1</v>
      </c>
      <c r="AC405">
        <v>0.5</v>
      </c>
    </row>
    <row r="406" spans="1:29" x14ac:dyDescent="0.35">
      <c r="A406">
        <v>405</v>
      </c>
      <c r="B406" s="1" t="s">
        <v>475</v>
      </c>
      <c r="C406" s="1" t="s">
        <v>41</v>
      </c>
      <c r="D406">
        <v>22</v>
      </c>
      <c r="E406" s="1" t="s">
        <v>46</v>
      </c>
      <c r="F406">
        <v>14</v>
      </c>
      <c r="G406">
        <v>63</v>
      </c>
      <c r="H406">
        <v>8</v>
      </c>
      <c r="I406">
        <v>0.38</v>
      </c>
      <c r="J406">
        <v>0.111</v>
      </c>
      <c r="K406">
        <v>0.222</v>
      </c>
      <c r="L406">
        <v>5.4</v>
      </c>
      <c r="M406">
        <v>6.9</v>
      </c>
      <c r="N406">
        <v>6.1</v>
      </c>
      <c r="O406">
        <v>26.1</v>
      </c>
      <c r="P406">
        <v>0.8</v>
      </c>
      <c r="Q406">
        <v>0</v>
      </c>
      <c r="R406">
        <v>13.2</v>
      </c>
      <c r="S406">
        <v>16</v>
      </c>
      <c r="T406" s="1" t="s">
        <v>707</v>
      </c>
      <c r="U406">
        <v>0</v>
      </c>
      <c r="V406">
        <v>0</v>
      </c>
      <c r="W406">
        <v>0</v>
      </c>
      <c r="X406">
        <v>0.01</v>
      </c>
      <c r="Y406" s="1" t="s">
        <v>707</v>
      </c>
      <c r="Z406">
        <v>-4.4000000000000004</v>
      </c>
      <c r="AA406">
        <v>-1.5</v>
      </c>
      <c r="AB406">
        <v>-5.9</v>
      </c>
      <c r="AC406">
        <v>-0.1</v>
      </c>
    </row>
    <row r="407" spans="1:29" x14ac:dyDescent="0.35">
      <c r="A407">
        <v>406</v>
      </c>
      <c r="B407" s="1" t="s">
        <v>476</v>
      </c>
      <c r="C407" s="1" t="s">
        <v>51</v>
      </c>
      <c r="D407">
        <v>22</v>
      </c>
      <c r="E407" s="1" t="s">
        <v>140</v>
      </c>
      <c r="F407">
        <v>52</v>
      </c>
      <c r="G407">
        <v>574</v>
      </c>
      <c r="H407">
        <v>7.3</v>
      </c>
      <c r="I407">
        <v>0.50700000000000001</v>
      </c>
      <c r="J407">
        <v>0.63200000000000001</v>
      </c>
      <c r="K407">
        <v>0.14299999999999999</v>
      </c>
      <c r="L407">
        <v>2.9</v>
      </c>
      <c r="M407">
        <v>13.6</v>
      </c>
      <c r="N407">
        <v>8.4</v>
      </c>
      <c r="O407">
        <v>5.4</v>
      </c>
      <c r="P407">
        <v>1.7</v>
      </c>
      <c r="Q407">
        <v>0.8</v>
      </c>
      <c r="R407">
        <v>13.8</v>
      </c>
      <c r="S407">
        <v>17.2</v>
      </c>
      <c r="T407" s="1" t="s">
        <v>707</v>
      </c>
      <c r="U407">
        <v>-0.4</v>
      </c>
      <c r="V407">
        <v>0.9</v>
      </c>
      <c r="W407">
        <v>0.4</v>
      </c>
      <c r="X407">
        <v>3.7999999999999999E-2</v>
      </c>
      <c r="Y407" s="1" t="s">
        <v>707</v>
      </c>
      <c r="Z407">
        <v>-4.9000000000000004</v>
      </c>
      <c r="AA407">
        <v>0.7</v>
      </c>
      <c r="AB407">
        <v>-4.3</v>
      </c>
      <c r="AC407">
        <v>-0.3</v>
      </c>
    </row>
    <row r="408" spans="1:29" x14ac:dyDescent="0.35">
      <c r="A408">
        <v>407</v>
      </c>
      <c r="B408" s="1" t="s">
        <v>477</v>
      </c>
      <c r="C408" s="1" t="s">
        <v>48</v>
      </c>
      <c r="D408">
        <v>29</v>
      </c>
      <c r="E408" s="1" t="s">
        <v>65</v>
      </c>
      <c r="F408">
        <v>70</v>
      </c>
      <c r="G408">
        <v>1372</v>
      </c>
      <c r="H408">
        <v>12.4</v>
      </c>
      <c r="I408">
        <v>0.53800000000000003</v>
      </c>
      <c r="J408">
        <v>0.27200000000000002</v>
      </c>
      <c r="K408">
        <v>0.245</v>
      </c>
      <c r="L408">
        <v>1.1000000000000001</v>
      </c>
      <c r="M408">
        <v>9.6</v>
      </c>
      <c r="N408">
        <v>5.4</v>
      </c>
      <c r="O408">
        <v>22.9</v>
      </c>
      <c r="P408">
        <v>2</v>
      </c>
      <c r="Q408">
        <v>0.2</v>
      </c>
      <c r="R408">
        <v>13.9</v>
      </c>
      <c r="S408">
        <v>18.399999999999999</v>
      </c>
      <c r="T408" s="1" t="s">
        <v>707</v>
      </c>
      <c r="U408">
        <v>0.7</v>
      </c>
      <c r="V408">
        <v>0.8</v>
      </c>
      <c r="W408">
        <v>1.5</v>
      </c>
      <c r="X408">
        <v>5.2999999999999999E-2</v>
      </c>
      <c r="Y408" s="1" t="s">
        <v>707</v>
      </c>
      <c r="Z408">
        <v>-2.5</v>
      </c>
      <c r="AA408">
        <v>-0.5</v>
      </c>
      <c r="AB408">
        <v>-3</v>
      </c>
      <c r="AC408">
        <v>-0.4</v>
      </c>
    </row>
    <row r="409" spans="1:29" x14ac:dyDescent="0.35">
      <c r="A409">
        <v>408</v>
      </c>
      <c r="B409" s="1" t="s">
        <v>478</v>
      </c>
      <c r="C409" s="1" t="s">
        <v>48</v>
      </c>
      <c r="D409">
        <v>24</v>
      </c>
      <c r="E409" s="1" t="s">
        <v>46</v>
      </c>
      <c r="F409">
        <v>1</v>
      </c>
      <c r="G409">
        <v>8</v>
      </c>
      <c r="H409">
        <v>28.6</v>
      </c>
      <c r="I409">
        <v>0.68</v>
      </c>
      <c r="J409">
        <v>0.2</v>
      </c>
      <c r="K409">
        <v>0.4</v>
      </c>
      <c r="L409">
        <v>0</v>
      </c>
      <c r="M409">
        <v>13.5</v>
      </c>
      <c r="N409">
        <v>6.9</v>
      </c>
      <c r="O409">
        <v>27.8</v>
      </c>
      <c r="P409">
        <v>0</v>
      </c>
      <c r="Q409">
        <v>0</v>
      </c>
      <c r="R409">
        <v>14.5</v>
      </c>
      <c r="S409">
        <v>38.1</v>
      </c>
      <c r="T409" s="1" t="s">
        <v>707</v>
      </c>
      <c r="U409">
        <v>0</v>
      </c>
      <c r="V409">
        <v>0</v>
      </c>
      <c r="W409">
        <v>0</v>
      </c>
      <c r="X409">
        <v>0.17899999999999999</v>
      </c>
      <c r="Y409" s="1" t="s">
        <v>707</v>
      </c>
      <c r="Z409">
        <v>6.3</v>
      </c>
      <c r="AA409">
        <v>0.1</v>
      </c>
      <c r="AB409">
        <v>6.4</v>
      </c>
      <c r="AC409">
        <v>0</v>
      </c>
    </row>
    <row r="410" spans="1:29" x14ac:dyDescent="0.35">
      <c r="A410">
        <v>409</v>
      </c>
      <c r="B410" s="1" t="s">
        <v>479</v>
      </c>
      <c r="C410" s="1" t="s">
        <v>28</v>
      </c>
      <c r="D410">
        <v>28</v>
      </c>
      <c r="E410" s="1" t="s">
        <v>89</v>
      </c>
      <c r="F410">
        <v>76</v>
      </c>
      <c r="G410">
        <v>1736</v>
      </c>
      <c r="H410">
        <v>10.7</v>
      </c>
      <c r="I410">
        <v>0.59399999999999997</v>
      </c>
      <c r="J410">
        <v>0.68700000000000006</v>
      </c>
      <c r="K410">
        <v>0.105</v>
      </c>
      <c r="L410">
        <v>1.6</v>
      </c>
      <c r="M410">
        <v>11.3</v>
      </c>
      <c r="N410">
        <v>6.5</v>
      </c>
      <c r="O410">
        <v>8.6999999999999993</v>
      </c>
      <c r="P410">
        <v>0.9</v>
      </c>
      <c r="Q410">
        <v>0.7</v>
      </c>
      <c r="R410">
        <v>9.1</v>
      </c>
      <c r="S410">
        <v>16.8</v>
      </c>
      <c r="T410" s="1" t="s">
        <v>707</v>
      </c>
      <c r="U410">
        <v>1.5</v>
      </c>
      <c r="V410">
        <v>1.3</v>
      </c>
      <c r="W410">
        <v>2.8</v>
      </c>
      <c r="X410">
        <v>7.6999999999999999E-2</v>
      </c>
      <c r="Y410" s="1" t="s">
        <v>707</v>
      </c>
      <c r="Z410">
        <v>-0.8</v>
      </c>
      <c r="AA410">
        <v>-1.1000000000000001</v>
      </c>
      <c r="AB410">
        <v>-1.9</v>
      </c>
      <c r="AC410">
        <v>0</v>
      </c>
    </row>
    <row r="411" spans="1:29" x14ac:dyDescent="0.35">
      <c r="A411">
        <v>410</v>
      </c>
      <c r="B411" s="1" t="s">
        <v>480</v>
      </c>
      <c r="C411" s="1" t="s">
        <v>41</v>
      </c>
      <c r="D411">
        <v>19</v>
      </c>
      <c r="E411" s="1" t="s">
        <v>170</v>
      </c>
      <c r="F411">
        <v>24</v>
      </c>
      <c r="G411">
        <v>261</v>
      </c>
      <c r="H411">
        <v>8.1</v>
      </c>
      <c r="I411">
        <v>0.48</v>
      </c>
      <c r="J411">
        <v>0.38800000000000001</v>
      </c>
      <c r="K411">
        <v>0.44800000000000001</v>
      </c>
      <c r="L411">
        <v>2.9</v>
      </c>
      <c r="M411">
        <v>11</v>
      </c>
      <c r="N411">
        <v>6.9</v>
      </c>
      <c r="O411">
        <v>21.5</v>
      </c>
      <c r="P411">
        <v>2.7</v>
      </c>
      <c r="Q411">
        <v>0</v>
      </c>
      <c r="R411">
        <v>24.5</v>
      </c>
      <c r="S411">
        <v>17.3</v>
      </c>
      <c r="T411" s="1" t="s">
        <v>707</v>
      </c>
      <c r="U411">
        <v>-0.3</v>
      </c>
      <c r="V411">
        <v>0.1</v>
      </c>
      <c r="W411">
        <v>-0.2</v>
      </c>
      <c r="X411">
        <v>-3.3000000000000002E-2</v>
      </c>
      <c r="Y411" s="1" t="s">
        <v>707</v>
      </c>
      <c r="Z411">
        <v>-5.4</v>
      </c>
      <c r="AA411">
        <v>-1</v>
      </c>
      <c r="AB411">
        <v>-6.4</v>
      </c>
      <c r="AC411">
        <v>-0.3</v>
      </c>
    </row>
    <row r="412" spans="1:29" x14ac:dyDescent="0.35">
      <c r="A412">
        <v>411</v>
      </c>
      <c r="B412" s="1" t="s">
        <v>481</v>
      </c>
      <c r="C412" s="1" t="s">
        <v>28</v>
      </c>
      <c r="D412">
        <v>21</v>
      </c>
      <c r="E412" s="1" t="s">
        <v>86</v>
      </c>
      <c r="F412">
        <v>41</v>
      </c>
      <c r="G412">
        <v>698</v>
      </c>
      <c r="H412">
        <v>13.5</v>
      </c>
      <c r="I412">
        <v>0.629</v>
      </c>
      <c r="J412">
        <v>0.43</v>
      </c>
      <c r="K412">
        <v>0.34899999999999998</v>
      </c>
      <c r="L412">
        <v>9.3000000000000007</v>
      </c>
      <c r="M412">
        <v>14.1</v>
      </c>
      <c r="N412">
        <v>11.8</v>
      </c>
      <c r="O412">
        <v>3.4</v>
      </c>
      <c r="P412">
        <v>1.1000000000000001</v>
      </c>
      <c r="Q412">
        <v>1.7</v>
      </c>
      <c r="R412">
        <v>9.6999999999999993</v>
      </c>
      <c r="S412">
        <v>14.9</v>
      </c>
      <c r="T412" s="1" t="s">
        <v>707</v>
      </c>
      <c r="U412">
        <v>1.2</v>
      </c>
      <c r="V412">
        <v>0.6</v>
      </c>
      <c r="W412">
        <v>1.8</v>
      </c>
      <c r="X412">
        <v>0.123</v>
      </c>
      <c r="Y412" s="1" t="s">
        <v>707</v>
      </c>
      <c r="Z412">
        <v>-0.7</v>
      </c>
      <c r="AA412">
        <v>-1.6</v>
      </c>
      <c r="AB412">
        <v>-2.2000000000000002</v>
      </c>
      <c r="AC412">
        <v>0</v>
      </c>
    </row>
    <row r="413" spans="1:29" x14ac:dyDescent="0.35">
      <c r="A413">
        <v>412</v>
      </c>
      <c r="B413" s="1" t="s">
        <v>482</v>
      </c>
      <c r="C413" s="1" t="s">
        <v>31</v>
      </c>
      <c r="D413">
        <v>27</v>
      </c>
      <c r="E413" s="1" t="s">
        <v>61</v>
      </c>
      <c r="F413">
        <v>25</v>
      </c>
      <c r="G413">
        <v>562</v>
      </c>
      <c r="H413">
        <v>11.8</v>
      </c>
      <c r="I413">
        <v>0.58099999999999996</v>
      </c>
      <c r="J413">
        <v>0.05</v>
      </c>
      <c r="K413">
        <v>0.5</v>
      </c>
      <c r="L413">
        <v>9</v>
      </c>
      <c r="M413">
        <v>18.100000000000001</v>
      </c>
      <c r="N413">
        <v>13.5</v>
      </c>
      <c r="O413">
        <v>5.7</v>
      </c>
      <c r="P413">
        <v>2.7</v>
      </c>
      <c r="Q413">
        <v>5.4</v>
      </c>
      <c r="R413">
        <v>21.5</v>
      </c>
      <c r="S413">
        <v>7.3</v>
      </c>
      <c r="T413" s="1" t="s">
        <v>707</v>
      </c>
      <c r="U413">
        <v>0.4</v>
      </c>
      <c r="V413">
        <v>1</v>
      </c>
      <c r="W413">
        <v>1.5</v>
      </c>
      <c r="X413">
        <v>0.128</v>
      </c>
      <c r="Y413" s="1" t="s">
        <v>707</v>
      </c>
      <c r="Z413">
        <v>-3.1</v>
      </c>
      <c r="AA413">
        <v>3.3</v>
      </c>
      <c r="AB413">
        <v>0.3</v>
      </c>
      <c r="AC413">
        <v>0.3</v>
      </c>
    </row>
    <row r="414" spans="1:29" x14ac:dyDescent="0.35">
      <c r="A414">
        <v>413</v>
      </c>
      <c r="B414" s="1" t="s">
        <v>483</v>
      </c>
      <c r="C414" s="1" t="s">
        <v>41</v>
      </c>
      <c r="D414">
        <v>22</v>
      </c>
      <c r="E414" s="1" t="s">
        <v>99</v>
      </c>
      <c r="F414">
        <v>62</v>
      </c>
      <c r="G414">
        <v>975</v>
      </c>
      <c r="H414">
        <v>16.8</v>
      </c>
      <c r="I414">
        <v>0.58099999999999996</v>
      </c>
      <c r="J414">
        <v>0.38700000000000001</v>
      </c>
      <c r="K414">
        <v>0.223</v>
      </c>
      <c r="L414">
        <v>2.4</v>
      </c>
      <c r="M414">
        <v>11.4</v>
      </c>
      <c r="N414">
        <v>6.8</v>
      </c>
      <c r="O414">
        <v>20.2</v>
      </c>
      <c r="P414">
        <v>1.3</v>
      </c>
      <c r="Q414">
        <v>1</v>
      </c>
      <c r="R414">
        <v>7.4</v>
      </c>
      <c r="S414">
        <v>21</v>
      </c>
      <c r="T414" s="1" t="s">
        <v>707</v>
      </c>
      <c r="U414">
        <v>2.1</v>
      </c>
      <c r="V414">
        <v>0.7</v>
      </c>
      <c r="W414">
        <v>2.8</v>
      </c>
      <c r="X414">
        <v>0.13800000000000001</v>
      </c>
      <c r="Y414" s="1" t="s">
        <v>707</v>
      </c>
      <c r="Z414">
        <v>1.5</v>
      </c>
      <c r="AA414">
        <v>-0.7</v>
      </c>
      <c r="AB414">
        <v>0.8</v>
      </c>
      <c r="AC414">
        <v>0.7</v>
      </c>
    </row>
    <row r="415" spans="1:29" x14ac:dyDescent="0.35">
      <c r="A415">
        <v>414</v>
      </c>
      <c r="B415" s="1" t="s">
        <v>484</v>
      </c>
      <c r="C415" s="1" t="s">
        <v>48</v>
      </c>
      <c r="D415">
        <v>23</v>
      </c>
      <c r="E415" s="1" t="s">
        <v>143</v>
      </c>
      <c r="F415">
        <v>58</v>
      </c>
      <c r="G415">
        <v>685</v>
      </c>
      <c r="H415">
        <v>10.4</v>
      </c>
      <c r="I415">
        <v>0.51300000000000001</v>
      </c>
      <c r="J415">
        <v>0.498</v>
      </c>
      <c r="K415">
        <v>0.112</v>
      </c>
      <c r="L415">
        <v>1.9</v>
      </c>
      <c r="M415">
        <v>10.9</v>
      </c>
      <c r="N415">
        <v>6.4</v>
      </c>
      <c r="O415">
        <v>14.7</v>
      </c>
      <c r="P415">
        <v>2</v>
      </c>
      <c r="Q415">
        <v>0.9</v>
      </c>
      <c r="R415">
        <v>11.7</v>
      </c>
      <c r="S415">
        <v>17.399999999999999</v>
      </c>
      <c r="T415" s="1" t="s">
        <v>707</v>
      </c>
      <c r="U415">
        <v>0.1</v>
      </c>
      <c r="V415">
        <v>0.9</v>
      </c>
      <c r="W415">
        <v>0.9</v>
      </c>
      <c r="X415">
        <v>6.5000000000000002E-2</v>
      </c>
      <c r="Y415" s="1" t="s">
        <v>707</v>
      </c>
      <c r="Z415">
        <v>-2.9</v>
      </c>
      <c r="AA415">
        <v>0.9</v>
      </c>
      <c r="AB415">
        <v>-2</v>
      </c>
      <c r="AC415">
        <v>0</v>
      </c>
    </row>
    <row r="416" spans="1:29" x14ac:dyDescent="0.35">
      <c r="A416">
        <v>415</v>
      </c>
      <c r="B416" s="1" t="s">
        <v>485</v>
      </c>
      <c r="C416" s="1" t="s">
        <v>31</v>
      </c>
      <c r="D416">
        <v>27</v>
      </c>
      <c r="E416" s="1" t="s">
        <v>114</v>
      </c>
      <c r="F416">
        <v>56</v>
      </c>
      <c r="G416">
        <v>1579</v>
      </c>
      <c r="H416">
        <v>20</v>
      </c>
      <c r="I416">
        <v>0.58599999999999997</v>
      </c>
      <c r="J416">
        <v>9.2999999999999999E-2</v>
      </c>
      <c r="K416">
        <v>0.44700000000000001</v>
      </c>
      <c r="L416">
        <v>11.2</v>
      </c>
      <c r="M416">
        <v>32.6</v>
      </c>
      <c r="N416">
        <v>21.5</v>
      </c>
      <c r="O416">
        <v>16.600000000000001</v>
      </c>
      <c r="P416">
        <v>1.9</v>
      </c>
      <c r="Q416">
        <v>2.1</v>
      </c>
      <c r="R416">
        <v>16.600000000000001</v>
      </c>
      <c r="S416">
        <v>23.6</v>
      </c>
      <c r="T416" s="1" t="s">
        <v>707</v>
      </c>
      <c r="U416">
        <v>2</v>
      </c>
      <c r="V416">
        <v>1.7</v>
      </c>
      <c r="W416">
        <v>3.6</v>
      </c>
      <c r="X416">
        <v>0.11</v>
      </c>
      <c r="Y416" s="1" t="s">
        <v>707</v>
      </c>
      <c r="Z416">
        <v>0.1</v>
      </c>
      <c r="AA416">
        <v>0.2</v>
      </c>
      <c r="AB416">
        <v>0.3</v>
      </c>
      <c r="AC416">
        <v>0.9</v>
      </c>
    </row>
    <row r="417" spans="1:29" x14ac:dyDescent="0.35">
      <c r="A417">
        <v>416</v>
      </c>
      <c r="B417" s="1" t="s">
        <v>486</v>
      </c>
      <c r="C417" s="1" t="s">
        <v>51</v>
      </c>
      <c r="D417">
        <v>29</v>
      </c>
      <c r="E417" s="1" t="s">
        <v>170</v>
      </c>
      <c r="F417">
        <v>46</v>
      </c>
      <c r="G417">
        <v>609</v>
      </c>
      <c r="H417">
        <v>15.3</v>
      </c>
      <c r="I417">
        <v>0.56699999999999995</v>
      </c>
      <c r="J417">
        <v>0.27800000000000002</v>
      </c>
      <c r="K417">
        <v>0.38100000000000001</v>
      </c>
      <c r="L417">
        <v>7.4</v>
      </c>
      <c r="M417">
        <v>20</v>
      </c>
      <c r="N417">
        <v>13.6</v>
      </c>
      <c r="O417">
        <v>8.5</v>
      </c>
      <c r="P417">
        <v>2.2000000000000002</v>
      </c>
      <c r="Q417">
        <v>2.9</v>
      </c>
      <c r="R417">
        <v>9.3000000000000007</v>
      </c>
      <c r="S417">
        <v>15.8</v>
      </c>
      <c r="T417" s="1" t="s">
        <v>707</v>
      </c>
      <c r="U417">
        <v>0.8</v>
      </c>
      <c r="V417">
        <v>0.5</v>
      </c>
      <c r="W417">
        <v>1.3</v>
      </c>
      <c r="X417">
        <v>0.105</v>
      </c>
      <c r="Y417" s="1" t="s">
        <v>707</v>
      </c>
      <c r="Z417">
        <v>-0.6</v>
      </c>
      <c r="AA417">
        <v>0</v>
      </c>
      <c r="AB417">
        <v>-0.6</v>
      </c>
      <c r="AC417">
        <v>0.2</v>
      </c>
    </row>
    <row r="418" spans="1:29" x14ac:dyDescent="0.35">
      <c r="A418">
        <v>417</v>
      </c>
      <c r="B418" s="1" t="s">
        <v>487</v>
      </c>
      <c r="C418" s="1" t="s">
        <v>51</v>
      </c>
      <c r="D418">
        <v>23</v>
      </c>
      <c r="E418" s="1" t="s">
        <v>44</v>
      </c>
      <c r="F418">
        <v>62</v>
      </c>
      <c r="G418">
        <v>1185</v>
      </c>
      <c r="H418">
        <v>9.9</v>
      </c>
      <c r="I418">
        <v>0.50600000000000001</v>
      </c>
      <c r="J418">
        <v>0.49099999999999999</v>
      </c>
      <c r="K418">
        <v>9.2999999999999999E-2</v>
      </c>
      <c r="L418">
        <v>3.4</v>
      </c>
      <c r="M418">
        <v>16.100000000000001</v>
      </c>
      <c r="N418">
        <v>9.9</v>
      </c>
      <c r="O418">
        <v>7</v>
      </c>
      <c r="P418">
        <v>1</v>
      </c>
      <c r="Q418">
        <v>1.4</v>
      </c>
      <c r="R418">
        <v>10.6</v>
      </c>
      <c r="S418">
        <v>19.399999999999999</v>
      </c>
      <c r="T418" s="1" t="s">
        <v>707</v>
      </c>
      <c r="U418">
        <v>-0.4</v>
      </c>
      <c r="V418">
        <v>1.1000000000000001</v>
      </c>
      <c r="W418">
        <v>0.6</v>
      </c>
      <c r="X418">
        <v>2.5000000000000001E-2</v>
      </c>
      <c r="Y418" s="1" t="s">
        <v>707</v>
      </c>
      <c r="Z418">
        <v>-2.7</v>
      </c>
      <c r="AA418">
        <v>-1.5</v>
      </c>
      <c r="AB418">
        <v>-4.0999999999999996</v>
      </c>
      <c r="AC418">
        <v>-0.6</v>
      </c>
    </row>
    <row r="419" spans="1:29" x14ac:dyDescent="0.35">
      <c r="A419">
        <v>418</v>
      </c>
      <c r="B419" s="1" t="s">
        <v>488</v>
      </c>
      <c r="C419" s="1" t="s">
        <v>51</v>
      </c>
      <c r="D419">
        <v>28</v>
      </c>
      <c r="E419" s="1" t="s">
        <v>70</v>
      </c>
      <c r="F419">
        <v>77</v>
      </c>
      <c r="G419">
        <v>2406</v>
      </c>
      <c r="H419">
        <v>10.3</v>
      </c>
      <c r="I419">
        <v>0.60799999999999998</v>
      </c>
      <c r="J419">
        <v>0.68899999999999995</v>
      </c>
      <c r="K419">
        <v>0.126</v>
      </c>
      <c r="L419">
        <v>3</v>
      </c>
      <c r="M419">
        <v>13.4</v>
      </c>
      <c r="N419">
        <v>8.4</v>
      </c>
      <c r="O419">
        <v>10.5</v>
      </c>
      <c r="P419">
        <v>1.8</v>
      </c>
      <c r="Q419">
        <v>1.2</v>
      </c>
      <c r="R419">
        <v>14.4</v>
      </c>
      <c r="S419">
        <v>9.9</v>
      </c>
      <c r="T419" s="1" t="s">
        <v>707</v>
      </c>
      <c r="U419">
        <v>2.7</v>
      </c>
      <c r="V419">
        <v>2.8</v>
      </c>
      <c r="W419">
        <v>5.5</v>
      </c>
      <c r="X419">
        <v>0.109</v>
      </c>
      <c r="Y419" s="1" t="s">
        <v>707</v>
      </c>
      <c r="Z419">
        <v>-0.8</v>
      </c>
      <c r="AA419">
        <v>1.7</v>
      </c>
      <c r="AB419">
        <v>0.8</v>
      </c>
      <c r="AC419">
        <v>1.7</v>
      </c>
    </row>
    <row r="420" spans="1:29" x14ac:dyDescent="0.35">
      <c r="A420">
        <v>419</v>
      </c>
      <c r="B420" s="1" t="s">
        <v>489</v>
      </c>
      <c r="C420" s="1" t="s">
        <v>28</v>
      </c>
      <c r="D420">
        <v>27</v>
      </c>
      <c r="E420" s="1" t="s">
        <v>42</v>
      </c>
      <c r="F420">
        <v>30</v>
      </c>
      <c r="G420">
        <v>406</v>
      </c>
      <c r="H420">
        <v>6.7</v>
      </c>
      <c r="I420">
        <v>0.438</v>
      </c>
      <c r="J420">
        <v>0.505</v>
      </c>
      <c r="K420">
        <v>0.29299999999999998</v>
      </c>
      <c r="L420">
        <v>7.2</v>
      </c>
      <c r="M420">
        <v>12</v>
      </c>
      <c r="N420">
        <v>9.6999999999999993</v>
      </c>
      <c r="O420">
        <v>2.9</v>
      </c>
      <c r="P420">
        <v>0.8</v>
      </c>
      <c r="Q420">
        <v>1.4</v>
      </c>
      <c r="R420">
        <v>7.5</v>
      </c>
      <c r="S420">
        <v>12.8</v>
      </c>
      <c r="T420" s="1" t="s">
        <v>707</v>
      </c>
      <c r="U420">
        <v>-0.1</v>
      </c>
      <c r="V420">
        <v>0.3</v>
      </c>
      <c r="W420">
        <v>0.2</v>
      </c>
      <c r="X420">
        <v>2.9000000000000001E-2</v>
      </c>
      <c r="Y420" s="1" t="s">
        <v>707</v>
      </c>
      <c r="Z420">
        <v>-4.0999999999999996</v>
      </c>
      <c r="AA420">
        <v>-1.6</v>
      </c>
      <c r="AB420">
        <v>-5.8</v>
      </c>
      <c r="AC420">
        <v>-0.4</v>
      </c>
    </row>
    <row r="421" spans="1:29" x14ac:dyDescent="0.35">
      <c r="A421">
        <v>420</v>
      </c>
      <c r="B421" s="1" t="s">
        <v>490</v>
      </c>
      <c r="C421" s="1" t="s">
        <v>28</v>
      </c>
      <c r="D421">
        <v>23</v>
      </c>
      <c r="E421" s="1" t="s">
        <v>58</v>
      </c>
      <c r="F421">
        <v>70</v>
      </c>
      <c r="G421">
        <v>1749</v>
      </c>
      <c r="H421">
        <v>12</v>
      </c>
      <c r="I421">
        <v>0.501</v>
      </c>
      <c r="J421">
        <v>0.64500000000000002</v>
      </c>
      <c r="K421">
        <v>0.113</v>
      </c>
      <c r="L421">
        <v>2.8</v>
      </c>
      <c r="M421">
        <v>18.2</v>
      </c>
      <c r="N421">
        <v>10.5</v>
      </c>
      <c r="O421">
        <v>10.1</v>
      </c>
      <c r="P421">
        <v>2.7</v>
      </c>
      <c r="Q421">
        <v>2.2000000000000002</v>
      </c>
      <c r="R421">
        <v>8.6</v>
      </c>
      <c r="S421">
        <v>16.399999999999999</v>
      </c>
      <c r="T421" s="1" t="s">
        <v>707</v>
      </c>
      <c r="U421">
        <v>-0.3</v>
      </c>
      <c r="V421">
        <v>2.5</v>
      </c>
      <c r="W421">
        <v>2.2000000000000002</v>
      </c>
      <c r="X421">
        <v>0.06</v>
      </c>
      <c r="Y421" s="1" t="s">
        <v>707</v>
      </c>
      <c r="Z421">
        <v>-1.6</v>
      </c>
      <c r="AA421">
        <v>1.5</v>
      </c>
      <c r="AB421">
        <v>-0.1</v>
      </c>
      <c r="AC421">
        <v>0.8</v>
      </c>
    </row>
    <row r="422" spans="1:29" x14ac:dyDescent="0.35">
      <c r="A422">
        <v>421</v>
      </c>
      <c r="B422" s="1" t="s">
        <v>491</v>
      </c>
      <c r="C422" s="1" t="s">
        <v>41</v>
      </c>
      <c r="D422">
        <v>23</v>
      </c>
      <c r="E422" s="1" t="s">
        <v>99</v>
      </c>
      <c r="F422">
        <v>49</v>
      </c>
      <c r="G422">
        <v>516</v>
      </c>
      <c r="H422">
        <v>9</v>
      </c>
      <c r="I422">
        <v>0.52600000000000002</v>
      </c>
      <c r="J422">
        <v>0.45200000000000001</v>
      </c>
      <c r="K422">
        <v>0.49</v>
      </c>
      <c r="L422">
        <v>5.9</v>
      </c>
      <c r="M422">
        <v>8.6999999999999993</v>
      </c>
      <c r="N422">
        <v>7.3</v>
      </c>
      <c r="O422">
        <v>6.2</v>
      </c>
      <c r="P422">
        <v>2.4</v>
      </c>
      <c r="Q422">
        <v>2.2000000000000002</v>
      </c>
      <c r="R422">
        <v>15.4</v>
      </c>
      <c r="S422">
        <v>12.1</v>
      </c>
      <c r="T422" s="1" t="s">
        <v>707</v>
      </c>
      <c r="U422">
        <v>0.1</v>
      </c>
      <c r="V422">
        <v>0.5</v>
      </c>
      <c r="W422">
        <v>0.7</v>
      </c>
      <c r="X422">
        <v>6.2E-2</v>
      </c>
      <c r="Y422" s="1" t="s">
        <v>707</v>
      </c>
      <c r="Z422">
        <v>-3.7</v>
      </c>
      <c r="AA422">
        <v>0.9</v>
      </c>
      <c r="AB422">
        <v>-2.7</v>
      </c>
      <c r="AC422">
        <v>-0.1</v>
      </c>
    </row>
    <row r="423" spans="1:29" x14ac:dyDescent="0.35">
      <c r="A423">
        <v>422</v>
      </c>
      <c r="B423" s="1" t="s">
        <v>492</v>
      </c>
      <c r="C423" s="1" t="s">
        <v>31</v>
      </c>
      <c r="D423">
        <v>21</v>
      </c>
      <c r="E423" s="1" t="s">
        <v>80</v>
      </c>
      <c r="F423">
        <v>48</v>
      </c>
      <c r="G423">
        <v>992</v>
      </c>
      <c r="H423">
        <v>19.8</v>
      </c>
      <c r="I423">
        <v>0.71399999999999997</v>
      </c>
      <c r="J423">
        <v>0</v>
      </c>
      <c r="K423">
        <v>0.48699999999999999</v>
      </c>
      <c r="L423">
        <v>12.8</v>
      </c>
      <c r="M423">
        <v>18.399999999999999</v>
      </c>
      <c r="N423">
        <v>15.6</v>
      </c>
      <c r="O423">
        <v>7.6</v>
      </c>
      <c r="P423">
        <v>1.5</v>
      </c>
      <c r="Q423">
        <v>5.4</v>
      </c>
      <c r="R423">
        <v>13.8</v>
      </c>
      <c r="S423">
        <v>14</v>
      </c>
      <c r="T423" s="1" t="s">
        <v>707</v>
      </c>
      <c r="U423">
        <v>3.1</v>
      </c>
      <c r="V423">
        <v>1.1000000000000001</v>
      </c>
      <c r="W423">
        <v>4.2</v>
      </c>
      <c r="X423">
        <v>0.20200000000000001</v>
      </c>
      <c r="Y423" s="1" t="s">
        <v>707</v>
      </c>
      <c r="Z423">
        <v>0</v>
      </c>
      <c r="AA423">
        <v>0.8</v>
      </c>
      <c r="AB423">
        <v>0.8</v>
      </c>
      <c r="AC423">
        <v>0.7</v>
      </c>
    </row>
    <row r="424" spans="1:29" x14ac:dyDescent="0.35">
      <c r="A424">
        <v>423</v>
      </c>
      <c r="B424" s="1" t="s">
        <v>493</v>
      </c>
      <c r="C424" s="1" t="s">
        <v>51</v>
      </c>
      <c r="D424">
        <v>21</v>
      </c>
      <c r="E424" s="1" t="s">
        <v>46</v>
      </c>
      <c r="F424">
        <v>67</v>
      </c>
      <c r="G424">
        <v>1981</v>
      </c>
      <c r="H424">
        <v>10.4</v>
      </c>
      <c r="I424">
        <v>0.58899999999999997</v>
      </c>
      <c r="J424">
        <v>0.36399999999999999</v>
      </c>
      <c r="K424">
        <v>0.36</v>
      </c>
      <c r="L424">
        <v>4.0999999999999996</v>
      </c>
      <c r="M424">
        <v>7.1</v>
      </c>
      <c r="N424">
        <v>5.6</v>
      </c>
      <c r="O424">
        <v>8.5</v>
      </c>
      <c r="P424">
        <v>1.4</v>
      </c>
      <c r="Q424">
        <v>1</v>
      </c>
      <c r="R424">
        <v>10.4</v>
      </c>
      <c r="S424">
        <v>12.4</v>
      </c>
      <c r="T424" s="1" t="s">
        <v>707</v>
      </c>
      <c r="U424">
        <v>2.4</v>
      </c>
      <c r="V424">
        <v>1.9</v>
      </c>
      <c r="W424">
        <v>4.2</v>
      </c>
      <c r="X424">
        <v>0.10299999999999999</v>
      </c>
      <c r="Y424" s="1" t="s">
        <v>707</v>
      </c>
      <c r="Z424">
        <v>-2.4</v>
      </c>
      <c r="AA424">
        <v>0.7</v>
      </c>
      <c r="AB424">
        <v>-1.7</v>
      </c>
      <c r="AC424">
        <v>0.1</v>
      </c>
    </row>
    <row r="425" spans="1:29" x14ac:dyDescent="0.35">
      <c r="A425">
        <v>424</v>
      </c>
      <c r="B425" s="1" t="s">
        <v>494</v>
      </c>
      <c r="C425" s="1" t="s">
        <v>28</v>
      </c>
      <c r="D425">
        <v>22</v>
      </c>
      <c r="E425" s="1" t="s">
        <v>36</v>
      </c>
      <c r="F425">
        <v>21</v>
      </c>
      <c r="G425">
        <v>244</v>
      </c>
      <c r="H425">
        <v>10.4</v>
      </c>
      <c r="I425">
        <v>0.52100000000000002</v>
      </c>
      <c r="J425">
        <v>0.377</v>
      </c>
      <c r="K425">
        <v>0.159</v>
      </c>
      <c r="L425">
        <v>5.2</v>
      </c>
      <c r="M425">
        <v>13.7</v>
      </c>
      <c r="N425">
        <v>9.5</v>
      </c>
      <c r="O425">
        <v>8.3000000000000007</v>
      </c>
      <c r="P425">
        <v>0.8</v>
      </c>
      <c r="Q425">
        <v>3</v>
      </c>
      <c r="R425">
        <v>6.3</v>
      </c>
      <c r="S425">
        <v>14.4</v>
      </c>
      <c r="T425" s="1" t="s">
        <v>707</v>
      </c>
      <c r="U425">
        <v>0.2</v>
      </c>
      <c r="V425">
        <v>0.3</v>
      </c>
      <c r="W425">
        <v>0.5</v>
      </c>
      <c r="X425">
        <v>9.7000000000000003E-2</v>
      </c>
      <c r="Y425" s="1" t="s">
        <v>707</v>
      </c>
      <c r="Z425">
        <v>-3.2</v>
      </c>
      <c r="AA425">
        <v>0.4</v>
      </c>
      <c r="AB425">
        <v>-2.8</v>
      </c>
      <c r="AC425">
        <v>-0.1</v>
      </c>
    </row>
    <row r="426" spans="1:29" x14ac:dyDescent="0.35">
      <c r="A426">
        <v>425</v>
      </c>
      <c r="B426" s="1" t="s">
        <v>495</v>
      </c>
      <c r="C426" s="1" t="s">
        <v>41</v>
      </c>
      <c r="D426">
        <v>29</v>
      </c>
      <c r="E426" s="1" t="s">
        <v>36</v>
      </c>
      <c r="F426">
        <v>8</v>
      </c>
      <c r="G426">
        <v>173</v>
      </c>
      <c r="H426">
        <v>16.8</v>
      </c>
      <c r="I426">
        <v>0.60799999999999998</v>
      </c>
      <c r="J426">
        <v>0.49299999999999999</v>
      </c>
      <c r="K426">
        <v>0.26</v>
      </c>
      <c r="L426">
        <v>2</v>
      </c>
      <c r="M426">
        <v>12.9</v>
      </c>
      <c r="N426">
        <v>7.5</v>
      </c>
      <c r="O426">
        <v>26.3</v>
      </c>
      <c r="P426">
        <v>1.4</v>
      </c>
      <c r="Q426">
        <v>0.6</v>
      </c>
      <c r="R426">
        <v>16.399999999999999</v>
      </c>
      <c r="S426">
        <v>25.1</v>
      </c>
      <c r="T426" s="1" t="s">
        <v>707</v>
      </c>
      <c r="U426">
        <v>0.2</v>
      </c>
      <c r="V426">
        <v>0.2</v>
      </c>
      <c r="W426">
        <v>0.4</v>
      </c>
      <c r="X426">
        <v>0.124</v>
      </c>
      <c r="Y426" s="1" t="s">
        <v>707</v>
      </c>
      <c r="Z426">
        <v>1.8</v>
      </c>
      <c r="AA426">
        <v>-0.5</v>
      </c>
      <c r="AB426">
        <v>1.3</v>
      </c>
      <c r="AC426">
        <v>0.1</v>
      </c>
    </row>
    <row r="427" spans="1:29" x14ac:dyDescent="0.35">
      <c r="A427">
        <v>426</v>
      </c>
      <c r="B427" s="1" t="s">
        <v>496</v>
      </c>
      <c r="C427" s="1" t="s">
        <v>51</v>
      </c>
      <c r="D427">
        <v>25</v>
      </c>
      <c r="E427" s="1" t="s">
        <v>80</v>
      </c>
      <c r="F427">
        <v>2</v>
      </c>
      <c r="G427">
        <v>43</v>
      </c>
      <c r="H427">
        <v>21.4</v>
      </c>
      <c r="I427">
        <v>0.70499999999999996</v>
      </c>
      <c r="J427">
        <v>0.2</v>
      </c>
      <c r="K427">
        <v>0.2</v>
      </c>
      <c r="L427">
        <v>5.0999999999999996</v>
      </c>
      <c r="M427">
        <v>10.1</v>
      </c>
      <c r="N427">
        <v>7.6</v>
      </c>
      <c r="O427">
        <v>11.1</v>
      </c>
      <c r="P427">
        <v>1.1000000000000001</v>
      </c>
      <c r="Q427">
        <v>2.1</v>
      </c>
      <c r="R427">
        <v>0</v>
      </c>
      <c r="S427">
        <v>16.600000000000001</v>
      </c>
      <c r="T427" s="1" t="s">
        <v>707</v>
      </c>
      <c r="U427">
        <v>0.2</v>
      </c>
      <c r="V427">
        <v>0</v>
      </c>
      <c r="W427">
        <v>0.2</v>
      </c>
      <c r="X427">
        <v>0.219</v>
      </c>
      <c r="Y427" s="1" t="s">
        <v>707</v>
      </c>
      <c r="Z427">
        <v>2.2999999999999998</v>
      </c>
      <c r="AA427">
        <v>-0.6</v>
      </c>
      <c r="AB427">
        <v>1.7</v>
      </c>
      <c r="AC427">
        <v>0</v>
      </c>
    </row>
    <row r="428" spans="1:29" x14ac:dyDescent="0.35">
      <c r="A428">
        <v>427</v>
      </c>
      <c r="B428" s="1" t="s">
        <v>497</v>
      </c>
      <c r="C428" s="1" t="s">
        <v>31</v>
      </c>
      <c r="D428">
        <v>30</v>
      </c>
      <c r="E428" s="1" t="s">
        <v>105</v>
      </c>
      <c r="F428">
        <v>40</v>
      </c>
      <c r="G428">
        <v>764</v>
      </c>
      <c r="H428">
        <v>16.7</v>
      </c>
      <c r="I428">
        <v>0.56100000000000005</v>
      </c>
      <c r="J428">
        <v>0.41599999999999998</v>
      </c>
      <c r="K428">
        <v>0.311</v>
      </c>
      <c r="L428">
        <v>7.3</v>
      </c>
      <c r="M428">
        <v>18.3</v>
      </c>
      <c r="N428">
        <v>12.5</v>
      </c>
      <c r="O428">
        <v>23.3</v>
      </c>
      <c r="P428">
        <v>2</v>
      </c>
      <c r="Q428">
        <v>2.2000000000000002</v>
      </c>
      <c r="R428">
        <v>15.1</v>
      </c>
      <c r="S428">
        <v>21.5</v>
      </c>
      <c r="T428" s="1" t="s">
        <v>707</v>
      </c>
      <c r="U428">
        <v>0.8</v>
      </c>
      <c r="V428">
        <v>0.8</v>
      </c>
      <c r="W428">
        <v>1.6</v>
      </c>
      <c r="X428">
        <v>0.104</v>
      </c>
      <c r="Y428" s="1" t="s">
        <v>707</v>
      </c>
      <c r="Z428">
        <v>0.5</v>
      </c>
      <c r="AA428">
        <v>1</v>
      </c>
      <c r="AB428">
        <v>1.6</v>
      </c>
      <c r="AC428">
        <v>0.7</v>
      </c>
    </row>
    <row r="429" spans="1:29" x14ac:dyDescent="0.35">
      <c r="A429">
        <v>428</v>
      </c>
      <c r="B429" s="1" t="s">
        <v>498</v>
      </c>
      <c r="C429" s="1" t="s">
        <v>51</v>
      </c>
      <c r="D429">
        <v>24</v>
      </c>
      <c r="E429" s="1" t="s">
        <v>143</v>
      </c>
      <c r="F429">
        <v>4</v>
      </c>
      <c r="G429">
        <v>18</v>
      </c>
      <c r="H429">
        <v>17</v>
      </c>
      <c r="I429">
        <v>0.51800000000000002</v>
      </c>
      <c r="J429">
        <v>0.4</v>
      </c>
      <c r="K429">
        <v>0.8</v>
      </c>
      <c r="L429">
        <v>12.3</v>
      </c>
      <c r="M429">
        <v>30.9</v>
      </c>
      <c r="N429">
        <v>21.6</v>
      </c>
      <c r="O429">
        <v>15.8</v>
      </c>
      <c r="P429">
        <v>0</v>
      </c>
      <c r="Q429">
        <v>0</v>
      </c>
      <c r="R429">
        <v>0</v>
      </c>
      <c r="S429">
        <v>16.899999999999999</v>
      </c>
      <c r="T429" s="1" t="s">
        <v>707</v>
      </c>
      <c r="U429">
        <v>0.1</v>
      </c>
      <c r="V429">
        <v>0</v>
      </c>
      <c r="W429">
        <v>0.1</v>
      </c>
      <c r="X429">
        <v>0.20100000000000001</v>
      </c>
      <c r="Y429" s="1" t="s">
        <v>707</v>
      </c>
      <c r="Z429">
        <v>3.3</v>
      </c>
      <c r="AA429">
        <v>0.7</v>
      </c>
      <c r="AB429">
        <v>4</v>
      </c>
      <c r="AC429">
        <v>0</v>
      </c>
    </row>
    <row r="430" spans="1:29" x14ac:dyDescent="0.35">
      <c r="A430">
        <v>429</v>
      </c>
      <c r="B430" s="1" t="s">
        <v>499</v>
      </c>
      <c r="C430" s="1" t="s">
        <v>41</v>
      </c>
      <c r="D430">
        <v>24</v>
      </c>
      <c r="E430" s="1" t="s">
        <v>70</v>
      </c>
      <c r="F430">
        <v>16</v>
      </c>
      <c r="G430">
        <v>44</v>
      </c>
      <c r="H430">
        <v>0.4</v>
      </c>
      <c r="I430">
        <v>0.26500000000000001</v>
      </c>
      <c r="J430">
        <v>0.88900000000000001</v>
      </c>
      <c r="K430">
        <v>0.111</v>
      </c>
      <c r="L430">
        <v>2.6</v>
      </c>
      <c r="M430">
        <v>14.4</v>
      </c>
      <c r="N430">
        <v>8.6999999999999993</v>
      </c>
      <c r="O430">
        <v>14.2</v>
      </c>
      <c r="P430">
        <v>0</v>
      </c>
      <c r="Q430">
        <v>0</v>
      </c>
      <c r="R430">
        <v>9.6</v>
      </c>
      <c r="S430">
        <v>10.3</v>
      </c>
      <c r="T430" s="1" t="s">
        <v>707</v>
      </c>
      <c r="U430">
        <v>-0.1</v>
      </c>
      <c r="V430">
        <v>0</v>
      </c>
      <c r="W430">
        <v>0</v>
      </c>
      <c r="X430">
        <v>-3.2000000000000001E-2</v>
      </c>
      <c r="Y430" s="1" t="s">
        <v>707</v>
      </c>
      <c r="Z430">
        <v>-7.6</v>
      </c>
      <c r="AA430">
        <v>-0.3</v>
      </c>
      <c r="AB430">
        <v>-7.9</v>
      </c>
      <c r="AC430">
        <v>-0.1</v>
      </c>
    </row>
    <row r="431" spans="1:29" x14ac:dyDescent="0.35">
      <c r="A431">
        <v>430</v>
      </c>
      <c r="B431" s="1" t="s">
        <v>500</v>
      </c>
      <c r="C431" s="1" t="s">
        <v>51</v>
      </c>
      <c r="D431">
        <v>26</v>
      </c>
      <c r="E431" s="1" t="s">
        <v>46</v>
      </c>
      <c r="F431">
        <v>66</v>
      </c>
      <c r="G431">
        <v>1462</v>
      </c>
      <c r="H431">
        <v>13.3</v>
      </c>
      <c r="I431">
        <v>0.56299999999999994</v>
      </c>
      <c r="J431">
        <v>0.628</v>
      </c>
      <c r="K431">
        <v>0.22900000000000001</v>
      </c>
      <c r="L431">
        <v>1.9</v>
      </c>
      <c r="M431">
        <v>9</v>
      </c>
      <c r="N431">
        <v>5.5</v>
      </c>
      <c r="O431">
        <v>14.1</v>
      </c>
      <c r="P431">
        <v>1.8</v>
      </c>
      <c r="Q431">
        <v>0.6</v>
      </c>
      <c r="R431">
        <v>9.6</v>
      </c>
      <c r="S431">
        <v>21.1</v>
      </c>
      <c r="T431" s="1" t="s">
        <v>707</v>
      </c>
      <c r="U431">
        <v>1.3</v>
      </c>
      <c r="V431">
        <v>1.6</v>
      </c>
      <c r="W431">
        <v>2.9</v>
      </c>
      <c r="X431">
        <v>9.4E-2</v>
      </c>
      <c r="Y431" s="1" t="s">
        <v>707</v>
      </c>
      <c r="Z431">
        <v>-0.3</v>
      </c>
      <c r="AA431">
        <v>0.5</v>
      </c>
      <c r="AB431">
        <v>0.2</v>
      </c>
      <c r="AC431">
        <v>0.8</v>
      </c>
    </row>
    <row r="432" spans="1:29" x14ac:dyDescent="0.35">
      <c r="A432">
        <v>431</v>
      </c>
      <c r="B432" s="1" t="s">
        <v>501</v>
      </c>
      <c r="C432" s="1" t="s">
        <v>31</v>
      </c>
      <c r="D432">
        <v>22</v>
      </c>
      <c r="E432" s="1" t="s">
        <v>32</v>
      </c>
      <c r="F432">
        <v>3</v>
      </c>
      <c r="G432">
        <v>27</v>
      </c>
      <c r="H432">
        <v>13.4</v>
      </c>
      <c r="I432">
        <v>0.54900000000000004</v>
      </c>
      <c r="J432">
        <v>0.16700000000000001</v>
      </c>
      <c r="K432">
        <v>0.83299999999999996</v>
      </c>
      <c r="L432">
        <v>3.8</v>
      </c>
      <c r="M432">
        <v>17</v>
      </c>
      <c r="N432">
        <v>10</v>
      </c>
      <c r="O432">
        <v>0</v>
      </c>
      <c r="P432">
        <v>0</v>
      </c>
      <c r="Q432">
        <v>7.2</v>
      </c>
      <c r="R432">
        <v>0</v>
      </c>
      <c r="S432">
        <v>13</v>
      </c>
      <c r="T432" s="1" t="s">
        <v>707</v>
      </c>
      <c r="U432">
        <v>0</v>
      </c>
      <c r="V432">
        <v>0</v>
      </c>
      <c r="W432">
        <v>0.1</v>
      </c>
      <c r="X432">
        <v>0.121</v>
      </c>
      <c r="Y432" s="1" t="s">
        <v>707</v>
      </c>
      <c r="Z432">
        <v>-2.7</v>
      </c>
      <c r="AA432">
        <v>-2.5</v>
      </c>
      <c r="AB432">
        <v>-5.2</v>
      </c>
      <c r="AC432">
        <v>0</v>
      </c>
    </row>
    <row r="433" spans="1:29" x14ac:dyDescent="0.35">
      <c r="A433">
        <v>432</v>
      </c>
      <c r="B433" s="1" t="s">
        <v>502</v>
      </c>
      <c r="C433" s="1" t="s">
        <v>51</v>
      </c>
      <c r="D433">
        <v>26</v>
      </c>
      <c r="E433" s="1" t="s">
        <v>73</v>
      </c>
      <c r="F433">
        <v>76</v>
      </c>
      <c r="G433">
        <v>1999</v>
      </c>
      <c r="H433">
        <v>14.9</v>
      </c>
      <c r="I433">
        <v>0.56000000000000005</v>
      </c>
      <c r="J433">
        <v>0.59299999999999997</v>
      </c>
      <c r="K433">
        <v>0.20300000000000001</v>
      </c>
      <c r="L433">
        <v>4.0999999999999996</v>
      </c>
      <c r="M433">
        <v>12</v>
      </c>
      <c r="N433">
        <v>8</v>
      </c>
      <c r="O433">
        <v>6.2</v>
      </c>
      <c r="P433">
        <v>1.8</v>
      </c>
      <c r="Q433">
        <v>1.5</v>
      </c>
      <c r="R433">
        <v>6.2</v>
      </c>
      <c r="S433">
        <v>23</v>
      </c>
      <c r="T433" s="1" t="s">
        <v>707</v>
      </c>
      <c r="U433">
        <v>1.8</v>
      </c>
      <c r="V433">
        <v>1.4</v>
      </c>
      <c r="W433">
        <v>3.3</v>
      </c>
      <c r="X433">
        <v>7.9000000000000001E-2</v>
      </c>
      <c r="Y433" s="1" t="s">
        <v>707</v>
      </c>
      <c r="Z433">
        <v>0.2</v>
      </c>
      <c r="AA433">
        <v>-1.6</v>
      </c>
      <c r="AB433">
        <v>-1.4</v>
      </c>
      <c r="AC433">
        <v>0.3</v>
      </c>
    </row>
    <row r="434" spans="1:29" x14ac:dyDescent="0.35">
      <c r="A434">
        <v>433</v>
      </c>
      <c r="B434" s="1" t="s">
        <v>503</v>
      </c>
      <c r="C434" s="1" t="s">
        <v>48</v>
      </c>
      <c r="D434">
        <v>27</v>
      </c>
      <c r="E434" s="1" t="s">
        <v>105</v>
      </c>
      <c r="F434">
        <v>1</v>
      </c>
      <c r="G434">
        <v>7</v>
      </c>
      <c r="H434">
        <v>-22.2</v>
      </c>
      <c r="I434">
        <v>0</v>
      </c>
      <c r="J434">
        <v>0.66700000000000004</v>
      </c>
      <c r="K434">
        <v>0</v>
      </c>
      <c r="L434">
        <v>0</v>
      </c>
      <c r="M434">
        <v>16.3</v>
      </c>
      <c r="N434">
        <v>7.7</v>
      </c>
      <c r="O434">
        <v>18.100000000000001</v>
      </c>
      <c r="P434">
        <v>0</v>
      </c>
      <c r="Q434">
        <v>0</v>
      </c>
      <c r="R434">
        <v>25</v>
      </c>
      <c r="S434">
        <v>24.5</v>
      </c>
      <c r="T434" s="1" t="s">
        <v>707</v>
      </c>
      <c r="U434">
        <v>-0.1</v>
      </c>
      <c r="V434">
        <v>0</v>
      </c>
      <c r="W434">
        <v>-0.1</v>
      </c>
      <c r="X434">
        <v>-0.57399999999999995</v>
      </c>
      <c r="Y434" s="1" t="s">
        <v>707</v>
      </c>
      <c r="Z434">
        <v>-25</v>
      </c>
      <c r="AA434">
        <v>-6.5</v>
      </c>
      <c r="AB434">
        <v>-31.5</v>
      </c>
      <c r="AC434">
        <v>0</v>
      </c>
    </row>
    <row r="435" spans="1:29" x14ac:dyDescent="0.35">
      <c r="A435">
        <v>434</v>
      </c>
      <c r="B435" s="1" t="s">
        <v>504</v>
      </c>
      <c r="C435" s="1" t="s">
        <v>41</v>
      </c>
      <c r="D435">
        <v>27</v>
      </c>
      <c r="E435" s="1" t="s">
        <v>105</v>
      </c>
      <c r="F435">
        <v>1</v>
      </c>
      <c r="G435">
        <v>17</v>
      </c>
      <c r="H435">
        <v>-5.7</v>
      </c>
      <c r="I435">
        <v>0</v>
      </c>
      <c r="J435">
        <v>0</v>
      </c>
      <c r="K435">
        <v>0</v>
      </c>
      <c r="L435">
        <v>0</v>
      </c>
      <c r="M435">
        <v>13.4</v>
      </c>
      <c r="N435">
        <v>6.4</v>
      </c>
      <c r="O435">
        <v>0</v>
      </c>
      <c r="P435">
        <v>0</v>
      </c>
      <c r="Q435">
        <v>0</v>
      </c>
      <c r="R435">
        <v>50</v>
      </c>
      <c r="S435">
        <v>5</v>
      </c>
      <c r="T435" s="1" t="s">
        <v>707</v>
      </c>
      <c r="U435">
        <v>-0.1</v>
      </c>
      <c r="V435">
        <v>0</v>
      </c>
      <c r="W435">
        <v>0</v>
      </c>
      <c r="X435">
        <v>-0.13300000000000001</v>
      </c>
      <c r="Y435" s="1" t="s">
        <v>707</v>
      </c>
      <c r="Z435">
        <v>-13.1</v>
      </c>
      <c r="AA435">
        <v>-1.8</v>
      </c>
      <c r="AB435">
        <v>-15</v>
      </c>
      <c r="AC435">
        <v>-0.1</v>
      </c>
    </row>
    <row r="436" spans="1:29" x14ac:dyDescent="0.35">
      <c r="A436">
        <v>435</v>
      </c>
      <c r="B436" s="1" t="s">
        <v>505</v>
      </c>
      <c r="C436" s="1" t="s">
        <v>48</v>
      </c>
      <c r="D436">
        <v>29</v>
      </c>
      <c r="E436" s="1" t="s">
        <v>46</v>
      </c>
      <c r="F436">
        <v>24</v>
      </c>
      <c r="G436">
        <v>166</v>
      </c>
      <c r="H436">
        <v>6.5</v>
      </c>
      <c r="I436">
        <v>0.40799999999999997</v>
      </c>
      <c r="J436">
        <v>0.56499999999999995</v>
      </c>
      <c r="K436">
        <v>8.6999999999999994E-2</v>
      </c>
      <c r="L436">
        <v>1.4</v>
      </c>
      <c r="M436">
        <v>5.9</v>
      </c>
      <c r="N436">
        <v>3.7</v>
      </c>
      <c r="O436">
        <v>24.6</v>
      </c>
      <c r="P436">
        <v>0.9</v>
      </c>
      <c r="Q436">
        <v>0</v>
      </c>
      <c r="R436">
        <v>12.8</v>
      </c>
      <c r="S436">
        <v>14.6</v>
      </c>
      <c r="T436" s="1" t="s">
        <v>707</v>
      </c>
      <c r="U436">
        <v>-0.1</v>
      </c>
      <c r="V436">
        <v>0.1</v>
      </c>
      <c r="W436">
        <v>0.1</v>
      </c>
      <c r="X436">
        <v>1.6E-2</v>
      </c>
      <c r="Y436" s="1" t="s">
        <v>707</v>
      </c>
      <c r="Z436">
        <v>-4.7</v>
      </c>
      <c r="AA436">
        <v>-1.4</v>
      </c>
      <c r="AB436">
        <v>-6.1</v>
      </c>
      <c r="AC436">
        <v>-0.2</v>
      </c>
    </row>
    <row r="437" spans="1:29" x14ac:dyDescent="0.35">
      <c r="A437">
        <v>436</v>
      </c>
      <c r="B437" s="1" t="s">
        <v>506</v>
      </c>
      <c r="C437" s="1" t="s">
        <v>28</v>
      </c>
      <c r="D437">
        <v>26</v>
      </c>
      <c r="E437" s="1" t="s">
        <v>140</v>
      </c>
      <c r="F437">
        <v>12</v>
      </c>
      <c r="G437">
        <v>112</v>
      </c>
      <c r="H437">
        <v>14.8</v>
      </c>
      <c r="I437">
        <v>0.63200000000000001</v>
      </c>
      <c r="J437">
        <v>0.42099999999999999</v>
      </c>
      <c r="K437">
        <v>0.23699999999999999</v>
      </c>
      <c r="L437">
        <v>5</v>
      </c>
      <c r="M437">
        <v>21.7</v>
      </c>
      <c r="N437">
        <v>13.5</v>
      </c>
      <c r="O437">
        <v>7.9</v>
      </c>
      <c r="P437">
        <v>1.8</v>
      </c>
      <c r="Q437">
        <v>0.8</v>
      </c>
      <c r="R437">
        <v>16</v>
      </c>
      <c r="S437">
        <v>19.600000000000001</v>
      </c>
      <c r="T437" s="1" t="s">
        <v>707</v>
      </c>
      <c r="U437">
        <v>0.1</v>
      </c>
      <c r="V437">
        <v>0.2</v>
      </c>
      <c r="W437">
        <v>0.3</v>
      </c>
      <c r="X437">
        <v>0.14099999999999999</v>
      </c>
      <c r="Y437" s="1" t="s">
        <v>707</v>
      </c>
      <c r="Z437">
        <v>-0.4</v>
      </c>
      <c r="AA437">
        <v>1.1000000000000001</v>
      </c>
      <c r="AB437">
        <v>0.7</v>
      </c>
      <c r="AC437">
        <v>0.1</v>
      </c>
    </row>
    <row r="438" spans="1:29" x14ac:dyDescent="0.35">
      <c r="A438">
        <v>437</v>
      </c>
      <c r="B438" s="1" t="s">
        <v>507</v>
      </c>
      <c r="C438" s="1" t="s">
        <v>28</v>
      </c>
      <c r="D438">
        <v>25</v>
      </c>
      <c r="E438" s="1" t="s">
        <v>70</v>
      </c>
      <c r="F438">
        <v>58</v>
      </c>
      <c r="G438">
        <v>736</v>
      </c>
      <c r="H438">
        <v>13.9</v>
      </c>
      <c r="I438">
        <v>0.61199999999999999</v>
      </c>
      <c r="J438">
        <v>0.46</v>
      </c>
      <c r="K438">
        <v>0.36599999999999999</v>
      </c>
      <c r="L438">
        <v>4.5999999999999996</v>
      </c>
      <c r="M438">
        <v>10.9</v>
      </c>
      <c r="N438">
        <v>7.9</v>
      </c>
      <c r="O438">
        <v>7.1</v>
      </c>
      <c r="P438">
        <v>0.6</v>
      </c>
      <c r="Q438">
        <v>0.6</v>
      </c>
      <c r="R438">
        <v>9</v>
      </c>
      <c r="S438">
        <v>17.7</v>
      </c>
      <c r="T438" s="1" t="s">
        <v>707</v>
      </c>
      <c r="U438">
        <v>1.4</v>
      </c>
      <c r="V438">
        <v>0.5</v>
      </c>
      <c r="W438">
        <v>2</v>
      </c>
      <c r="X438">
        <v>0.128</v>
      </c>
      <c r="Y438" s="1" t="s">
        <v>707</v>
      </c>
      <c r="Z438">
        <v>0.5</v>
      </c>
      <c r="AA438">
        <v>-1</v>
      </c>
      <c r="AB438">
        <v>-0.5</v>
      </c>
      <c r="AC438">
        <v>0.3</v>
      </c>
    </row>
    <row r="439" spans="1:29" x14ac:dyDescent="0.35">
      <c r="A439">
        <v>438</v>
      </c>
      <c r="B439" s="1" t="s">
        <v>508</v>
      </c>
      <c r="C439" s="1" t="s">
        <v>48</v>
      </c>
      <c r="D439">
        <v>36</v>
      </c>
      <c r="E439" s="1" t="s">
        <v>68</v>
      </c>
      <c r="F439">
        <v>65</v>
      </c>
      <c r="G439">
        <v>2139</v>
      </c>
      <c r="H439">
        <v>20.8</v>
      </c>
      <c r="I439">
        <v>0.58099999999999996</v>
      </c>
      <c r="J439">
        <v>0.27</v>
      </c>
      <c r="K439">
        <v>0.27400000000000002</v>
      </c>
      <c r="L439">
        <v>1.1000000000000001</v>
      </c>
      <c r="M439">
        <v>12.8</v>
      </c>
      <c r="N439">
        <v>7.1</v>
      </c>
      <c r="O439">
        <v>44.5</v>
      </c>
      <c r="P439">
        <v>2.7</v>
      </c>
      <c r="Q439">
        <v>0.8</v>
      </c>
      <c r="R439">
        <v>15.6</v>
      </c>
      <c r="S439">
        <v>19.7</v>
      </c>
      <c r="T439" s="1" t="s">
        <v>707</v>
      </c>
      <c r="U439">
        <v>5.8</v>
      </c>
      <c r="V439">
        <v>3.6</v>
      </c>
      <c r="W439">
        <v>9.4</v>
      </c>
      <c r="X439">
        <v>0.21</v>
      </c>
      <c r="Y439" s="1" t="s">
        <v>707</v>
      </c>
      <c r="Z439">
        <v>3.1</v>
      </c>
      <c r="AA439">
        <v>2.2999999999999998</v>
      </c>
      <c r="AB439">
        <v>5.4</v>
      </c>
      <c r="AC439">
        <v>4</v>
      </c>
    </row>
    <row r="440" spans="1:29" x14ac:dyDescent="0.35">
      <c r="A440">
        <v>439</v>
      </c>
      <c r="B440" s="1" t="s">
        <v>509</v>
      </c>
      <c r="C440" s="1" t="s">
        <v>48</v>
      </c>
      <c r="D440">
        <v>27</v>
      </c>
      <c r="E440" s="1" t="s">
        <v>68</v>
      </c>
      <c r="F440">
        <v>58</v>
      </c>
      <c r="G440">
        <v>1278</v>
      </c>
      <c r="H440">
        <v>13.8</v>
      </c>
      <c r="I440">
        <v>0.5</v>
      </c>
      <c r="J440">
        <v>0.35899999999999999</v>
      </c>
      <c r="K440">
        <v>0.152</v>
      </c>
      <c r="L440">
        <v>2.1</v>
      </c>
      <c r="M440">
        <v>12.3</v>
      </c>
      <c r="N440">
        <v>7.3</v>
      </c>
      <c r="O440">
        <v>30.7</v>
      </c>
      <c r="P440">
        <v>1.5</v>
      </c>
      <c r="Q440">
        <v>1.2</v>
      </c>
      <c r="R440">
        <v>14.1</v>
      </c>
      <c r="S440">
        <v>24.6</v>
      </c>
      <c r="T440" s="1" t="s">
        <v>707</v>
      </c>
      <c r="U440">
        <v>0.2</v>
      </c>
      <c r="V440">
        <v>1.8</v>
      </c>
      <c r="W440">
        <v>1.9</v>
      </c>
      <c r="X440">
        <v>7.2999999999999995E-2</v>
      </c>
      <c r="Y440" s="1" t="s">
        <v>707</v>
      </c>
      <c r="Z440">
        <v>-0.4</v>
      </c>
      <c r="AA440">
        <v>0.4</v>
      </c>
      <c r="AB440">
        <v>0</v>
      </c>
      <c r="AC440">
        <v>0.7</v>
      </c>
    </row>
    <row r="441" spans="1:29" x14ac:dyDescent="0.35">
      <c r="A441">
        <v>440</v>
      </c>
      <c r="B441" s="1" t="s">
        <v>510</v>
      </c>
      <c r="C441" s="1" t="s">
        <v>48</v>
      </c>
      <c r="D441">
        <v>27</v>
      </c>
      <c r="E441" s="1" t="s">
        <v>68</v>
      </c>
      <c r="F441">
        <v>50</v>
      </c>
      <c r="G441">
        <v>549</v>
      </c>
      <c r="H441">
        <v>7.9</v>
      </c>
      <c r="I441">
        <v>0.39700000000000002</v>
      </c>
      <c r="J441">
        <v>0.10299999999999999</v>
      </c>
      <c r="K441">
        <v>0.183</v>
      </c>
      <c r="L441">
        <v>4.2</v>
      </c>
      <c r="M441">
        <v>12.8</v>
      </c>
      <c r="N441">
        <v>8.6</v>
      </c>
      <c r="O441">
        <v>23</v>
      </c>
      <c r="P441">
        <v>2.2000000000000002</v>
      </c>
      <c r="Q441">
        <v>1</v>
      </c>
      <c r="R441">
        <v>19.899999999999999</v>
      </c>
      <c r="S441">
        <v>18.5</v>
      </c>
      <c r="T441" s="1" t="s">
        <v>707</v>
      </c>
      <c r="U441">
        <v>-1</v>
      </c>
      <c r="V441">
        <v>0.8</v>
      </c>
      <c r="W441">
        <v>-0.2</v>
      </c>
      <c r="X441">
        <v>-1.4E-2</v>
      </c>
      <c r="Y441" s="1" t="s">
        <v>707</v>
      </c>
      <c r="Z441">
        <v>-4.5999999999999996</v>
      </c>
      <c r="AA441">
        <v>1.2</v>
      </c>
      <c r="AB441">
        <v>-3.5</v>
      </c>
      <c r="AC441">
        <v>-0.2</v>
      </c>
    </row>
    <row r="442" spans="1:29" x14ac:dyDescent="0.35">
      <c r="A442">
        <v>441</v>
      </c>
      <c r="B442" s="1" t="s">
        <v>511</v>
      </c>
      <c r="C442" s="1" t="s">
        <v>48</v>
      </c>
      <c r="D442">
        <v>29</v>
      </c>
      <c r="E442" s="1" t="s">
        <v>111</v>
      </c>
      <c r="F442">
        <v>71</v>
      </c>
      <c r="G442">
        <v>1247</v>
      </c>
      <c r="H442">
        <v>17.8</v>
      </c>
      <c r="I442">
        <v>0.67900000000000005</v>
      </c>
      <c r="J442">
        <v>0.34899999999999998</v>
      </c>
      <c r="K442">
        <v>0.16900000000000001</v>
      </c>
      <c r="L442">
        <v>6.5</v>
      </c>
      <c r="M442">
        <v>14.9</v>
      </c>
      <c r="N442">
        <v>10.8</v>
      </c>
      <c r="O442">
        <v>7.6</v>
      </c>
      <c r="P442">
        <v>3.8</v>
      </c>
      <c r="Q442">
        <v>1.7</v>
      </c>
      <c r="R442">
        <v>9.8000000000000007</v>
      </c>
      <c r="S442">
        <v>14.3</v>
      </c>
      <c r="T442" s="1" t="s">
        <v>707</v>
      </c>
      <c r="U442">
        <v>2.5</v>
      </c>
      <c r="V442">
        <v>2.6</v>
      </c>
      <c r="W442">
        <v>5.2</v>
      </c>
      <c r="X442">
        <v>0.19900000000000001</v>
      </c>
      <c r="Y442" s="1" t="s">
        <v>707</v>
      </c>
      <c r="Z442">
        <v>0.3</v>
      </c>
      <c r="AA442">
        <v>3.4</v>
      </c>
      <c r="AB442">
        <v>3.7</v>
      </c>
      <c r="AC442">
        <v>1.8</v>
      </c>
    </row>
    <row r="443" spans="1:29" x14ac:dyDescent="0.35">
      <c r="A443">
        <v>442</v>
      </c>
      <c r="B443" s="1" t="s">
        <v>512</v>
      </c>
      <c r="C443" s="1" t="s">
        <v>31</v>
      </c>
      <c r="D443">
        <v>28</v>
      </c>
      <c r="E443" s="1" t="s">
        <v>70</v>
      </c>
      <c r="F443">
        <v>3</v>
      </c>
      <c r="G443">
        <v>19</v>
      </c>
      <c r="H443">
        <v>12.2</v>
      </c>
      <c r="I443">
        <v>0.6</v>
      </c>
      <c r="J443">
        <v>0</v>
      </c>
      <c r="K443">
        <v>0</v>
      </c>
      <c r="L443">
        <v>17.899999999999999</v>
      </c>
      <c r="M443">
        <v>16.7</v>
      </c>
      <c r="N443">
        <v>17.3</v>
      </c>
      <c r="O443">
        <v>0</v>
      </c>
      <c r="P443">
        <v>0</v>
      </c>
      <c r="Q443">
        <v>4.5999999999999996</v>
      </c>
      <c r="R443">
        <v>28.6</v>
      </c>
      <c r="S443">
        <v>16</v>
      </c>
      <c r="T443" s="1" t="s">
        <v>707</v>
      </c>
      <c r="U443">
        <v>0</v>
      </c>
      <c r="V443">
        <v>0</v>
      </c>
      <c r="W443">
        <v>0</v>
      </c>
      <c r="X443">
        <v>3.7999999999999999E-2</v>
      </c>
      <c r="Y443" s="1" t="s">
        <v>707</v>
      </c>
      <c r="Z443">
        <v>-3</v>
      </c>
      <c r="AA443">
        <v>-4.0999999999999996</v>
      </c>
      <c r="AB443">
        <v>-7.1</v>
      </c>
      <c r="AC443">
        <v>0</v>
      </c>
    </row>
    <row r="444" spans="1:29" x14ac:dyDescent="0.35">
      <c r="A444">
        <v>443</v>
      </c>
      <c r="B444" s="1" t="s">
        <v>513</v>
      </c>
      <c r="C444" s="1" t="s">
        <v>28</v>
      </c>
      <c r="D444">
        <v>21</v>
      </c>
      <c r="E444" s="1" t="s">
        <v>42</v>
      </c>
      <c r="F444">
        <v>10</v>
      </c>
      <c r="G444">
        <v>187</v>
      </c>
      <c r="H444">
        <v>15.6</v>
      </c>
      <c r="I444">
        <v>0.53700000000000003</v>
      </c>
      <c r="J444">
        <v>0.20300000000000001</v>
      </c>
      <c r="K444">
        <v>0.19</v>
      </c>
      <c r="L444">
        <v>8.5</v>
      </c>
      <c r="M444">
        <v>19.5</v>
      </c>
      <c r="N444">
        <v>13.8</v>
      </c>
      <c r="O444">
        <v>11.1</v>
      </c>
      <c r="P444">
        <v>2.4</v>
      </c>
      <c r="Q444">
        <v>3.2</v>
      </c>
      <c r="R444">
        <v>11.4</v>
      </c>
      <c r="S444">
        <v>22.4</v>
      </c>
      <c r="T444" s="1" t="s">
        <v>707</v>
      </c>
      <c r="U444">
        <v>0.1</v>
      </c>
      <c r="V444">
        <v>0.2</v>
      </c>
      <c r="W444">
        <v>0.2</v>
      </c>
      <c r="X444">
        <v>5.8000000000000003E-2</v>
      </c>
      <c r="Y444" s="1" t="s">
        <v>707</v>
      </c>
      <c r="Z444">
        <v>-3.1</v>
      </c>
      <c r="AA444">
        <v>-1</v>
      </c>
      <c r="AB444">
        <v>-4.0999999999999996</v>
      </c>
      <c r="AC444">
        <v>-0.1</v>
      </c>
    </row>
    <row r="445" spans="1:29" x14ac:dyDescent="0.35">
      <c r="A445">
        <v>444</v>
      </c>
      <c r="B445" s="1" t="s">
        <v>514</v>
      </c>
      <c r="C445" s="1" t="s">
        <v>28</v>
      </c>
      <c r="D445">
        <v>24</v>
      </c>
      <c r="E445" s="1" t="s">
        <v>105</v>
      </c>
      <c r="F445">
        <v>13</v>
      </c>
      <c r="G445">
        <v>176</v>
      </c>
      <c r="H445">
        <v>7.6</v>
      </c>
      <c r="I445">
        <v>0.49099999999999999</v>
      </c>
      <c r="J445">
        <v>0.78</v>
      </c>
      <c r="K445">
        <v>0.04</v>
      </c>
      <c r="L445">
        <v>3.5</v>
      </c>
      <c r="M445">
        <v>16.8</v>
      </c>
      <c r="N445">
        <v>9.8000000000000007</v>
      </c>
      <c r="O445">
        <v>5.8</v>
      </c>
      <c r="P445">
        <v>0</v>
      </c>
      <c r="Q445">
        <v>3.6</v>
      </c>
      <c r="R445">
        <v>8.9</v>
      </c>
      <c r="S445">
        <v>13.6</v>
      </c>
      <c r="T445" s="1" t="s">
        <v>707</v>
      </c>
      <c r="U445">
        <v>0</v>
      </c>
      <c r="V445">
        <v>0.1</v>
      </c>
      <c r="W445">
        <v>0.1</v>
      </c>
      <c r="X445">
        <v>1.4999999999999999E-2</v>
      </c>
      <c r="Y445" s="1" t="s">
        <v>707</v>
      </c>
      <c r="Z445">
        <v>-2.8</v>
      </c>
      <c r="AA445">
        <v>-2.1</v>
      </c>
      <c r="AB445">
        <v>-5</v>
      </c>
      <c r="AC445">
        <v>-0.1</v>
      </c>
    </row>
    <row r="446" spans="1:29" x14ac:dyDescent="0.35">
      <c r="A446">
        <v>445</v>
      </c>
      <c r="B446" s="1" t="s">
        <v>515</v>
      </c>
      <c r="C446" s="1" t="s">
        <v>51</v>
      </c>
      <c r="D446">
        <v>26</v>
      </c>
      <c r="E446" s="1" t="s">
        <v>143</v>
      </c>
      <c r="F446">
        <v>19</v>
      </c>
      <c r="G446">
        <v>148</v>
      </c>
      <c r="H446">
        <v>11.9</v>
      </c>
      <c r="I446">
        <v>0.55300000000000005</v>
      </c>
      <c r="J446">
        <v>0.76900000000000002</v>
      </c>
      <c r="K446">
        <v>0.25600000000000001</v>
      </c>
      <c r="L446">
        <v>1.5</v>
      </c>
      <c r="M446">
        <v>14.3</v>
      </c>
      <c r="N446">
        <v>7.9</v>
      </c>
      <c r="O446">
        <v>15.9</v>
      </c>
      <c r="P446">
        <v>1.7</v>
      </c>
      <c r="Q446">
        <v>1.2</v>
      </c>
      <c r="R446">
        <v>10.3</v>
      </c>
      <c r="S446">
        <v>14.7</v>
      </c>
      <c r="T446" s="1" t="s">
        <v>707</v>
      </c>
      <c r="U446">
        <v>0.2</v>
      </c>
      <c r="V446">
        <v>0.2</v>
      </c>
      <c r="W446">
        <v>0.4</v>
      </c>
      <c r="X446">
        <v>0.122</v>
      </c>
      <c r="Y446" s="1" t="s">
        <v>707</v>
      </c>
      <c r="Z446">
        <v>-1.5</v>
      </c>
      <c r="AA446">
        <v>1</v>
      </c>
      <c r="AB446">
        <v>-0.5</v>
      </c>
      <c r="AC446">
        <v>0.1</v>
      </c>
    </row>
    <row r="447" spans="1:29" x14ac:dyDescent="0.35">
      <c r="A447">
        <v>446</v>
      </c>
      <c r="B447" s="1" t="s">
        <v>516</v>
      </c>
      <c r="C447" s="1" t="s">
        <v>31</v>
      </c>
      <c r="D447">
        <v>31</v>
      </c>
      <c r="E447" s="1" t="s">
        <v>73</v>
      </c>
      <c r="F447">
        <v>73</v>
      </c>
      <c r="G447">
        <v>1793</v>
      </c>
      <c r="H447">
        <v>14.7</v>
      </c>
      <c r="I447">
        <v>0.60299999999999998</v>
      </c>
      <c r="J447">
        <v>6.0000000000000001E-3</v>
      </c>
      <c r="K447">
        <v>0.53400000000000003</v>
      </c>
      <c r="L447">
        <v>10.199999999999999</v>
      </c>
      <c r="M447">
        <v>23.3</v>
      </c>
      <c r="N447">
        <v>16.7</v>
      </c>
      <c r="O447">
        <v>16.399999999999999</v>
      </c>
      <c r="P447">
        <v>1.6</v>
      </c>
      <c r="Q447">
        <v>2.7</v>
      </c>
      <c r="R447">
        <v>20.2</v>
      </c>
      <c r="S447">
        <v>11.7</v>
      </c>
      <c r="T447" s="1" t="s">
        <v>707</v>
      </c>
      <c r="U447">
        <v>2.7</v>
      </c>
      <c r="V447">
        <v>2</v>
      </c>
      <c r="W447">
        <v>4.7</v>
      </c>
      <c r="X447">
        <v>0.127</v>
      </c>
      <c r="Y447" s="1" t="s">
        <v>707</v>
      </c>
      <c r="Z447">
        <v>-1.5</v>
      </c>
      <c r="AA447">
        <v>1.5</v>
      </c>
      <c r="AB447">
        <v>0</v>
      </c>
      <c r="AC447">
        <v>0.9</v>
      </c>
    </row>
    <row r="448" spans="1:29" x14ac:dyDescent="0.35">
      <c r="A448">
        <v>447</v>
      </c>
      <c r="B448" s="1" t="s">
        <v>517</v>
      </c>
      <c r="C448" s="1" t="s">
        <v>31</v>
      </c>
      <c r="D448">
        <v>26</v>
      </c>
      <c r="E448" s="1" t="s">
        <v>91</v>
      </c>
      <c r="F448">
        <v>68</v>
      </c>
      <c r="G448">
        <v>1970</v>
      </c>
      <c r="H448">
        <v>20.8</v>
      </c>
      <c r="I448">
        <v>0.61299999999999999</v>
      </c>
      <c r="J448">
        <v>2E-3</v>
      </c>
      <c r="K448">
        <v>0.28699999999999998</v>
      </c>
      <c r="L448">
        <v>13.9</v>
      </c>
      <c r="M448">
        <v>20</v>
      </c>
      <c r="N448">
        <v>16.899999999999999</v>
      </c>
      <c r="O448">
        <v>14</v>
      </c>
      <c r="P448">
        <v>1.1000000000000001</v>
      </c>
      <c r="Q448">
        <v>5</v>
      </c>
      <c r="R448">
        <v>12.7</v>
      </c>
      <c r="S448">
        <v>18.3</v>
      </c>
      <c r="T448" s="1" t="s">
        <v>707</v>
      </c>
      <c r="U448">
        <v>4.4000000000000004</v>
      </c>
      <c r="V448">
        <v>2.5</v>
      </c>
      <c r="W448">
        <v>6.9</v>
      </c>
      <c r="X448">
        <v>0.16800000000000001</v>
      </c>
      <c r="Y448" s="1" t="s">
        <v>707</v>
      </c>
      <c r="Z448">
        <v>0.9</v>
      </c>
      <c r="AA448">
        <v>0.7</v>
      </c>
      <c r="AB448">
        <v>1.6</v>
      </c>
      <c r="AC448">
        <v>1.7</v>
      </c>
    </row>
    <row r="449" spans="1:29" x14ac:dyDescent="0.35">
      <c r="A449">
        <v>448</v>
      </c>
      <c r="B449" s="1" t="s">
        <v>518</v>
      </c>
      <c r="C449" s="1" t="s">
        <v>28</v>
      </c>
      <c r="D449">
        <v>20</v>
      </c>
      <c r="E449" s="1" t="s">
        <v>96</v>
      </c>
      <c r="F449">
        <v>61</v>
      </c>
      <c r="G449">
        <v>1233</v>
      </c>
      <c r="H449">
        <v>12</v>
      </c>
      <c r="I449">
        <v>0.48499999999999999</v>
      </c>
      <c r="J449">
        <v>0.432</v>
      </c>
      <c r="K449">
        <v>0.11</v>
      </c>
      <c r="L449">
        <v>6</v>
      </c>
      <c r="M449">
        <v>20.8</v>
      </c>
      <c r="N449">
        <v>13.3</v>
      </c>
      <c r="O449">
        <v>16.5</v>
      </c>
      <c r="P449">
        <v>1.5</v>
      </c>
      <c r="Q449">
        <v>2.9</v>
      </c>
      <c r="R449">
        <v>16.399999999999999</v>
      </c>
      <c r="S449">
        <v>20</v>
      </c>
      <c r="T449" s="1" t="s">
        <v>707</v>
      </c>
      <c r="U449">
        <v>-1.1000000000000001</v>
      </c>
      <c r="V449">
        <v>1.5</v>
      </c>
      <c r="W449">
        <v>0.4</v>
      </c>
      <c r="X449">
        <v>1.4E-2</v>
      </c>
      <c r="Y449" s="1" t="s">
        <v>707</v>
      </c>
      <c r="Z449">
        <v>-2.7</v>
      </c>
      <c r="AA449">
        <v>0.1</v>
      </c>
      <c r="AB449">
        <v>-2.6</v>
      </c>
      <c r="AC449">
        <v>-0.2</v>
      </c>
    </row>
    <row r="450" spans="1:29" x14ac:dyDescent="0.35">
      <c r="A450">
        <v>449</v>
      </c>
      <c r="B450" s="1" t="s">
        <v>519</v>
      </c>
      <c r="C450" s="1" t="s">
        <v>51</v>
      </c>
      <c r="D450">
        <v>22</v>
      </c>
      <c r="E450" s="1" t="s">
        <v>34</v>
      </c>
      <c r="F450">
        <v>12</v>
      </c>
      <c r="G450">
        <v>71</v>
      </c>
      <c r="H450">
        <v>5.9</v>
      </c>
      <c r="I450">
        <v>0.38500000000000001</v>
      </c>
      <c r="J450">
        <v>0.56299999999999994</v>
      </c>
      <c r="K450">
        <v>0.125</v>
      </c>
      <c r="L450">
        <v>7.2</v>
      </c>
      <c r="M450">
        <v>10.6</v>
      </c>
      <c r="N450">
        <v>8.8000000000000007</v>
      </c>
      <c r="O450">
        <v>1.7</v>
      </c>
      <c r="P450">
        <v>0.7</v>
      </c>
      <c r="Q450">
        <v>5</v>
      </c>
      <c r="R450">
        <v>5.6</v>
      </c>
      <c r="S450">
        <v>10.3</v>
      </c>
      <c r="T450" s="1" t="s">
        <v>707</v>
      </c>
      <c r="U450">
        <v>0</v>
      </c>
      <c r="V450">
        <v>0.1</v>
      </c>
      <c r="W450">
        <v>0</v>
      </c>
      <c r="X450">
        <v>0.03</v>
      </c>
      <c r="Y450" s="1" t="s">
        <v>707</v>
      </c>
      <c r="Z450">
        <v>-4.9000000000000004</v>
      </c>
      <c r="AA450">
        <v>-1.7</v>
      </c>
      <c r="AB450">
        <v>-6.6</v>
      </c>
      <c r="AC450">
        <v>-0.1</v>
      </c>
    </row>
    <row r="451" spans="1:29" x14ac:dyDescent="0.35">
      <c r="A451">
        <v>450</v>
      </c>
      <c r="B451" s="1" t="s">
        <v>520</v>
      </c>
      <c r="C451" s="1" t="s">
        <v>41</v>
      </c>
      <c r="D451">
        <v>22</v>
      </c>
      <c r="E451" s="1" t="s">
        <v>111</v>
      </c>
      <c r="F451">
        <v>76</v>
      </c>
      <c r="G451">
        <v>2283</v>
      </c>
      <c r="H451">
        <v>16.100000000000001</v>
      </c>
      <c r="I451">
        <v>0.59799999999999998</v>
      </c>
      <c r="J451">
        <v>0.54800000000000004</v>
      </c>
      <c r="K451">
        <v>0.251</v>
      </c>
      <c r="L451">
        <v>1.7</v>
      </c>
      <c r="M451">
        <v>10.5</v>
      </c>
      <c r="N451">
        <v>6.2</v>
      </c>
      <c r="O451">
        <v>21</v>
      </c>
      <c r="P451">
        <v>1.3</v>
      </c>
      <c r="Q451">
        <v>1</v>
      </c>
      <c r="R451">
        <v>13.7</v>
      </c>
      <c r="S451">
        <v>26</v>
      </c>
      <c r="T451" s="1" t="s">
        <v>707</v>
      </c>
      <c r="U451">
        <v>3.1</v>
      </c>
      <c r="V451">
        <v>2.9</v>
      </c>
      <c r="W451">
        <v>6</v>
      </c>
      <c r="X451">
        <v>0.126</v>
      </c>
      <c r="Y451" s="1" t="s">
        <v>707</v>
      </c>
      <c r="Z451">
        <v>1.3</v>
      </c>
      <c r="AA451">
        <v>-0.3</v>
      </c>
      <c r="AB451">
        <v>1</v>
      </c>
      <c r="AC451">
        <v>1.7</v>
      </c>
    </row>
    <row r="452" spans="1:29" x14ac:dyDescent="0.35">
      <c r="A452">
        <v>451</v>
      </c>
      <c r="B452" s="1" t="s">
        <v>521</v>
      </c>
      <c r="C452" s="1" t="s">
        <v>48</v>
      </c>
      <c r="D452">
        <v>21</v>
      </c>
      <c r="E452" s="1" t="s">
        <v>170</v>
      </c>
      <c r="F452">
        <v>61</v>
      </c>
      <c r="G452">
        <v>1907</v>
      </c>
      <c r="H452">
        <v>13.5</v>
      </c>
      <c r="I452">
        <v>0.53100000000000003</v>
      </c>
      <c r="J452">
        <v>0.51100000000000001</v>
      </c>
      <c r="K452">
        <v>0.23899999999999999</v>
      </c>
      <c r="L452">
        <v>2.5</v>
      </c>
      <c r="M452">
        <v>13</v>
      </c>
      <c r="N452">
        <v>7.7</v>
      </c>
      <c r="O452">
        <v>30.7</v>
      </c>
      <c r="P452">
        <v>1.7</v>
      </c>
      <c r="Q452">
        <v>1</v>
      </c>
      <c r="R452">
        <v>17.7</v>
      </c>
      <c r="S452">
        <v>24.1</v>
      </c>
      <c r="T452" s="1" t="s">
        <v>707</v>
      </c>
      <c r="U452">
        <v>0</v>
      </c>
      <c r="V452">
        <v>0.8</v>
      </c>
      <c r="W452">
        <v>0.8</v>
      </c>
      <c r="X452">
        <v>2.1000000000000001E-2</v>
      </c>
      <c r="Y452" s="1" t="s">
        <v>707</v>
      </c>
      <c r="Z452">
        <v>-0.1</v>
      </c>
      <c r="AA452">
        <v>-1.6</v>
      </c>
      <c r="AB452">
        <v>-1.6</v>
      </c>
      <c r="AC452">
        <v>0.2</v>
      </c>
    </row>
    <row r="453" spans="1:29" x14ac:dyDescent="0.35">
      <c r="A453">
        <v>452</v>
      </c>
      <c r="B453" s="1" t="s">
        <v>522</v>
      </c>
      <c r="C453" s="1" t="s">
        <v>51</v>
      </c>
      <c r="D453">
        <v>23</v>
      </c>
      <c r="E453" s="1" t="s">
        <v>86</v>
      </c>
      <c r="F453">
        <v>9</v>
      </c>
      <c r="G453">
        <v>265</v>
      </c>
      <c r="H453">
        <v>7.5</v>
      </c>
      <c r="I453">
        <v>0.41599999999999998</v>
      </c>
      <c r="J453">
        <v>0.46600000000000003</v>
      </c>
      <c r="K453">
        <v>8.6999999999999994E-2</v>
      </c>
      <c r="L453">
        <v>3.9</v>
      </c>
      <c r="M453">
        <v>20.399999999999999</v>
      </c>
      <c r="N453">
        <v>12.4</v>
      </c>
      <c r="O453">
        <v>8.9</v>
      </c>
      <c r="P453">
        <v>1.9</v>
      </c>
      <c r="Q453">
        <v>0.7</v>
      </c>
      <c r="R453">
        <v>10.1</v>
      </c>
      <c r="S453">
        <v>19.7</v>
      </c>
      <c r="T453" s="1" t="s">
        <v>707</v>
      </c>
      <c r="U453">
        <v>-0.5</v>
      </c>
      <c r="V453">
        <v>0.3</v>
      </c>
      <c r="W453">
        <v>-0.2</v>
      </c>
      <c r="X453">
        <v>-3.2000000000000001E-2</v>
      </c>
      <c r="Y453" s="1" t="s">
        <v>707</v>
      </c>
      <c r="Z453">
        <v>-3.9</v>
      </c>
      <c r="AA453">
        <v>0.5</v>
      </c>
      <c r="AB453">
        <v>-3.5</v>
      </c>
      <c r="AC453">
        <v>-0.1</v>
      </c>
    </row>
    <row r="454" spans="1:29" x14ac:dyDescent="0.35">
      <c r="A454">
        <v>453</v>
      </c>
      <c r="B454" s="1" t="s">
        <v>523</v>
      </c>
      <c r="C454" s="1" t="s">
        <v>28</v>
      </c>
      <c r="D454">
        <v>28</v>
      </c>
      <c r="E454" s="1" t="s">
        <v>111</v>
      </c>
      <c r="F454">
        <v>63</v>
      </c>
      <c r="G454">
        <v>1396</v>
      </c>
      <c r="H454">
        <v>15.9</v>
      </c>
      <c r="I454">
        <v>0.58099999999999996</v>
      </c>
      <c r="J454">
        <v>0.51900000000000002</v>
      </c>
      <c r="K454">
        <v>0.14699999999999999</v>
      </c>
      <c r="L454">
        <v>6.9</v>
      </c>
      <c r="M454">
        <v>21</v>
      </c>
      <c r="N454">
        <v>14.2</v>
      </c>
      <c r="O454">
        <v>9.6</v>
      </c>
      <c r="P454">
        <v>2.4</v>
      </c>
      <c r="Q454">
        <v>2</v>
      </c>
      <c r="R454">
        <v>7.7</v>
      </c>
      <c r="S454">
        <v>15</v>
      </c>
      <c r="T454" s="1" t="s">
        <v>707</v>
      </c>
      <c r="U454">
        <v>2.2000000000000002</v>
      </c>
      <c r="V454">
        <v>2.7</v>
      </c>
      <c r="W454">
        <v>4.9000000000000004</v>
      </c>
      <c r="X454">
        <v>0.16800000000000001</v>
      </c>
      <c r="Y454" s="1" t="s">
        <v>707</v>
      </c>
      <c r="Z454">
        <v>1</v>
      </c>
      <c r="AA454">
        <v>2.1</v>
      </c>
      <c r="AB454">
        <v>3.1</v>
      </c>
      <c r="AC454">
        <v>1.8</v>
      </c>
    </row>
    <row r="455" spans="1:29" x14ac:dyDescent="0.35">
      <c r="A455">
        <v>454</v>
      </c>
      <c r="B455" s="1" t="s">
        <v>524</v>
      </c>
      <c r="C455" s="1" t="s">
        <v>31</v>
      </c>
      <c r="D455">
        <v>26</v>
      </c>
      <c r="E455" s="1" t="s">
        <v>44</v>
      </c>
      <c r="F455">
        <v>72</v>
      </c>
      <c r="G455">
        <v>2028</v>
      </c>
      <c r="H455">
        <v>17.7</v>
      </c>
      <c r="I455">
        <v>0.57099999999999995</v>
      </c>
      <c r="J455">
        <v>0.38800000000000001</v>
      </c>
      <c r="K455">
        <v>0.13</v>
      </c>
      <c r="L455">
        <v>9.6</v>
      </c>
      <c r="M455">
        <v>24.4</v>
      </c>
      <c r="N455">
        <v>17.2</v>
      </c>
      <c r="O455">
        <v>6.4</v>
      </c>
      <c r="P455">
        <v>1.3</v>
      </c>
      <c r="Q455">
        <v>2.4</v>
      </c>
      <c r="R455">
        <v>8.9</v>
      </c>
      <c r="S455">
        <v>21.3</v>
      </c>
      <c r="T455" s="1" t="s">
        <v>707</v>
      </c>
      <c r="U455">
        <v>2.9</v>
      </c>
      <c r="V455">
        <v>2.6</v>
      </c>
      <c r="W455">
        <v>5.5</v>
      </c>
      <c r="X455">
        <v>0.13100000000000001</v>
      </c>
      <c r="Y455" s="1" t="s">
        <v>707</v>
      </c>
      <c r="Z455">
        <v>1.2</v>
      </c>
      <c r="AA455">
        <v>-1</v>
      </c>
      <c r="AB455">
        <v>0.2</v>
      </c>
      <c r="AC455">
        <v>1.1000000000000001</v>
      </c>
    </row>
    <row r="456" spans="1:29" x14ac:dyDescent="0.35">
      <c r="A456">
        <v>455</v>
      </c>
      <c r="B456" s="1" t="s">
        <v>525</v>
      </c>
      <c r="C456" s="1" t="s">
        <v>28</v>
      </c>
      <c r="D456">
        <v>26</v>
      </c>
      <c r="E456" s="1" t="s">
        <v>42</v>
      </c>
      <c r="F456">
        <v>51</v>
      </c>
      <c r="G456">
        <v>1481</v>
      </c>
      <c r="H456">
        <v>23.7</v>
      </c>
      <c r="I456">
        <v>0.57699999999999996</v>
      </c>
      <c r="J456">
        <v>0.32900000000000001</v>
      </c>
      <c r="K456">
        <v>0.373</v>
      </c>
      <c r="L456">
        <v>7.7</v>
      </c>
      <c r="M456">
        <v>23.1</v>
      </c>
      <c r="N456">
        <v>15.4</v>
      </c>
      <c r="O456">
        <v>13.7</v>
      </c>
      <c r="P456">
        <v>1.3</v>
      </c>
      <c r="Q456">
        <v>5</v>
      </c>
      <c r="R456">
        <v>8.3000000000000007</v>
      </c>
      <c r="S456">
        <v>29.5</v>
      </c>
      <c r="T456" s="1" t="s">
        <v>707</v>
      </c>
      <c r="U456">
        <v>3.2</v>
      </c>
      <c r="V456">
        <v>2.4</v>
      </c>
      <c r="W456">
        <v>5.6</v>
      </c>
      <c r="X456">
        <v>0.18</v>
      </c>
      <c r="Y456" s="1" t="s">
        <v>707</v>
      </c>
      <c r="Z456">
        <v>3.3</v>
      </c>
      <c r="AA456">
        <v>0.6</v>
      </c>
      <c r="AB456">
        <v>3.9</v>
      </c>
      <c r="AC456">
        <v>2.2000000000000002</v>
      </c>
    </row>
    <row r="457" spans="1:29" x14ac:dyDescent="0.35">
      <c r="A457">
        <v>456</v>
      </c>
      <c r="B457" s="1" t="s">
        <v>526</v>
      </c>
      <c r="C457" s="1" t="s">
        <v>31</v>
      </c>
      <c r="D457">
        <v>23</v>
      </c>
      <c r="E457" s="1" t="s">
        <v>105</v>
      </c>
      <c r="F457">
        <v>3</v>
      </c>
      <c r="G457">
        <v>31</v>
      </c>
      <c r="H457">
        <v>13.6</v>
      </c>
      <c r="I457">
        <v>0.505</v>
      </c>
      <c r="J457">
        <v>0.182</v>
      </c>
      <c r="K457">
        <v>0.182</v>
      </c>
      <c r="L457">
        <v>13.3</v>
      </c>
      <c r="M457">
        <v>18.399999999999999</v>
      </c>
      <c r="N457">
        <v>15.7</v>
      </c>
      <c r="O457">
        <v>0</v>
      </c>
      <c r="P457">
        <v>1.6</v>
      </c>
      <c r="Q457">
        <v>2.9</v>
      </c>
      <c r="R457">
        <v>7.8</v>
      </c>
      <c r="S457">
        <v>17.8</v>
      </c>
      <c r="T457" s="1" t="s">
        <v>707</v>
      </c>
      <c r="U457">
        <v>0</v>
      </c>
      <c r="V457">
        <v>0</v>
      </c>
      <c r="W457">
        <v>0</v>
      </c>
      <c r="X457">
        <v>7.2999999999999995E-2</v>
      </c>
      <c r="Y457" s="1" t="s">
        <v>707</v>
      </c>
      <c r="Z457">
        <v>-4</v>
      </c>
      <c r="AA457">
        <v>-3</v>
      </c>
      <c r="AB457">
        <v>-7.1</v>
      </c>
      <c r="AC457">
        <v>0</v>
      </c>
    </row>
    <row r="458" spans="1:29" x14ac:dyDescent="0.35">
      <c r="A458">
        <v>457</v>
      </c>
      <c r="B458" s="1" t="s">
        <v>527</v>
      </c>
      <c r="C458" s="1" t="s">
        <v>31</v>
      </c>
      <c r="D458">
        <v>30</v>
      </c>
      <c r="E458" s="1" t="s">
        <v>143</v>
      </c>
      <c r="F458">
        <v>82</v>
      </c>
      <c r="G458">
        <v>1798</v>
      </c>
      <c r="H458">
        <v>18.100000000000001</v>
      </c>
      <c r="I458">
        <v>0.72499999999999998</v>
      </c>
      <c r="J458">
        <v>9.1999999999999998E-2</v>
      </c>
      <c r="K458">
        <v>0.52900000000000003</v>
      </c>
      <c r="L458">
        <v>10.7</v>
      </c>
      <c r="M458">
        <v>14.3</v>
      </c>
      <c r="N458">
        <v>12.5</v>
      </c>
      <c r="O458">
        <v>8.1</v>
      </c>
      <c r="P458">
        <v>1</v>
      </c>
      <c r="Q458">
        <v>2</v>
      </c>
      <c r="R458">
        <v>11.5</v>
      </c>
      <c r="S458">
        <v>14</v>
      </c>
      <c r="T458" s="1" t="s">
        <v>707</v>
      </c>
      <c r="U458">
        <v>6</v>
      </c>
      <c r="V458">
        <v>2.2000000000000002</v>
      </c>
      <c r="W458">
        <v>8.1999999999999993</v>
      </c>
      <c r="X458">
        <v>0.219</v>
      </c>
      <c r="Y458" s="1" t="s">
        <v>707</v>
      </c>
      <c r="Z458">
        <v>0.4</v>
      </c>
      <c r="AA458">
        <v>0.5</v>
      </c>
      <c r="AB458">
        <v>0.9</v>
      </c>
      <c r="AC458">
        <v>1.3</v>
      </c>
    </row>
    <row r="459" spans="1:29" x14ac:dyDescent="0.35">
      <c r="A459">
        <v>458</v>
      </c>
      <c r="B459" s="1" t="s">
        <v>528</v>
      </c>
      <c r="C459" s="1" t="s">
        <v>48</v>
      </c>
      <c r="D459">
        <v>24</v>
      </c>
      <c r="E459" s="1" t="s">
        <v>89</v>
      </c>
      <c r="F459">
        <v>11</v>
      </c>
      <c r="G459">
        <v>52</v>
      </c>
      <c r="H459">
        <v>0.2</v>
      </c>
      <c r="I459">
        <v>0.36399999999999999</v>
      </c>
      <c r="J459">
        <v>0.35299999999999998</v>
      </c>
      <c r="K459">
        <v>0.11799999999999999</v>
      </c>
      <c r="L459">
        <v>2.2000000000000002</v>
      </c>
      <c r="M459">
        <v>10.6</v>
      </c>
      <c r="N459">
        <v>6.4</v>
      </c>
      <c r="O459">
        <v>8</v>
      </c>
      <c r="P459">
        <v>1</v>
      </c>
      <c r="Q459">
        <v>0</v>
      </c>
      <c r="R459">
        <v>14.4</v>
      </c>
      <c r="S459">
        <v>18</v>
      </c>
      <c r="T459" s="1" t="s">
        <v>707</v>
      </c>
      <c r="U459">
        <v>-0.2</v>
      </c>
      <c r="V459">
        <v>0</v>
      </c>
      <c r="W459">
        <v>-0.1</v>
      </c>
      <c r="X459">
        <v>-0.109</v>
      </c>
      <c r="Y459" s="1" t="s">
        <v>707</v>
      </c>
      <c r="Z459">
        <v>-10.5</v>
      </c>
      <c r="AA459">
        <v>-2.2000000000000002</v>
      </c>
      <c r="AB459">
        <v>-12.7</v>
      </c>
      <c r="AC459">
        <v>-0.1</v>
      </c>
    </row>
    <row r="460" spans="1:29" x14ac:dyDescent="0.35">
      <c r="A460">
        <v>459</v>
      </c>
      <c r="B460" s="1" t="s">
        <v>529</v>
      </c>
      <c r="C460" s="1" t="s">
        <v>309</v>
      </c>
      <c r="D460">
        <v>28</v>
      </c>
      <c r="E460" s="1" t="s">
        <v>42</v>
      </c>
      <c r="F460">
        <v>45</v>
      </c>
      <c r="G460">
        <v>1458</v>
      </c>
      <c r="H460">
        <v>16.3</v>
      </c>
      <c r="I460">
        <v>0.60299999999999998</v>
      </c>
      <c r="J460">
        <v>0.41799999999999998</v>
      </c>
      <c r="K460">
        <v>0.38500000000000001</v>
      </c>
      <c r="L460">
        <v>1.5</v>
      </c>
      <c r="M460">
        <v>9.6999999999999993</v>
      </c>
      <c r="N460">
        <v>5.4</v>
      </c>
      <c r="O460">
        <v>10.8</v>
      </c>
      <c r="P460">
        <v>1.4</v>
      </c>
      <c r="Q460">
        <v>1.4</v>
      </c>
      <c r="R460">
        <v>8.9</v>
      </c>
      <c r="S460">
        <v>23.1</v>
      </c>
      <c r="T460" s="1" t="s">
        <v>707</v>
      </c>
      <c r="U460">
        <v>2.4</v>
      </c>
      <c r="V460">
        <v>0.4</v>
      </c>
      <c r="W460">
        <v>2.8</v>
      </c>
      <c r="X460">
        <v>9.2999999999999999E-2</v>
      </c>
      <c r="Y460" s="1" t="s">
        <v>707</v>
      </c>
      <c r="Z460">
        <v>1.2</v>
      </c>
      <c r="AA460">
        <v>-1.5</v>
      </c>
      <c r="AB460">
        <v>-0.3</v>
      </c>
      <c r="AC460">
        <v>0.6</v>
      </c>
    </row>
    <row r="461" spans="1:29" x14ac:dyDescent="0.35">
      <c r="A461">
        <v>460</v>
      </c>
      <c r="B461" s="1" t="s">
        <v>530</v>
      </c>
      <c r="C461" s="1" t="s">
        <v>41</v>
      </c>
      <c r="D461">
        <v>19</v>
      </c>
      <c r="E461" s="1" t="s">
        <v>91</v>
      </c>
      <c r="F461">
        <v>50</v>
      </c>
      <c r="G461">
        <v>965</v>
      </c>
      <c r="H461">
        <v>7.1</v>
      </c>
      <c r="I461">
        <v>0.48699999999999999</v>
      </c>
      <c r="J461">
        <v>0.50700000000000001</v>
      </c>
      <c r="K461">
        <v>0.219</v>
      </c>
      <c r="L461">
        <v>3.5</v>
      </c>
      <c r="M461">
        <v>8.9</v>
      </c>
      <c r="N461">
        <v>6.1</v>
      </c>
      <c r="O461">
        <v>10.6</v>
      </c>
      <c r="P461">
        <v>1</v>
      </c>
      <c r="Q461">
        <v>2</v>
      </c>
      <c r="R461">
        <v>16.100000000000001</v>
      </c>
      <c r="S461">
        <v>15.4</v>
      </c>
      <c r="T461" s="1" t="s">
        <v>707</v>
      </c>
      <c r="U461">
        <v>-0.6</v>
      </c>
      <c r="V461">
        <v>0.6</v>
      </c>
      <c r="W461">
        <v>0</v>
      </c>
      <c r="X461">
        <v>1E-3</v>
      </c>
      <c r="Y461" s="1" t="s">
        <v>707</v>
      </c>
      <c r="Z461">
        <v>-3.9</v>
      </c>
      <c r="AA461">
        <v>-1.1000000000000001</v>
      </c>
      <c r="AB461">
        <v>-5</v>
      </c>
      <c r="AC461">
        <v>-0.7</v>
      </c>
    </row>
    <row r="462" spans="1:29" x14ac:dyDescent="0.35">
      <c r="A462">
        <v>461</v>
      </c>
      <c r="B462" s="1" t="s">
        <v>531</v>
      </c>
      <c r="C462" s="1" t="s">
        <v>28</v>
      </c>
      <c r="D462">
        <v>27</v>
      </c>
      <c r="E462" s="1" t="s">
        <v>99</v>
      </c>
      <c r="F462">
        <v>69</v>
      </c>
      <c r="G462">
        <v>1177</v>
      </c>
      <c r="H462">
        <v>12.4</v>
      </c>
      <c r="I462">
        <v>0.58899999999999997</v>
      </c>
      <c r="J462">
        <v>0.58699999999999997</v>
      </c>
      <c r="K462">
        <v>0.21</v>
      </c>
      <c r="L462">
        <v>2.2999999999999998</v>
      </c>
      <c r="M462">
        <v>13.8</v>
      </c>
      <c r="N462">
        <v>7.9</v>
      </c>
      <c r="O462">
        <v>8.1</v>
      </c>
      <c r="P462">
        <v>1.9</v>
      </c>
      <c r="Q462">
        <v>1.9</v>
      </c>
      <c r="R462">
        <v>11.1</v>
      </c>
      <c r="S462">
        <v>17</v>
      </c>
      <c r="T462" s="1" t="s">
        <v>707</v>
      </c>
      <c r="U462">
        <v>1</v>
      </c>
      <c r="V462">
        <v>1.2</v>
      </c>
      <c r="W462">
        <v>2.2000000000000002</v>
      </c>
      <c r="X462">
        <v>0.09</v>
      </c>
      <c r="Y462" s="1" t="s">
        <v>707</v>
      </c>
      <c r="Z462">
        <v>-1</v>
      </c>
      <c r="AA462">
        <v>0</v>
      </c>
      <c r="AB462">
        <v>-0.9</v>
      </c>
      <c r="AC462">
        <v>0.3</v>
      </c>
    </row>
    <row r="463" spans="1:29" x14ac:dyDescent="0.35">
      <c r="A463">
        <v>462</v>
      </c>
      <c r="B463" s="1" t="s">
        <v>532</v>
      </c>
      <c r="C463" s="1" t="s">
        <v>41</v>
      </c>
      <c r="D463">
        <v>24</v>
      </c>
      <c r="E463" s="1" t="s">
        <v>140</v>
      </c>
      <c r="F463">
        <v>71</v>
      </c>
      <c r="G463">
        <v>1001</v>
      </c>
      <c r="H463">
        <v>15</v>
      </c>
      <c r="I463">
        <v>0.57799999999999996</v>
      </c>
      <c r="J463">
        <v>0.65700000000000003</v>
      </c>
      <c r="K463">
        <v>5.6000000000000001E-2</v>
      </c>
      <c r="L463">
        <v>3.5</v>
      </c>
      <c r="M463">
        <v>10.8</v>
      </c>
      <c r="N463">
        <v>7.2</v>
      </c>
      <c r="O463">
        <v>20.399999999999999</v>
      </c>
      <c r="P463">
        <v>1.2</v>
      </c>
      <c r="Q463">
        <v>0.5</v>
      </c>
      <c r="R463">
        <v>9.6999999999999993</v>
      </c>
      <c r="S463">
        <v>18.600000000000001</v>
      </c>
      <c r="T463" s="1" t="s">
        <v>707</v>
      </c>
      <c r="U463">
        <v>1.8</v>
      </c>
      <c r="V463">
        <v>1.2</v>
      </c>
      <c r="W463">
        <v>3.1</v>
      </c>
      <c r="X463">
        <v>0.14799999999999999</v>
      </c>
      <c r="Y463" s="1" t="s">
        <v>707</v>
      </c>
      <c r="Z463">
        <v>1.7</v>
      </c>
      <c r="AA463">
        <v>0.1</v>
      </c>
      <c r="AB463">
        <v>1.9</v>
      </c>
      <c r="AC463">
        <v>1</v>
      </c>
    </row>
    <row r="464" spans="1:29" x14ac:dyDescent="0.35">
      <c r="A464">
        <v>463</v>
      </c>
      <c r="B464" s="1" t="s">
        <v>533</v>
      </c>
      <c r="C464" s="1" t="s">
        <v>41</v>
      </c>
      <c r="D464">
        <v>24</v>
      </c>
      <c r="E464" s="1" t="s">
        <v>170</v>
      </c>
      <c r="F464">
        <v>10</v>
      </c>
      <c r="G464">
        <v>74</v>
      </c>
      <c r="H464">
        <v>18.2</v>
      </c>
      <c r="I464">
        <v>0.61899999999999999</v>
      </c>
      <c r="J464">
        <v>0.72699999999999998</v>
      </c>
      <c r="K464">
        <v>0.121</v>
      </c>
      <c r="L464">
        <v>10.3</v>
      </c>
      <c r="M464">
        <v>13.4</v>
      </c>
      <c r="N464">
        <v>11.9</v>
      </c>
      <c r="O464">
        <v>8.8000000000000007</v>
      </c>
      <c r="P464">
        <v>3.2</v>
      </c>
      <c r="Q464">
        <v>1.2</v>
      </c>
      <c r="R464">
        <v>16.8</v>
      </c>
      <c r="S464">
        <v>23.9</v>
      </c>
      <c r="T464" s="1" t="s">
        <v>707</v>
      </c>
      <c r="U464">
        <v>0.1</v>
      </c>
      <c r="V464">
        <v>0.1</v>
      </c>
      <c r="W464">
        <v>0.1</v>
      </c>
      <c r="X464">
        <v>0.08</v>
      </c>
      <c r="Y464" s="1" t="s">
        <v>707</v>
      </c>
      <c r="Z464">
        <v>2.7</v>
      </c>
      <c r="AA464">
        <v>-0.8</v>
      </c>
      <c r="AB464">
        <v>1.9</v>
      </c>
      <c r="AC464">
        <v>0.1</v>
      </c>
    </row>
    <row r="465" spans="1:29" x14ac:dyDescent="0.35">
      <c r="A465">
        <v>464</v>
      </c>
      <c r="B465" s="1" t="s">
        <v>534</v>
      </c>
      <c r="C465" s="1" t="s">
        <v>31</v>
      </c>
      <c r="D465">
        <v>22</v>
      </c>
      <c r="E465" s="1" t="s">
        <v>82</v>
      </c>
      <c r="F465">
        <v>14</v>
      </c>
      <c r="G465">
        <v>120</v>
      </c>
      <c r="H465">
        <v>12.7</v>
      </c>
      <c r="I465">
        <v>0.495</v>
      </c>
      <c r="J465">
        <v>0</v>
      </c>
      <c r="K465">
        <v>0.44700000000000001</v>
      </c>
      <c r="L465">
        <v>12.6</v>
      </c>
      <c r="M465">
        <v>15.6</v>
      </c>
      <c r="N465">
        <v>14.1</v>
      </c>
      <c r="O465">
        <v>7.2</v>
      </c>
      <c r="P465">
        <v>0.4</v>
      </c>
      <c r="Q465">
        <v>5.8</v>
      </c>
      <c r="R465">
        <v>11.7</v>
      </c>
      <c r="S465">
        <v>18.399999999999999</v>
      </c>
      <c r="T465" s="1" t="s">
        <v>707</v>
      </c>
      <c r="U465">
        <v>0</v>
      </c>
      <c r="V465">
        <v>0.1</v>
      </c>
      <c r="W465">
        <v>0.1</v>
      </c>
      <c r="X465">
        <v>5.0999999999999997E-2</v>
      </c>
      <c r="Y465" s="1" t="s">
        <v>707</v>
      </c>
      <c r="Z465">
        <v>-4.0999999999999996</v>
      </c>
      <c r="AA465">
        <v>-1</v>
      </c>
      <c r="AB465">
        <v>-5.0999999999999996</v>
      </c>
      <c r="AC465">
        <v>-0.1</v>
      </c>
    </row>
    <row r="466" spans="1:29" x14ac:dyDescent="0.35">
      <c r="A466">
        <v>465</v>
      </c>
      <c r="B466" s="1" t="s">
        <v>535</v>
      </c>
      <c r="C466" s="1" t="s">
        <v>48</v>
      </c>
      <c r="D466">
        <v>22</v>
      </c>
      <c r="E466" s="1" t="s">
        <v>61</v>
      </c>
      <c r="F466">
        <v>78</v>
      </c>
      <c r="G466">
        <v>1802</v>
      </c>
      <c r="H466">
        <v>14.6</v>
      </c>
      <c r="I466">
        <v>0.54300000000000004</v>
      </c>
      <c r="J466">
        <v>0.54700000000000004</v>
      </c>
      <c r="K466">
        <v>0.27800000000000002</v>
      </c>
      <c r="L466">
        <v>1.8</v>
      </c>
      <c r="M466">
        <v>13.1</v>
      </c>
      <c r="N466">
        <v>7.4</v>
      </c>
      <c r="O466">
        <v>24.5</v>
      </c>
      <c r="P466">
        <v>1.5</v>
      </c>
      <c r="Q466">
        <v>0.2</v>
      </c>
      <c r="R466">
        <v>10.9</v>
      </c>
      <c r="S466">
        <v>22.2</v>
      </c>
      <c r="T466" s="1" t="s">
        <v>707</v>
      </c>
      <c r="U466">
        <v>2.5</v>
      </c>
      <c r="V466">
        <v>1.8</v>
      </c>
      <c r="W466">
        <v>4.2</v>
      </c>
      <c r="X466">
        <v>0.113</v>
      </c>
      <c r="Y466" s="1" t="s">
        <v>707</v>
      </c>
      <c r="Z466">
        <v>0.2</v>
      </c>
      <c r="AA466">
        <v>0</v>
      </c>
      <c r="AB466">
        <v>0.2</v>
      </c>
      <c r="AC466">
        <v>1</v>
      </c>
    </row>
    <row r="467" spans="1:29" x14ac:dyDescent="0.35">
      <c r="A467">
        <v>466</v>
      </c>
      <c r="B467" s="1" t="s">
        <v>536</v>
      </c>
      <c r="C467" s="1" t="s">
        <v>41</v>
      </c>
      <c r="D467">
        <v>20</v>
      </c>
      <c r="E467" s="1" t="s">
        <v>82</v>
      </c>
      <c r="F467">
        <v>19</v>
      </c>
      <c r="G467">
        <v>134</v>
      </c>
      <c r="H467">
        <v>7.9</v>
      </c>
      <c r="I467">
        <v>0.46800000000000003</v>
      </c>
      <c r="J467">
        <v>0.31</v>
      </c>
      <c r="K467">
        <v>0.24099999999999999</v>
      </c>
      <c r="L467">
        <v>3.2</v>
      </c>
      <c r="M467">
        <v>7.4</v>
      </c>
      <c r="N467">
        <v>5.3</v>
      </c>
      <c r="O467">
        <v>7.9</v>
      </c>
      <c r="P467">
        <v>0.4</v>
      </c>
      <c r="Q467">
        <v>0.6</v>
      </c>
      <c r="R467">
        <v>7.2</v>
      </c>
      <c r="S467">
        <v>22.2</v>
      </c>
      <c r="T467" s="1" t="s">
        <v>707</v>
      </c>
      <c r="U467">
        <v>-0.1</v>
      </c>
      <c r="V467">
        <v>0</v>
      </c>
      <c r="W467">
        <v>-0.1</v>
      </c>
      <c r="X467">
        <v>-4.7E-2</v>
      </c>
      <c r="Y467" s="1" t="s">
        <v>707</v>
      </c>
      <c r="Z467">
        <v>-3.5</v>
      </c>
      <c r="AA467">
        <v>-3.4</v>
      </c>
      <c r="AB467">
        <v>-6.9</v>
      </c>
      <c r="AC467">
        <v>-0.2</v>
      </c>
    </row>
    <row r="468" spans="1:29" x14ac:dyDescent="0.35">
      <c r="A468">
        <v>467</v>
      </c>
      <c r="B468" s="1" t="s">
        <v>537</v>
      </c>
      <c r="C468" s="1" t="s">
        <v>28</v>
      </c>
      <c r="D468">
        <v>27</v>
      </c>
      <c r="E468" s="1" t="s">
        <v>61</v>
      </c>
      <c r="F468">
        <v>72</v>
      </c>
      <c r="G468">
        <v>2544</v>
      </c>
      <c r="H468">
        <v>15.7</v>
      </c>
      <c r="I468">
        <v>0.50900000000000001</v>
      </c>
      <c r="J468">
        <v>0.313</v>
      </c>
      <c r="K468">
        <v>0.32200000000000001</v>
      </c>
      <c r="L468">
        <v>5.2</v>
      </c>
      <c r="M468">
        <v>25.5</v>
      </c>
      <c r="N468">
        <v>15.1</v>
      </c>
      <c r="O468">
        <v>25.1</v>
      </c>
      <c r="P468">
        <v>1</v>
      </c>
      <c r="Q468">
        <v>1.5</v>
      </c>
      <c r="R468">
        <v>14.7</v>
      </c>
      <c r="S468">
        <v>28.7</v>
      </c>
      <c r="T468" s="1" t="s">
        <v>707</v>
      </c>
      <c r="U468">
        <v>-0.3</v>
      </c>
      <c r="V468">
        <v>3.4</v>
      </c>
      <c r="W468">
        <v>3.1</v>
      </c>
      <c r="X468">
        <v>5.8999999999999997E-2</v>
      </c>
      <c r="Y468" s="1" t="s">
        <v>707</v>
      </c>
      <c r="Z468">
        <v>0.4</v>
      </c>
      <c r="AA468">
        <v>0.2</v>
      </c>
      <c r="AB468">
        <v>0.5</v>
      </c>
      <c r="AC468">
        <v>1.6</v>
      </c>
    </row>
    <row r="469" spans="1:29" x14ac:dyDescent="0.35">
      <c r="A469">
        <v>468</v>
      </c>
      <c r="B469" s="1" t="s">
        <v>538</v>
      </c>
      <c r="C469" s="1" t="s">
        <v>41</v>
      </c>
      <c r="D469">
        <v>23</v>
      </c>
      <c r="E469" s="1" t="s">
        <v>56</v>
      </c>
      <c r="F469">
        <v>61</v>
      </c>
      <c r="G469">
        <v>1418</v>
      </c>
      <c r="H469">
        <v>11.5</v>
      </c>
      <c r="I469">
        <v>0.6</v>
      </c>
      <c r="J469">
        <v>0.52500000000000002</v>
      </c>
      <c r="K469">
        <v>0.371</v>
      </c>
      <c r="L469">
        <v>3.4</v>
      </c>
      <c r="M469">
        <v>11.2</v>
      </c>
      <c r="N469">
        <v>7.3</v>
      </c>
      <c r="O469">
        <v>10.3</v>
      </c>
      <c r="P469">
        <v>1</v>
      </c>
      <c r="Q469">
        <v>1.3</v>
      </c>
      <c r="R469">
        <v>9.8000000000000007</v>
      </c>
      <c r="S469">
        <v>12.4</v>
      </c>
      <c r="T469" s="1" t="s">
        <v>707</v>
      </c>
      <c r="U469">
        <v>2.1</v>
      </c>
      <c r="V469">
        <v>0.8</v>
      </c>
      <c r="W469">
        <v>2.9</v>
      </c>
      <c r="X469">
        <v>9.7000000000000003E-2</v>
      </c>
      <c r="Y469" s="1" t="s">
        <v>707</v>
      </c>
      <c r="Z469">
        <v>-1.3</v>
      </c>
      <c r="AA469">
        <v>-0.6</v>
      </c>
      <c r="AB469">
        <v>-1.9</v>
      </c>
      <c r="AC469">
        <v>0</v>
      </c>
    </row>
    <row r="470" spans="1:29" x14ac:dyDescent="0.35">
      <c r="A470">
        <v>469</v>
      </c>
      <c r="B470" s="1" t="s">
        <v>539</v>
      </c>
      <c r="C470" s="1" t="s">
        <v>51</v>
      </c>
      <c r="D470">
        <v>22</v>
      </c>
      <c r="E470" s="1" t="s">
        <v>42</v>
      </c>
      <c r="F470">
        <v>49</v>
      </c>
      <c r="G470">
        <v>1012</v>
      </c>
      <c r="H470">
        <v>12.8</v>
      </c>
      <c r="I470">
        <v>0.54300000000000004</v>
      </c>
      <c r="J470">
        <v>0.45100000000000001</v>
      </c>
      <c r="K470">
        <v>0.27500000000000002</v>
      </c>
      <c r="L470">
        <v>2.7</v>
      </c>
      <c r="M470">
        <v>8.6</v>
      </c>
      <c r="N470">
        <v>5.7</v>
      </c>
      <c r="O470">
        <v>7</v>
      </c>
      <c r="P470">
        <v>2.2999999999999998</v>
      </c>
      <c r="Q470">
        <v>1.4</v>
      </c>
      <c r="R470">
        <v>11.1</v>
      </c>
      <c r="S470">
        <v>22.2</v>
      </c>
      <c r="T470" s="1" t="s">
        <v>707</v>
      </c>
      <c r="U470">
        <v>0.2</v>
      </c>
      <c r="V470">
        <v>0.8</v>
      </c>
      <c r="W470">
        <v>1</v>
      </c>
      <c r="X470">
        <v>4.5999999999999999E-2</v>
      </c>
      <c r="Y470" s="1" t="s">
        <v>707</v>
      </c>
      <c r="Z470">
        <v>-1</v>
      </c>
      <c r="AA470">
        <v>-0.3</v>
      </c>
      <c r="AB470">
        <v>-1.3</v>
      </c>
      <c r="AC470">
        <v>0.2</v>
      </c>
    </row>
    <row r="471" spans="1:29" x14ac:dyDescent="0.35">
      <c r="A471">
        <v>470</v>
      </c>
      <c r="B471" s="1" t="s">
        <v>540</v>
      </c>
      <c r="C471" s="1" t="s">
        <v>41</v>
      </c>
      <c r="D471">
        <v>26</v>
      </c>
      <c r="E471" s="1" t="s">
        <v>86</v>
      </c>
      <c r="F471">
        <v>48</v>
      </c>
      <c r="G471">
        <v>668</v>
      </c>
      <c r="H471">
        <v>12.2</v>
      </c>
      <c r="I471">
        <v>0.624</v>
      </c>
      <c r="J471">
        <v>0.53400000000000003</v>
      </c>
      <c r="K471">
        <v>9.2999999999999999E-2</v>
      </c>
      <c r="L471">
        <v>2.4</v>
      </c>
      <c r="M471">
        <v>15.2</v>
      </c>
      <c r="N471">
        <v>9</v>
      </c>
      <c r="O471">
        <v>10.7</v>
      </c>
      <c r="P471">
        <v>1.8</v>
      </c>
      <c r="Q471">
        <v>1.2</v>
      </c>
      <c r="R471">
        <v>8.6999999999999993</v>
      </c>
      <c r="S471">
        <v>12.1</v>
      </c>
      <c r="T471" s="1" t="s">
        <v>707</v>
      </c>
      <c r="U471">
        <v>0.9</v>
      </c>
      <c r="V471">
        <v>0.7</v>
      </c>
      <c r="W471">
        <v>1.6</v>
      </c>
      <c r="X471">
        <v>0.11700000000000001</v>
      </c>
      <c r="Y471" s="1" t="s">
        <v>707</v>
      </c>
      <c r="Z471">
        <v>-0.6</v>
      </c>
      <c r="AA471">
        <v>0.3</v>
      </c>
      <c r="AB471">
        <v>-0.3</v>
      </c>
      <c r="AC471">
        <v>0.3</v>
      </c>
    </row>
    <row r="472" spans="1:29" x14ac:dyDescent="0.35">
      <c r="A472">
        <v>471</v>
      </c>
      <c r="B472" s="1" t="s">
        <v>541</v>
      </c>
      <c r="C472" s="1" t="s">
        <v>31</v>
      </c>
      <c r="D472">
        <v>22</v>
      </c>
      <c r="E472" s="1" t="s">
        <v>89</v>
      </c>
      <c r="F472">
        <v>38</v>
      </c>
      <c r="G472">
        <v>302</v>
      </c>
      <c r="H472">
        <v>21.4</v>
      </c>
      <c r="I472">
        <v>0.56799999999999995</v>
      </c>
      <c r="J472">
        <v>8.3000000000000004E-2</v>
      </c>
      <c r="K472">
        <v>0.14599999999999999</v>
      </c>
      <c r="L472">
        <v>16.600000000000001</v>
      </c>
      <c r="M472">
        <v>17.399999999999999</v>
      </c>
      <c r="N472">
        <v>17</v>
      </c>
      <c r="O472">
        <v>8.3000000000000007</v>
      </c>
      <c r="P472">
        <v>5.5</v>
      </c>
      <c r="Q472">
        <v>4.2</v>
      </c>
      <c r="R472">
        <v>8.9</v>
      </c>
      <c r="S472">
        <v>16.7</v>
      </c>
      <c r="T472" s="1" t="s">
        <v>707</v>
      </c>
      <c r="U472">
        <v>0.6</v>
      </c>
      <c r="V472">
        <v>0.7</v>
      </c>
      <c r="W472">
        <v>1.3</v>
      </c>
      <c r="X472">
        <v>0.21199999999999999</v>
      </c>
      <c r="Y472" s="1" t="s">
        <v>707</v>
      </c>
      <c r="Z472">
        <v>-0.8</v>
      </c>
      <c r="AA472">
        <v>2.9</v>
      </c>
      <c r="AB472">
        <v>2.1</v>
      </c>
      <c r="AC472">
        <v>0.3</v>
      </c>
    </row>
    <row r="473" spans="1:29" x14ac:dyDescent="0.35">
      <c r="A473">
        <v>472</v>
      </c>
      <c r="B473" s="1" t="s">
        <v>542</v>
      </c>
      <c r="C473" s="1" t="s">
        <v>31</v>
      </c>
      <c r="D473">
        <v>22</v>
      </c>
      <c r="E473" s="1" t="s">
        <v>99</v>
      </c>
      <c r="F473">
        <v>77</v>
      </c>
      <c r="G473">
        <v>1215</v>
      </c>
      <c r="H473">
        <v>17.2</v>
      </c>
      <c r="I473">
        <v>0.58799999999999997</v>
      </c>
      <c r="J473">
        <v>0.34899999999999998</v>
      </c>
      <c r="K473">
        <v>0.313</v>
      </c>
      <c r="L473">
        <v>8.8000000000000007</v>
      </c>
      <c r="M473">
        <v>18</v>
      </c>
      <c r="N473">
        <v>13.3</v>
      </c>
      <c r="O473">
        <v>8.6999999999999993</v>
      </c>
      <c r="P473">
        <v>1.6</v>
      </c>
      <c r="Q473">
        <v>5.6</v>
      </c>
      <c r="R473">
        <v>13.2</v>
      </c>
      <c r="S473">
        <v>21.4</v>
      </c>
      <c r="T473" s="1" t="s">
        <v>707</v>
      </c>
      <c r="U473">
        <v>1.5</v>
      </c>
      <c r="V473">
        <v>1.6</v>
      </c>
      <c r="W473">
        <v>3.2</v>
      </c>
      <c r="X473">
        <v>0.125</v>
      </c>
      <c r="Y473" s="1" t="s">
        <v>707</v>
      </c>
      <c r="Z473">
        <v>-0.5</v>
      </c>
      <c r="AA473">
        <v>0.5</v>
      </c>
      <c r="AB473">
        <v>0</v>
      </c>
      <c r="AC473">
        <v>0.6</v>
      </c>
    </row>
    <row r="474" spans="1:29" x14ac:dyDescent="0.35">
      <c r="A474">
        <v>473</v>
      </c>
      <c r="B474" s="1" t="s">
        <v>543</v>
      </c>
      <c r="C474" s="1" t="s">
        <v>31</v>
      </c>
      <c r="D474">
        <v>24</v>
      </c>
      <c r="E474" s="1" t="s">
        <v>73</v>
      </c>
      <c r="F474">
        <v>50</v>
      </c>
      <c r="G474">
        <v>367</v>
      </c>
      <c r="H474">
        <v>15.9</v>
      </c>
      <c r="I474">
        <v>0.68899999999999995</v>
      </c>
      <c r="J474">
        <v>0</v>
      </c>
      <c r="K474">
        <v>0.47799999999999998</v>
      </c>
      <c r="L474">
        <v>9.6999999999999993</v>
      </c>
      <c r="M474">
        <v>15.2</v>
      </c>
      <c r="N474">
        <v>12.4</v>
      </c>
      <c r="O474">
        <v>4.9000000000000004</v>
      </c>
      <c r="P474">
        <v>1.2</v>
      </c>
      <c r="Q474">
        <v>5.4</v>
      </c>
      <c r="R474">
        <v>18.100000000000001</v>
      </c>
      <c r="S474">
        <v>15.4</v>
      </c>
      <c r="T474" s="1" t="s">
        <v>707</v>
      </c>
      <c r="U474">
        <v>0.6</v>
      </c>
      <c r="V474">
        <v>0.3</v>
      </c>
      <c r="W474">
        <v>1</v>
      </c>
      <c r="X474">
        <v>0.125</v>
      </c>
      <c r="Y474" s="1" t="s">
        <v>707</v>
      </c>
      <c r="Z474">
        <v>-2.6</v>
      </c>
      <c r="AA474">
        <v>-0.2</v>
      </c>
      <c r="AB474">
        <v>-2.8</v>
      </c>
      <c r="AC474">
        <v>-0.1</v>
      </c>
    </row>
    <row r="475" spans="1:29" x14ac:dyDescent="0.35">
      <c r="A475">
        <v>474</v>
      </c>
      <c r="B475" s="1" t="s">
        <v>544</v>
      </c>
      <c r="C475" s="1" t="s">
        <v>41</v>
      </c>
      <c r="D475">
        <v>28</v>
      </c>
      <c r="E475" s="1" t="s">
        <v>42</v>
      </c>
      <c r="F475">
        <v>65</v>
      </c>
      <c r="G475">
        <v>1600</v>
      </c>
      <c r="H475">
        <v>12.8</v>
      </c>
      <c r="I475">
        <v>0.57299999999999995</v>
      </c>
      <c r="J475">
        <v>0.46100000000000002</v>
      </c>
      <c r="K475">
        <v>0.20200000000000001</v>
      </c>
      <c r="L475">
        <v>2.8</v>
      </c>
      <c r="M475">
        <v>9.4</v>
      </c>
      <c r="N475">
        <v>6.2</v>
      </c>
      <c r="O475">
        <v>10.1</v>
      </c>
      <c r="P475">
        <v>1.7</v>
      </c>
      <c r="Q475">
        <v>1.6</v>
      </c>
      <c r="R475">
        <v>10.199999999999999</v>
      </c>
      <c r="S475">
        <v>17.600000000000001</v>
      </c>
      <c r="T475" s="1" t="s">
        <v>707</v>
      </c>
      <c r="U475">
        <v>1.6</v>
      </c>
      <c r="V475">
        <v>2</v>
      </c>
      <c r="W475">
        <v>3.5</v>
      </c>
      <c r="X475">
        <v>0.106</v>
      </c>
      <c r="Y475" s="1" t="s">
        <v>707</v>
      </c>
      <c r="Z475">
        <v>-0.6</v>
      </c>
      <c r="AA475">
        <v>0.7</v>
      </c>
      <c r="AB475">
        <v>0.1</v>
      </c>
      <c r="AC475">
        <v>0.9</v>
      </c>
    </row>
    <row r="476" spans="1:29" x14ac:dyDescent="0.35">
      <c r="A476">
        <v>475</v>
      </c>
      <c r="B476" s="1" t="s">
        <v>545</v>
      </c>
      <c r="C476" s="1" t="s">
        <v>41</v>
      </c>
      <c r="D476">
        <v>29</v>
      </c>
      <c r="E476" s="1" t="s">
        <v>86</v>
      </c>
      <c r="F476">
        <v>67</v>
      </c>
      <c r="G476">
        <v>1480</v>
      </c>
      <c r="H476">
        <v>7.2</v>
      </c>
      <c r="I476">
        <v>0.54600000000000004</v>
      </c>
      <c r="J476">
        <v>0.66</v>
      </c>
      <c r="K476">
        <v>0.126</v>
      </c>
      <c r="L476">
        <v>1.5</v>
      </c>
      <c r="M476">
        <v>6.9</v>
      </c>
      <c r="N476">
        <v>4.3</v>
      </c>
      <c r="O476">
        <v>8</v>
      </c>
      <c r="P476">
        <v>1.7</v>
      </c>
      <c r="Q476">
        <v>0.4</v>
      </c>
      <c r="R476">
        <v>12.8</v>
      </c>
      <c r="S476">
        <v>12.6</v>
      </c>
      <c r="T476" s="1" t="s">
        <v>707</v>
      </c>
      <c r="U476">
        <v>0.1</v>
      </c>
      <c r="V476">
        <v>1.1000000000000001</v>
      </c>
      <c r="W476">
        <v>1.2</v>
      </c>
      <c r="X476">
        <v>3.6999999999999998E-2</v>
      </c>
      <c r="Y476" s="1" t="s">
        <v>707</v>
      </c>
      <c r="Z476">
        <v>-3.5</v>
      </c>
      <c r="AA476">
        <v>-0.3</v>
      </c>
      <c r="AB476">
        <v>-3.8</v>
      </c>
      <c r="AC476">
        <v>-0.7</v>
      </c>
    </row>
    <row r="477" spans="1:29" x14ac:dyDescent="0.35">
      <c r="A477">
        <v>476</v>
      </c>
      <c r="B477" s="1" t="s">
        <v>546</v>
      </c>
      <c r="C477" s="1" t="s">
        <v>41</v>
      </c>
      <c r="D477">
        <v>27</v>
      </c>
      <c r="E477" s="1" t="s">
        <v>36</v>
      </c>
      <c r="F477">
        <v>79</v>
      </c>
      <c r="G477">
        <v>2043</v>
      </c>
      <c r="H477">
        <v>10.6</v>
      </c>
      <c r="I477">
        <v>0.57299999999999995</v>
      </c>
      <c r="J477">
        <v>0.86</v>
      </c>
      <c r="K477">
        <v>8.4000000000000005E-2</v>
      </c>
      <c r="L477">
        <v>1.4</v>
      </c>
      <c r="M477">
        <v>9.8000000000000007</v>
      </c>
      <c r="N477">
        <v>5.6</v>
      </c>
      <c r="O477">
        <v>9.3000000000000007</v>
      </c>
      <c r="P477">
        <v>1</v>
      </c>
      <c r="Q477">
        <v>0.7</v>
      </c>
      <c r="R477">
        <v>7.4</v>
      </c>
      <c r="S477">
        <v>17.7</v>
      </c>
      <c r="T477" s="1" t="s">
        <v>707</v>
      </c>
      <c r="U477">
        <v>1.9</v>
      </c>
      <c r="V477">
        <v>2</v>
      </c>
      <c r="W477">
        <v>3.9</v>
      </c>
      <c r="X477">
        <v>9.1999999999999998E-2</v>
      </c>
      <c r="Y477" s="1" t="s">
        <v>707</v>
      </c>
      <c r="Z477">
        <v>-0.3</v>
      </c>
      <c r="AA477">
        <v>-0.3</v>
      </c>
      <c r="AB477">
        <v>-0.6</v>
      </c>
      <c r="AC477">
        <v>0.7</v>
      </c>
    </row>
    <row r="478" spans="1:29" x14ac:dyDescent="0.35">
      <c r="A478">
        <v>477</v>
      </c>
      <c r="B478" s="1" t="s">
        <v>547</v>
      </c>
      <c r="C478" s="1" t="s">
        <v>48</v>
      </c>
      <c r="D478">
        <v>24</v>
      </c>
      <c r="E478" s="1" t="s">
        <v>42</v>
      </c>
      <c r="F478">
        <v>25</v>
      </c>
      <c r="G478">
        <v>304</v>
      </c>
      <c r="H478">
        <v>3.6</v>
      </c>
      <c r="I478">
        <v>0.40400000000000003</v>
      </c>
      <c r="J478">
        <v>0.65600000000000003</v>
      </c>
      <c r="K478">
        <v>8.5999999999999993E-2</v>
      </c>
      <c r="L478">
        <v>1.4</v>
      </c>
      <c r="M478">
        <v>6</v>
      </c>
      <c r="N478">
        <v>3.7</v>
      </c>
      <c r="O478">
        <v>14</v>
      </c>
      <c r="P478">
        <v>1.4</v>
      </c>
      <c r="Q478">
        <v>0.3</v>
      </c>
      <c r="R478">
        <v>15</v>
      </c>
      <c r="S478">
        <v>16</v>
      </c>
      <c r="T478" s="1" t="s">
        <v>707</v>
      </c>
      <c r="U478">
        <v>-0.5</v>
      </c>
      <c r="V478">
        <v>0.2</v>
      </c>
      <c r="W478">
        <v>-0.3</v>
      </c>
      <c r="X478">
        <v>-5.5E-2</v>
      </c>
      <c r="Y478" s="1" t="s">
        <v>707</v>
      </c>
      <c r="Z478">
        <v>-6.4</v>
      </c>
      <c r="AA478">
        <v>-1.3</v>
      </c>
      <c r="AB478">
        <v>-7.6</v>
      </c>
      <c r="AC478">
        <v>-0.4</v>
      </c>
    </row>
    <row r="479" spans="1:29" x14ac:dyDescent="0.35">
      <c r="A479">
        <v>478</v>
      </c>
      <c r="B479" s="1" t="s">
        <v>548</v>
      </c>
      <c r="C479" s="1" t="s">
        <v>31</v>
      </c>
      <c r="D479">
        <v>23</v>
      </c>
      <c r="E479" s="1" t="s">
        <v>61</v>
      </c>
      <c r="F479">
        <v>72</v>
      </c>
      <c r="G479">
        <v>1848</v>
      </c>
      <c r="H479">
        <v>20.7</v>
      </c>
      <c r="I479">
        <v>0.72199999999999998</v>
      </c>
      <c r="J479">
        <v>0</v>
      </c>
      <c r="K479">
        <v>0.52800000000000002</v>
      </c>
      <c r="L479">
        <v>16.8</v>
      </c>
      <c r="M479">
        <v>19.100000000000001</v>
      </c>
      <c r="N479">
        <v>17.899999999999999</v>
      </c>
      <c r="O479">
        <v>3.2</v>
      </c>
      <c r="P479">
        <v>1.6</v>
      </c>
      <c r="Q479">
        <v>7.1</v>
      </c>
      <c r="R479">
        <v>12.4</v>
      </c>
      <c r="S479">
        <v>11.4</v>
      </c>
      <c r="T479" s="1" t="s">
        <v>707</v>
      </c>
      <c r="U479">
        <v>5.3</v>
      </c>
      <c r="V479">
        <v>3.2</v>
      </c>
      <c r="W479">
        <v>8.5</v>
      </c>
      <c r="X479">
        <v>0.221</v>
      </c>
      <c r="Y479" s="1" t="s">
        <v>707</v>
      </c>
      <c r="Z479">
        <v>1</v>
      </c>
      <c r="AA479">
        <v>1.2</v>
      </c>
      <c r="AB479">
        <v>2.2000000000000002</v>
      </c>
      <c r="AC479">
        <v>2</v>
      </c>
    </row>
    <row r="480" spans="1:29" x14ac:dyDescent="0.35">
      <c r="A480">
        <v>479</v>
      </c>
      <c r="B480" s="1" t="s">
        <v>549</v>
      </c>
      <c r="C480" s="1" t="s">
        <v>31</v>
      </c>
      <c r="D480">
        <v>21</v>
      </c>
      <c r="E480" s="1" t="s">
        <v>96</v>
      </c>
      <c r="F480">
        <v>49</v>
      </c>
      <c r="G480">
        <v>1087</v>
      </c>
      <c r="H480">
        <v>11.7</v>
      </c>
      <c r="I480">
        <v>0.52600000000000002</v>
      </c>
      <c r="J480">
        <v>0.50900000000000001</v>
      </c>
      <c r="K480">
        <v>0.16700000000000001</v>
      </c>
      <c r="L480">
        <v>7</v>
      </c>
      <c r="M480">
        <v>19.100000000000001</v>
      </c>
      <c r="N480">
        <v>13</v>
      </c>
      <c r="O480">
        <v>6.7</v>
      </c>
      <c r="P480">
        <v>1.3</v>
      </c>
      <c r="Q480">
        <v>1.3</v>
      </c>
      <c r="R480">
        <v>10.1</v>
      </c>
      <c r="S480">
        <v>15.4</v>
      </c>
      <c r="T480" s="1" t="s">
        <v>707</v>
      </c>
      <c r="U480">
        <v>0.4</v>
      </c>
      <c r="V480">
        <v>1</v>
      </c>
      <c r="W480">
        <v>1.5</v>
      </c>
      <c r="X480">
        <v>6.5000000000000002E-2</v>
      </c>
      <c r="Y480" s="1" t="s">
        <v>707</v>
      </c>
      <c r="Z480">
        <v>-1.9</v>
      </c>
      <c r="AA480">
        <v>-0.3</v>
      </c>
      <c r="AB480">
        <v>-2.2000000000000002</v>
      </c>
      <c r="AC480">
        <v>-0.1</v>
      </c>
    </row>
    <row r="481" spans="1:29" x14ac:dyDescent="0.35">
      <c r="A481">
        <v>480</v>
      </c>
      <c r="B481" s="1" t="s">
        <v>550</v>
      </c>
      <c r="C481" s="1" t="s">
        <v>28</v>
      </c>
      <c r="D481">
        <v>23</v>
      </c>
      <c r="E481" s="1" t="s">
        <v>96</v>
      </c>
      <c r="F481">
        <v>45</v>
      </c>
      <c r="G481">
        <v>948</v>
      </c>
      <c r="H481">
        <v>18.3</v>
      </c>
      <c r="I481">
        <v>0.60699999999999998</v>
      </c>
      <c r="J481">
        <v>0.307</v>
      </c>
      <c r="K481">
        <v>0.35899999999999999</v>
      </c>
      <c r="L481">
        <v>8</v>
      </c>
      <c r="M481">
        <v>15.6</v>
      </c>
      <c r="N481">
        <v>11.8</v>
      </c>
      <c r="O481">
        <v>12.1</v>
      </c>
      <c r="P481">
        <v>1.8</v>
      </c>
      <c r="Q481">
        <v>3.3</v>
      </c>
      <c r="R481">
        <v>10.3</v>
      </c>
      <c r="S481">
        <v>19</v>
      </c>
      <c r="T481" s="1" t="s">
        <v>707</v>
      </c>
      <c r="U481">
        <v>1.8</v>
      </c>
      <c r="V481">
        <v>1.1000000000000001</v>
      </c>
      <c r="W481">
        <v>2.9</v>
      </c>
      <c r="X481">
        <v>0.14699999999999999</v>
      </c>
      <c r="Y481" s="1" t="s">
        <v>707</v>
      </c>
      <c r="Z481">
        <v>0.4</v>
      </c>
      <c r="AA481">
        <v>0.2</v>
      </c>
      <c r="AB481">
        <v>0.6</v>
      </c>
      <c r="AC481">
        <v>0.6</v>
      </c>
    </row>
    <row r="482" spans="1:29" x14ac:dyDescent="0.35">
      <c r="A482">
        <v>481</v>
      </c>
      <c r="B482" s="1" t="s">
        <v>551</v>
      </c>
      <c r="C482" s="1" t="s">
        <v>48</v>
      </c>
      <c r="D482">
        <v>35</v>
      </c>
      <c r="E482" s="1" t="s">
        <v>42</v>
      </c>
      <c r="F482">
        <v>39</v>
      </c>
      <c r="G482">
        <v>697</v>
      </c>
      <c r="H482">
        <v>10.9</v>
      </c>
      <c r="I482">
        <v>0.496</v>
      </c>
      <c r="J482">
        <v>0.5</v>
      </c>
      <c r="K482">
        <v>0.14799999999999999</v>
      </c>
      <c r="L482">
        <v>2.4</v>
      </c>
      <c r="M482">
        <v>14.4</v>
      </c>
      <c r="N482">
        <v>8.5</v>
      </c>
      <c r="O482">
        <v>33.1</v>
      </c>
      <c r="P482">
        <v>2.1</v>
      </c>
      <c r="Q482">
        <v>0.8</v>
      </c>
      <c r="R482">
        <v>26.6</v>
      </c>
      <c r="S482">
        <v>16</v>
      </c>
      <c r="T482" s="1" t="s">
        <v>707</v>
      </c>
      <c r="U482">
        <v>-0.1</v>
      </c>
      <c r="V482">
        <v>0.8</v>
      </c>
      <c r="W482">
        <v>0.7</v>
      </c>
      <c r="X482">
        <v>4.8000000000000001E-2</v>
      </c>
      <c r="Y482" s="1" t="s">
        <v>707</v>
      </c>
      <c r="Z482">
        <v>-2.4</v>
      </c>
      <c r="AA482">
        <v>0.7</v>
      </c>
      <c r="AB482">
        <v>-1.7</v>
      </c>
      <c r="AC482">
        <v>0.1</v>
      </c>
    </row>
    <row r="483" spans="1:29" x14ac:dyDescent="0.35">
      <c r="A483">
        <v>482</v>
      </c>
      <c r="B483" s="1" t="s">
        <v>552</v>
      </c>
      <c r="C483" s="1" t="s">
        <v>48</v>
      </c>
      <c r="D483">
        <v>33</v>
      </c>
      <c r="E483" s="1" t="s">
        <v>61</v>
      </c>
      <c r="F483">
        <v>26</v>
      </c>
      <c r="G483">
        <v>636</v>
      </c>
      <c r="H483">
        <v>16.899999999999999</v>
      </c>
      <c r="I483">
        <v>0.54100000000000004</v>
      </c>
      <c r="J483">
        <v>0.33600000000000002</v>
      </c>
      <c r="K483">
        <v>0.113</v>
      </c>
      <c r="L483">
        <v>3.5</v>
      </c>
      <c r="M483">
        <v>9.8000000000000007</v>
      </c>
      <c r="N483">
        <v>6.6</v>
      </c>
      <c r="O483">
        <v>27.5</v>
      </c>
      <c r="P483">
        <v>1.7</v>
      </c>
      <c r="Q483">
        <v>1.9</v>
      </c>
      <c r="R483">
        <v>11.9</v>
      </c>
      <c r="S483">
        <v>22.5</v>
      </c>
      <c r="T483" s="1" t="s">
        <v>707</v>
      </c>
      <c r="U483">
        <v>0.8</v>
      </c>
      <c r="V483">
        <v>0.7</v>
      </c>
      <c r="W483">
        <v>1.4</v>
      </c>
      <c r="X483">
        <v>0.108</v>
      </c>
      <c r="Y483" s="1" t="s">
        <v>707</v>
      </c>
      <c r="Z483">
        <v>2.2999999999999998</v>
      </c>
      <c r="AA483">
        <v>0</v>
      </c>
      <c r="AB483">
        <v>2.2999999999999998</v>
      </c>
      <c r="AC483">
        <v>0.7</v>
      </c>
    </row>
    <row r="484" spans="1:29" x14ac:dyDescent="0.35">
      <c r="A484">
        <v>483</v>
      </c>
      <c r="B484" s="1" t="s">
        <v>553</v>
      </c>
      <c r="C484" s="1" t="s">
        <v>41</v>
      </c>
      <c r="D484">
        <v>30</v>
      </c>
      <c r="E484" s="1" t="s">
        <v>58</v>
      </c>
      <c r="F484">
        <v>63</v>
      </c>
      <c r="G484">
        <v>1448</v>
      </c>
      <c r="H484">
        <v>10</v>
      </c>
      <c r="I484">
        <v>0.51500000000000001</v>
      </c>
      <c r="J484">
        <v>0.47699999999999998</v>
      </c>
      <c r="K484">
        <v>0.23499999999999999</v>
      </c>
      <c r="L484">
        <v>1.5</v>
      </c>
      <c r="M484">
        <v>10.3</v>
      </c>
      <c r="N484">
        <v>5.9</v>
      </c>
      <c r="O484">
        <v>12.5</v>
      </c>
      <c r="P484">
        <v>0.9</v>
      </c>
      <c r="Q484">
        <v>0.8</v>
      </c>
      <c r="R484">
        <v>10.9</v>
      </c>
      <c r="S484">
        <v>20.5</v>
      </c>
      <c r="T484" s="1" t="s">
        <v>707</v>
      </c>
      <c r="U484">
        <v>-0.5</v>
      </c>
      <c r="V484">
        <v>0.9</v>
      </c>
      <c r="W484">
        <v>0.3</v>
      </c>
      <c r="X484">
        <v>1.0999999999999999E-2</v>
      </c>
      <c r="Y484" s="1" t="s">
        <v>707</v>
      </c>
      <c r="Z484">
        <v>-2.5</v>
      </c>
      <c r="AA484">
        <v>-1.1000000000000001</v>
      </c>
      <c r="AB484">
        <v>-3.7</v>
      </c>
      <c r="AC484">
        <v>-0.6</v>
      </c>
    </row>
    <row r="485" spans="1:29" x14ac:dyDescent="0.35">
      <c r="A485">
        <v>484</v>
      </c>
      <c r="B485" s="1" t="s">
        <v>554</v>
      </c>
      <c r="C485" s="1" t="s">
        <v>41</v>
      </c>
      <c r="D485">
        <v>27</v>
      </c>
      <c r="E485" s="1" t="s">
        <v>73</v>
      </c>
      <c r="F485">
        <v>73</v>
      </c>
      <c r="G485">
        <v>2458</v>
      </c>
      <c r="H485">
        <v>17.600000000000001</v>
      </c>
      <c r="I485">
        <v>0.56599999999999995</v>
      </c>
      <c r="J485">
        <v>0.50800000000000001</v>
      </c>
      <c r="K485">
        <v>0.151</v>
      </c>
      <c r="L485">
        <v>2.4</v>
      </c>
      <c r="M485">
        <v>11.3</v>
      </c>
      <c r="N485">
        <v>6.8</v>
      </c>
      <c r="O485">
        <v>19.7</v>
      </c>
      <c r="P485">
        <v>1.8</v>
      </c>
      <c r="Q485">
        <v>1</v>
      </c>
      <c r="R485">
        <v>7.2</v>
      </c>
      <c r="S485">
        <v>23.2</v>
      </c>
      <c r="T485" s="1" t="s">
        <v>707</v>
      </c>
      <c r="U485">
        <v>4.3</v>
      </c>
      <c r="V485">
        <v>1.6</v>
      </c>
      <c r="W485">
        <v>5.9</v>
      </c>
      <c r="X485">
        <v>0.115</v>
      </c>
      <c r="Y485" s="1" t="s">
        <v>707</v>
      </c>
      <c r="Z485">
        <v>2.4</v>
      </c>
      <c r="AA485">
        <v>-0.7</v>
      </c>
      <c r="AB485">
        <v>1.7</v>
      </c>
      <c r="AC485">
        <v>2.2999999999999998</v>
      </c>
    </row>
    <row r="486" spans="1:29" x14ac:dyDescent="0.35">
      <c r="A486">
        <v>485</v>
      </c>
      <c r="B486" s="1" t="s">
        <v>555</v>
      </c>
      <c r="C486" s="1" t="s">
        <v>48</v>
      </c>
      <c r="D486">
        <v>31</v>
      </c>
      <c r="E486" s="1" t="s">
        <v>46</v>
      </c>
      <c r="F486">
        <v>34</v>
      </c>
      <c r="G486">
        <v>970</v>
      </c>
      <c r="H486">
        <v>14</v>
      </c>
      <c r="I486">
        <v>0.48799999999999999</v>
      </c>
      <c r="J486">
        <v>0.42299999999999999</v>
      </c>
      <c r="K486">
        <v>0.251</v>
      </c>
      <c r="L486">
        <v>1.7</v>
      </c>
      <c r="M486">
        <v>14.1</v>
      </c>
      <c r="N486">
        <v>8</v>
      </c>
      <c r="O486">
        <v>34.6</v>
      </c>
      <c r="P486">
        <v>2.5</v>
      </c>
      <c r="Q486">
        <v>0.6</v>
      </c>
      <c r="R486">
        <v>16.5</v>
      </c>
      <c r="S486">
        <v>24.9</v>
      </c>
      <c r="T486" s="1" t="s">
        <v>707</v>
      </c>
      <c r="U486">
        <v>-0.1</v>
      </c>
      <c r="V486">
        <v>1.4</v>
      </c>
      <c r="W486">
        <v>1.3</v>
      </c>
      <c r="X486">
        <v>6.4000000000000001E-2</v>
      </c>
      <c r="Y486" s="1" t="s">
        <v>707</v>
      </c>
      <c r="Z486">
        <v>-1</v>
      </c>
      <c r="AA486">
        <v>1.2</v>
      </c>
      <c r="AB486">
        <v>0.2</v>
      </c>
      <c r="AC486">
        <v>0.5</v>
      </c>
    </row>
    <row r="487" spans="1:29" x14ac:dyDescent="0.35">
      <c r="A487">
        <v>486</v>
      </c>
      <c r="B487" s="1" t="s">
        <v>556</v>
      </c>
      <c r="C487" s="1" t="s">
        <v>48</v>
      </c>
      <c r="D487">
        <v>25</v>
      </c>
      <c r="E487" s="1" t="s">
        <v>99</v>
      </c>
      <c r="F487">
        <v>65</v>
      </c>
      <c r="G487">
        <v>2077</v>
      </c>
      <c r="H487">
        <v>16.3</v>
      </c>
      <c r="I487">
        <v>0.54400000000000004</v>
      </c>
      <c r="J487">
        <v>0.53100000000000003</v>
      </c>
      <c r="K487">
        <v>0.246</v>
      </c>
      <c r="L487">
        <v>1.3</v>
      </c>
      <c r="M487">
        <v>10.1</v>
      </c>
      <c r="N487">
        <v>5.6</v>
      </c>
      <c r="O487">
        <v>33.1</v>
      </c>
      <c r="P487">
        <v>1.4</v>
      </c>
      <c r="Q487">
        <v>1</v>
      </c>
      <c r="R487">
        <v>13.2</v>
      </c>
      <c r="S487">
        <v>25.1</v>
      </c>
      <c r="T487" s="1" t="s">
        <v>707</v>
      </c>
      <c r="U487">
        <v>2.9</v>
      </c>
      <c r="V487">
        <v>1.5</v>
      </c>
      <c r="W487">
        <v>4.4000000000000004</v>
      </c>
      <c r="X487">
        <v>0.10100000000000001</v>
      </c>
      <c r="Y487" s="1" t="s">
        <v>707</v>
      </c>
      <c r="Z487">
        <v>2.2000000000000002</v>
      </c>
      <c r="AA487">
        <v>-1.5</v>
      </c>
      <c r="AB487">
        <v>0.8</v>
      </c>
      <c r="AC487">
        <v>1.4</v>
      </c>
    </row>
    <row r="488" spans="1:29" x14ac:dyDescent="0.35">
      <c r="A488">
        <v>487</v>
      </c>
      <c r="B488" s="1" t="s">
        <v>557</v>
      </c>
      <c r="C488" s="1" t="s">
        <v>51</v>
      </c>
      <c r="D488">
        <v>24</v>
      </c>
      <c r="E488" s="1" t="s">
        <v>140</v>
      </c>
      <c r="F488">
        <v>1</v>
      </c>
      <c r="G488">
        <v>5</v>
      </c>
      <c r="H488">
        <v>3.5</v>
      </c>
      <c r="I488">
        <v>0.3</v>
      </c>
      <c r="J488">
        <v>1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9.9</v>
      </c>
      <c r="Q488">
        <v>0</v>
      </c>
      <c r="R488">
        <v>0</v>
      </c>
      <c r="S488">
        <v>44</v>
      </c>
      <c r="T488" s="1" t="s">
        <v>707</v>
      </c>
      <c r="U488">
        <v>0</v>
      </c>
      <c r="V488">
        <v>0</v>
      </c>
      <c r="W488">
        <v>0</v>
      </c>
      <c r="X488">
        <v>-0.25</v>
      </c>
      <c r="Y488" s="1" t="s">
        <v>707</v>
      </c>
      <c r="Z488">
        <v>-9.9</v>
      </c>
      <c r="AA488">
        <v>-3.8</v>
      </c>
      <c r="AB488">
        <v>-13.7</v>
      </c>
      <c r="AC488">
        <v>0</v>
      </c>
    </row>
    <row r="489" spans="1:29" x14ac:dyDescent="0.35">
      <c r="A489">
        <v>488</v>
      </c>
      <c r="B489" s="1" t="s">
        <v>558</v>
      </c>
      <c r="C489" s="1" t="s">
        <v>332</v>
      </c>
      <c r="D489">
        <v>25</v>
      </c>
      <c r="E489" s="1" t="s">
        <v>42</v>
      </c>
      <c r="F489">
        <v>62</v>
      </c>
      <c r="G489">
        <v>2136</v>
      </c>
      <c r="H489">
        <v>21.9</v>
      </c>
      <c r="I489">
        <v>0.63700000000000001</v>
      </c>
      <c r="J489">
        <v>0.16200000000000001</v>
      </c>
      <c r="K489">
        <v>0.42899999999999999</v>
      </c>
      <c r="L489">
        <v>10.3</v>
      </c>
      <c r="M489">
        <v>29</v>
      </c>
      <c r="N489">
        <v>19.5</v>
      </c>
      <c r="O489">
        <v>23.6</v>
      </c>
      <c r="P489">
        <v>1.3</v>
      </c>
      <c r="Q489">
        <v>1.1000000000000001</v>
      </c>
      <c r="R489">
        <v>17.5</v>
      </c>
      <c r="S489">
        <v>22.3</v>
      </c>
      <c r="T489" s="1" t="s">
        <v>707</v>
      </c>
      <c r="U489">
        <v>5.3</v>
      </c>
      <c r="V489">
        <v>1.8</v>
      </c>
      <c r="W489">
        <v>7.1</v>
      </c>
      <c r="X489">
        <v>0.159</v>
      </c>
      <c r="Y489" s="1" t="s">
        <v>707</v>
      </c>
      <c r="Z489">
        <v>3.2</v>
      </c>
      <c r="AA489">
        <v>0.9</v>
      </c>
      <c r="AB489">
        <v>4.0999999999999996</v>
      </c>
      <c r="AC489">
        <v>3.2</v>
      </c>
    </row>
    <row r="490" spans="1:29" x14ac:dyDescent="0.35">
      <c r="A490">
        <v>489</v>
      </c>
      <c r="B490" s="1" t="s">
        <v>559</v>
      </c>
      <c r="C490" s="1" t="s">
        <v>31</v>
      </c>
      <c r="D490">
        <v>22</v>
      </c>
      <c r="E490" s="1" t="s">
        <v>96</v>
      </c>
      <c r="F490">
        <v>22</v>
      </c>
      <c r="G490">
        <v>421</v>
      </c>
      <c r="H490">
        <v>14</v>
      </c>
      <c r="I490">
        <v>0.67200000000000004</v>
      </c>
      <c r="J490">
        <v>0.28699999999999998</v>
      </c>
      <c r="K490">
        <v>0.28699999999999998</v>
      </c>
      <c r="L490">
        <v>8.1999999999999993</v>
      </c>
      <c r="M490">
        <v>14.6</v>
      </c>
      <c r="N490">
        <v>11.4</v>
      </c>
      <c r="O490">
        <v>6.9</v>
      </c>
      <c r="P490">
        <v>0.7</v>
      </c>
      <c r="Q490">
        <v>3.3</v>
      </c>
      <c r="R490">
        <v>16.2</v>
      </c>
      <c r="S490">
        <v>13.9</v>
      </c>
      <c r="T490" s="1" t="s">
        <v>707</v>
      </c>
      <c r="U490">
        <v>0.7</v>
      </c>
      <c r="V490">
        <v>0.3</v>
      </c>
      <c r="W490">
        <v>1</v>
      </c>
      <c r="X490">
        <v>0.11600000000000001</v>
      </c>
      <c r="Y490" s="1" t="s">
        <v>707</v>
      </c>
      <c r="Z490">
        <v>-2.7</v>
      </c>
      <c r="AA490">
        <v>-1.3</v>
      </c>
      <c r="AB490">
        <v>-4</v>
      </c>
      <c r="AC490">
        <v>-0.2</v>
      </c>
    </row>
    <row r="491" spans="1:29" x14ac:dyDescent="0.35">
      <c r="A491">
        <v>490</v>
      </c>
      <c r="B491" s="1" t="s">
        <v>560</v>
      </c>
      <c r="C491" s="1" t="s">
        <v>41</v>
      </c>
      <c r="D491">
        <v>30</v>
      </c>
      <c r="E491" s="1" t="s">
        <v>42</v>
      </c>
      <c r="F491">
        <v>55</v>
      </c>
      <c r="G491">
        <v>906</v>
      </c>
      <c r="H491">
        <v>10.199999999999999</v>
      </c>
      <c r="I491">
        <v>0.46100000000000002</v>
      </c>
      <c r="J491">
        <v>0.27700000000000002</v>
      </c>
      <c r="K491">
        <v>0.28299999999999997</v>
      </c>
      <c r="L491">
        <v>3.3</v>
      </c>
      <c r="M491">
        <v>12.1</v>
      </c>
      <c r="N491">
        <v>7.7</v>
      </c>
      <c r="O491">
        <v>27</v>
      </c>
      <c r="P491">
        <v>1.6</v>
      </c>
      <c r="Q491">
        <v>0.5</v>
      </c>
      <c r="R491">
        <v>17.600000000000001</v>
      </c>
      <c r="S491">
        <v>12.6</v>
      </c>
      <c r="T491" s="1" t="s">
        <v>707</v>
      </c>
      <c r="U491">
        <v>0.5</v>
      </c>
      <c r="V491">
        <v>0.6</v>
      </c>
      <c r="W491">
        <v>1</v>
      </c>
      <c r="X491">
        <v>5.6000000000000001E-2</v>
      </c>
      <c r="Y491" s="1" t="s">
        <v>707</v>
      </c>
      <c r="Z491">
        <v>-3.3</v>
      </c>
      <c r="AA491">
        <v>-0.3</v>
      </c>
      <c r="AB491">
        <v>-3.6</v>
      </c>
      <c r="AC491">
        <v>-0.4</v>
      </c>
    </row>
    <row r="492" spans="1:29" x14ac:dyDescent="0.35">
      <c r="A492">
        <v>491</v>
      </c>
      <c r="B492" s="1" t="s">
        <v>561</v>
      </c>
      <c r="C492" s="1" t="s">
        <v>41</v>
      </c>
      <c r="D492">
        <v>23</v>
      </c>
      <c r="E492" s="1" t="s">
        <v>65</v>
      </c>
      <c r="F492">
        <v>4</v>
      </c>
      <c r="G492">
        <v>30</v>
      </c>
      <c r="H492">
        <v>-1.2</v>
      </c>
      <c r="I492">
        <v>0.21</v>
      </c>
      <c r="J492">
        <v>0.54500000000000004</v>
      </c>
      <c r="K492">
        <v>0.182</v>
      </c>
      <c r="L492">
        <v>7.5</v>
      </c>
      <c r="M492">
        <v>21.8</v>
      </c>
      <c r="N492">
        <v>14.8</v>
      </c>
      <c r="O492">
        <v>0</v>
      </c>
      <c r="P492">
        <v>1.6</v>
      </c>
      <c r="Q492">
        <v>0</v>
      </c>
      <c r="R492">
        <v>7.8</v>
      </c>
      <c r="S492">
        <v>19.100000000000001</v>
      </c>
      <c r="T492" s="1" t="s">
        <v>707</v>
      </c>
      <c r="U492">
        <v>-0.2</v>
      </c>
      <c r="V492">
        <v>0</v>
      </c>
      <c r="W492">
        <v>-0.1</v>
      </c>
      <c r="X492">
        <v>-0.20399999999999999</v>
      </c>
      <c r="Y492" s="1" t="s">
        <v>707</v>
      </c>
      <c r="Z492">
        <v>-8.6</v>
      </c>
      <c r="AA492">
        <v>-4.4000000000000004</v>
      </c>
      <c r="AB492">
        <v>-13</v>
      </c>
      <c r="AC492">
        <v>-0.1</v>
      </c>
    </row>
    <row r="493" spans="1:29" x14ac:dyDescent="0.35">
      <c r="A493">
        <v>492</v>
      </c>
      <c r="B493" s="1" t="s">
        <v>562</v>
      </c>
      <c r="C493" s="1" t="s">
        <v>51</v>
      </c>
      <c r="D493">
        <v>24</v>
      </c>
      <c r="E493" s="1" t="s">
        <v>58</v>
      </c>
      <c r="F493">
        <v>38</v>
      </c>
      <c r="G493">
        <v>469</v>
      </c>
      <c r="H493">
        <v>7.5</v>
      </c>
      <c r="I493">
        <v>0.53800000000000003</v>
      </c>
      <c r="J493">
        <v>0.61199999999999999</v>
      </c>
      <c r="K493">
        <v>0.11600000000000001</v>
      </c>
      <c r="L493">
        <v>3.8</v>
      </c>
      <c r="M493">
        <v>16.3</v>
      </c>
      <c r="N493">
        <v>10</v>
      </c>
      <c r="O493">
        <v>7.9</v>
      </c>
      <c r="P493">
        <v>0.4</v>
      </c>
      <c r="Q493">
        <v>1</v>
      </c>
      <c r="R493">
        <v>13.4</v>
      </c>
      <c r="S493">
        <v>14.5</v>
      </c>
      <c r="T493" s="1" t="s">
        <v>707</v>
      </c>
      <c r="U493">
        <v>-0.1</v>
      </c>
      <c r="V493">
        <v>0.3</v>
      </c>
      <c r="W493">
        <v>0.3</v>
      </c>
      <c r="X493">
        <v>2.7E-2</v>
      </c>
      <c r="Y493" s="1" t="s">
        <v>707</v>
      </c>
      <c r="Z493">
        <v>-4.2</v>
      </c>
      <c r="AA493">
        <v>-1.2</v>
      </c>
      <c r="AB493">
        <v>-5.4</v>
      </c>
      <c r="AC493">
        <v>-0.4</v>
      </c>
    </row>
    <row r="494" spans="1:29" x14ac:dyDescent="0.35">
      <c r="A494">
        <v>493</v>
      </c>
      <c r="B494" s="1" t="s">
        <v>563</v>
      </c>
      <c r="C494" s="1" t="s">
        <v>132</v>
      </c>
      <c r="D494">
        <v>28</v>
      </c>
      <c r="E494" s="1" t="s">
        <v>42</v>
      </c>
      <c r="F494">
        <v>64</v>
      </c>
      <c r="G494">
        <v>1837</v>
      </c>
      <c r="H494">
        <v>13</v>
      </c>
      <c r="I494">
        <v>0.53900000000000003</v>
      </c>
      <c r="J494">
        <v>0.34499999999999997</v>
      </c>
      <c r="K494">
        <v>0.254</v>
      </c>
      <c r="L494">
        <v>2</v>
      </c>
      <c r="M494">
        <v>10.5</v>
      </c>
      <c r="N494">
        <v>6.3</v>
      </c>
      <c r="O494">
        <v>24.2</v>
      </c>
      <c r="P494">
        <v>1.4</v>
      </c>
      <c r="Q494">
        <v>0.4</v>
      </c>
      <c r="R494">
        <v>15.1</v>
      </c>
      <c r="S494">
        <v>22.6</v>
      </c>
      <c r="T494" s="1" t="s">
        <v>707</v>
      </c>
      <c r="U494">
        <v>1</v>
      </c>
      <c r="V494">
        <v>1.9</v>
      </c>
      <c r="W494">
        <v>2.9</v>
      </c>
      <c r="X494">
        <v>7.5999999999999998E-2</v>
      </c>
      <c r="Y494" s="1" t="s">
        <v>707</v>
      </c>
      <c r="Z494">
        <v>-1.5</v>
      </c>
      <c r="AA494">
        <v>-0.4</v>
      </c>
      <c r="AB494">
        <v>-1.9</v>
      </c>
      <c r="AC494">
        <v>0</v>
      </c>
    </row>
    <row r="495" spans="1:29" x14ac:dyDescent="0.35">
      <c r="A495">
        <v>494</v>
      </c>
      <c r="B495" s="1" t="s">
        <v>564</v>
      </c>
      <c r="C495" s="1" t="s">
        <v>51</v>
      </c>
      <c r="D495">
        <v>25</v>
      </c>
      <c r="E495" s="1" t="s">
        <v>46</v>
      </c>
      <c r="F495">
        <v>2</v>
      </c>
      <c r="G495">
        <v>11</v>
      </c>
      <c r="H495">
        <v>20.399999999999999</v>
      </c>
      <c r="I495">
        <v>0.5</v>
      </c>
      <c r="J495">
        <v>0.16700000000000001</v>
      </c>
      <c r="K495">
        <v>0</v>
      </c>
      <c r="L495">
        <v>10.3</v>
      </c>
      <c r="M495">
        <v>9.8000000000000007</v>
      </c>
      <c r="N495">
        <v>10.1</v>
      </c>
      <c r="O495">
        <v>0</v>
      </c>
      <c r="P495">
        <v>4.5</v>
      </c>
      <c r="Q495">
        <v>8.1</v>
      </c>
      <c r="R495">
        <v>0</v>
      </c>
      <c r="S495">
        <v>24.1</v>
      </c>
      <c r="T495" s="1" t="s">
        <v>707</v>
      </c>
      <c r="U495">
        <v>0</v>
      </c>
      <c r="V495">
        <v>0</v>
      </c>
      <c r="W495">
        <v>0</v>
      </c>
      <c r="X495">
        <v>0.13800000000000001</v>
      </c>
      <c r="Y495" s="1" t="s">
        <v>707</v>
      </c>
      <c r="Z495">
        <v>-4.8</v>
      </c>
      <c r="AA495">
        <v>1.8</v>
      </c>
      <c r="AB495">
        <v>-3</v>
      </c>
      <c r="AC495">
        <v>0</v>
      </c>
    </row>
    <row r="496" spans="1:29" x14ac:dyDescent="0.35">
      <c r="A496">
        <v>495</v>
      </c>
      <c r="B496" s="1" t="s">
        <v>565</v>
      </c>
      <c r="C496" s="1" t="s">
        <v>41</v>
      </c>
      <c r="D496">
        <v>21</v>
      </c>
      <c r="E496" s="1" t="s">
        <v>93</v>
      </c>
      <c r="F496">
        <v>18</v>
      </c>
      <c r="G496">
        <v>121</v>
      </c>
      <c r="H496">
        <v>9.3000000000000007</v>
      </c>
      <c r="I496">
        <v>0.48599999999999999</v>
      </c>
      <c r="J496">
        <v>0.45700000000000002</v>
      </c>
      <c r="K496">
        <v>0.217</v>
      </c>
      <c r="L496">
        <v>1.8</v>
      </c>
      <c r="M496">
        <v>11.9</v>
      </c>
      <c r="N496">
        <v>7</v>
      </c>
      <c r="O496">
        <v>9.6999999999999993</v>
      </c>
      <c r="P496">
        <v>1.6</v>
      </c>
      <c r="Q496">
        <v>2.1</v>
      </c>
      <c r="R496">
        <v>12.2</v>
      </c>
      <c r="S496">
        <v>20.8</v>
      </c>
      <c r="T496" s="1" t="s">
        <v>707</v>
      </c>
      <c r="U496">
        <v>-0.1</v>
      </c>
      <c r="V496">
        <v>0.1</v>
      </c>
      <c r="W496">
        <v>0</v>
      </c>
      <c r="X496">
        <v>2E-3</v>
      </c>
      <c r="Y496" s="1" t="s">
        <v>707</v>
      </c>
      <c r="Z496">
        <v>-4.4000000000000004</v>
      </c>
      <c r="AA496">
        <v>-0.4</v>
      </c>
      <c r="AB496">
        <v>-4.8</v>
      </c>
      <c r="AC496">
        <v>-0.1</v>
      </c>
    </row>
    <row r="497" spans="1:29" x14ac:dyDescent="0.35">
      <c r="A497">
        <v>496</v>
      </c>
      <c r="B497" s="1" t="s">
        <v>566</v>
      </c>
      <c r="C497" s="1" t="s">
        <v>41</v>
      </c>
      <c r="D497">
        <v>27</v>
      </c>
      <c r="E497" s="1" t="s">
        <v>61</v>
      </c>
      <c r="F497">
        <v>3</v>
      </c>
      <c r="G497">
        <v>19</v>
      </c>
      <c r="H497">
        <v>4.3</v>
      </c>
      <c r="I497">
        <v>0.434</v>
      </c>
      <c r="J497">
        <v>0.5</v>
      </c>
      <c r="K497">
        <v>1</v>
      </c>
      <c r="L497">
        <v>0</v>
      </c>
      <c r="M497">
        <v>5.8</v>
      </c>
      <c r="N497">
        <v>2.8</v>
      </c>
      <c r="O497">
        <v>7.2</v>
      </c>
      <c r="P497">
        <v>0</v>
      </c>
      <c r="Q497">
        <v>0</v>
      </c>
      <c r="R497">
        <v>0</v>
      </c>
      <c r="S497">
        <v>13.3</v>
      </c>
      <c r="T497" s="1" t="s">
        <v>707</v>
      </c>
      <c r="U497">
        <v>0</v>
      </c>
      <c r="V497">
        <v>0</v>
      </c>
      <c r="W497">
        <v>0</v>
      </c>
      <c r="X497">
        <v>1.6E-2</v>
      </c>
      <c r="Y497" s="1" t="s">
        <v>707</v>
      </c>
      <c r="Z497">
        <v>-4.3</v>
      </c>
      <c r="AA497">
        <v>-1.6</v>
      </c>
      <c r="AB497">
        <v>-5.9</v>
      </c>
      <c r="AC497">
        <v>0</v>
      </c>
    </row>
    <row r="498" spans="1:29" x14ac:dyDescent="0.35">
      <c r="A498">
        <v>497</v>
      </c>
      <c r="B498" s="1" t="s">
        <v>567</v>
      </c>
      <c r="C498" s="1" t="s">
        <v>31</v>
      </c>
      <c r="D498">
        <v>19</v>
      </c>
      <c r="E498" s="1" t="s">
        <v>170</v>
      </c>
      <c r="F498">
        <v>72</v>
      </c>
      <c r="G498">
        <v>1489</v>
      </c>
      <c r="H498">
        <v>16</v>
      </c>
      <c r="I498">
        <v>0.55200000000000005</v>
      </c>
      <c r="J498">
        <v>0.223</v>
      </c>
      <c r="K498">
        <v>0.442</v>
      </c>
      <c r="L498">
        <v>10.1</v>
      </c>
      <c r="M498">
        <v>18.899999999999999</v>
      </c>
      <c r="N498">
        <v>14.5</v>
      </c>
      <c r="O498">
        <v>19.100000000000001</v>
      </c>
      <c r="P498">
        <v>1.9</v>
      </c>
      <c r="Q498">
        <v>4.0999999999999996</v>
      </c>
      <c r="R498">
        <v>18.8</v>
      </c>
      <c r="S498">
        <v>22</v>
      </c>
      <c r="T498" s="1" t="s">
        <v>707</v>
      </c>
      <c r="U498">
        <v>0.8</v>
      </c>
      <c r="V498">
        <v>1.3</v>
      </c>
      <c r="W498">
        <v>2.1</v>
      </c>
      <c r="X498">
        <v>6.8000000000000005E-2</v>
      </c>
      <c r="Y498" s="1" t="s">
        <v>707</v>
      </c>
      <c r="Z498">
        <v>-1.6</v>
      </c>
      <c r="AA498">
        <v>0.6</v>
      </c>
      <c r="AB498">
        <v>-1</v>
      </c>
      <c r="AC498">
        <v>0.4</v>
      </c>
    </row>
    <row r="499" spans="1:29" x14ac:dyDescent="0.35">
      <c r="A499">
        <v>498</v>
      </c>
      <c r="B499" s="1" t="s">
        <v>568</v>
      </c>
      <c r="C499" s="1" t="s">
        <v>41</v>
      </c>
      <c r="D499">
        <v>23</v>
      </c>
      <c r="E499" s="1" t="s">
        <v>46</v>
      </c>
      <c r="F499">
        <v>11</v>
      </c>
      <c r="G499">
        <v>316</v>
      </c>
      <c r="H499">
        <v>11.2</v>
      </c>
      <c r="I499">
        <v>0.52300000000000002</v>
      </c>
      <c r="J499">
        <v>0.29799999999999999</v>
      </c>
      <c r="K499">
        <v>0.25800000000000001</v>
      </c>
      <c r="L499">
        <v>4.5999999999999996</v>
      </c>
      <c r="M499">
        <v>7.9</v>
      </c>
      <c r="N499">
        <v>6.3</v>
      </c>
      <c r="O499">
        <v>11.9</v>
      </c>
      <c r="P499">
        <v>1.6</v>
      </c>
      <c r="Q499">
        <v>0</v>
      </c>
      <c r="R499">
        <v>15.6</v>
      </c>
      <c r="S499">
        <v>27.9</v>
      </c>
      <c r="T499" s="1" t="s">
        <v>707</v>
      </c>
      <c r="U499">
        <v>-0.4</v>
      </c>
      <c r="V499">
        <v>0.3</v>
      </c>
      <c r="W499">
        <v>-0.1</v>
      </c>
      <c r="X499">
        <v>-8.9999999999999993E-3</v>
      </c>
      <c r="Y499" s="1" t="s">
        <v>707</v>
      </c>
      <c r="Z499">
        <v>-3.5</v>
      </c>
      <c r="AA499">
        <v>-0.6</v>
      </c>
      <c r="AB499">
        <v>-4.0999999999999996</v>
      </c>
      <c r="AC499">
        <v>-0.2</v>
      </c>
    </row>
    <row r="500" spans="1:29" x14ac:dyDescent="0.35">
      <c r="A500">
        <v>499</v>
      </c>
      <c r="B500" s="1" t="s">
        <v>569</v>
      </c>
      <c r="C500" s="1" t="s">
        <v>41</v>
      </c>
      <c r="D500">
        <v>24</v>
      </c>
      <c r="E500" s="1" t="s">
        <v>68</v>
      </c>
      <c r="F500">
        <v>69</v>
      </c>
      <c r="G500">
        <v>1437</v>
      </c>
      <c r="H500">
        <v>10.199999999999999</v>
      </c>
      <c r="I500">
        <v>0.55000000000000004</v>
      </c>
      <c r="J500">
        <v>0.68899999999999995</v>
      </c>
      <c r="K500">
        <v>0.16700000000000001</v>
      </c>
      <c r="L500">
        <v>1.2</v>
      </c>
      <c r="M500">
        <v>8</v>
      </c>
      <c r="N500">
        <v>4.7</v>
      </c>
      <c r="O500">
        <v>9.6999999999999993</v>
      </c>
      <c r="P500">
        <v>0.9</v>
      </c>
      <c r="Q500">
        <v>0.6</v>
      </c>
      <c r="R500">
        <v>7.3</v>
      </c>
      <c r="S500">
        <v>16.8</v>
      </c>
      <c r="T500" s="1" t="s">
        <v>707</v>
      </c>
      <c r="U500">
        <v>1.1000000000000001</v>
      </c>
      <c r="V500">
        <v>1.5</v>
      </c>
      <c r="W500">
        <v>2.6</v>
      </c>
      <c r="X500">
        <v>8.5000000000000006E-2</v>
      </c>
      <c r="Y500" s="1" t="s">
        <v>707</v>
      </c>
      <c r="Z500">
        <v>-0.9</v>
      </c>
      <c r="AA500">
        <v>-0.4</v>
      </c>
      <c r="AB500">
        <v>-1.2</v>
      </c>
      <c r="AC500">
        <v>0.3</v>
      </c>
    </row>
    <row r="501" spans="1:29" x14ac:dyDescent="0.35">
      <c r="A501">
        <v>500</v>
      </c>
      <c r="B501" s="1" t="s">
        <v>570</v>
      </c>
      <c r="C501" s="1" t="s">
        <v>28</v>
      </c>
      <c r="D501">
        <v>20</v>
      </c>
      <c r="E501" s="1" t="s">
        <v>39</v>
      </c>
      <c r="F501">
        <v>32</v>
      </c>
      <c r="G501">
        <v>391</v>
      </c>
      <c r="H501">
        <v>20.7</v>
      </c>
      <c r="I501">
        <v>0.59299999999999997</v>
      </c>
      <c r="J501">
        <v>4.7E-2</v>
      </c>
      <c r="K501">
        <v>0.27500000000000002</v>
      </c>
      <c r="L501">
        <v>23.2</v>
      </c>
      <c r="M501">
        <v>21.4</v>
      </c>
      <c r="N501">
        <v>22.3</v>
      </c>
      <c r="O501">
        <v>6.7</v>
      </c>
      <c r="P501">
        <v>1.2</v>
      </c>
      <c r="Q501">
        <v>3.4</v>
      </c>
      <c r="R501">
        <v>15.2</v>
      </c>
      <c r="S501">
        <v>21.7</v>
      </c>
      <c r="T501" s="1" t="s">
        <v>707</v>
      </c>
      <c r="U501">
        <v>0.8</v>
      </c>
      <c r="V501">
        <v>0.5</v>
      </c>
      <c r="W501">
        <v>1.2</v>
      </c>
      <c r="X501">
        <v>0.152</v>
      </c>
      <c r="Y501" s="1" t="s">
        <v>707</v>
      </c>
      <c r="Z501">
        <v>-0.3</v>
      </c>
      <c r="AA501">
        <v>-2.5</v>
      </c>
      <c r="AB501">
        <v>-2.8</v>
      </c>
      <c r="AC501">
        <v>-0.1</v>
      </c>
    </row>
    <row r="502" spans="1:29" x14ac:dyDescent="0.35">
      <c r="A502">
        <v>501</v>
      </c>
      <c r="B502" s="1" t="s">
        <v>571</v>
      </c>
      <c r="C502" s="1" t="s">
        <v>28</v>
      </c>
      <c r="D502">
        <v>27</v>
      </c>
      <c r="E502" s="1" t="s">
        <v>32</v>
      </c>
      <c r="F502">
        <v>68</v>
      </c>
      <c r="G502">
        <v>2578</v>
      </c>
      <c r="H502">
        <v>20.3</v>
      </c>
      <c r="I502">
        <v>0.56499999999999995</v>
      </c>
      <c r="J502">
        <v>0.18099999999999999</v>
      </c>
      <c r="K502">
        <v>0.314</v>
      </c>
      <c r="L502">
        <v>5.0999999999999996</v>
      </c>
      <c r="M502">
        <v>20.100000000000001</v>
      </c>
      <c r="N502">
        <v>12.2</v>
      </c>
      <c r="O502">
        <v>23</v>
      </c>
      <c r="P502">
        <v>1.6</v>
      </c>
      <c r="Q502">
        <v>1.6</v>
      </c>
      <c r="R502">
        <v>11.6</v>
      </c>
      <c r="S502">
        <v>25.8</v>
      </c>
      <c r="T502" s="1" t="s">
        <v>707</v>
      </c>
      <c r="U502">
        <v>4.9000000000000004</v>
      </c>
      <c r="V502">
        <v>3.2</v>
      </c>
      <c r="W502">
        <v>8.1</v>
      </c>
      <c r="X502">
        <v>0.151</v>
      </c>
      <c r="Y502" s="1" t="s">
        <v>707</v>
      </c>
      <c r="Z502">
        <v>2.7</v>
      </c>
      <c r="AA502">
        <v>0.8</v>
      </c>
      <c r="AB502">
        <v>3.5</v>
      </c>
      <c r="AC502">
        <v>3.6</v>
      </c>
    </row>
    <row r="503" spans="1:29" x14ac:dyDescent="0.35">
      <c r="A503">
        <v>502</v>
      </c>
      <c r="B503" s="1" t="s">
        <v>572</v>
      </c>
      <c r="C503" s="1" t="s">
        <v>28</v>
      </c>
      <c r="D503">
        <v>25</v>
      </c>
      <c r="E503" s="1" t="s">
        <v>42</v>
      </c>
      <c r="F503">
        <v>10</v>
      </c>
      <c r="G503">
        <v>91</v>
      </c>
      <c r="H503">
        <v>11.6</v>
      </c>
      <c r="I503">
        <v>0.64100000000000001</v>
      </c>
      <c r="J503">
        <v>0</v>
      </c>
      <c r="K503">
        <v>0.8</v>
      </c>
      <c r="L503">
        <v>16.5</v>
      </c>
      <c r="M503">
        <v>28.2</v>
      </c>
      <c r="N503">
        <v>22.4</v>
      </c>
      <c r="O503">
        <v>10.6</v>
      </c>
      <c r="P503">
        <v>0</v>
      </c>
      <c r="Q503">
        <v>1.2</v>
      </c>
      <c r="R503">
        <v>28.3</v>
      </c>
      <c r="S503">
        <v>13.8</v>
      </c>
      <c r="T503" s="1" t="s">
        <v>707</v>
      </c>
      <c r="U503">
        <v>0.1</v>
      </c>
      <c r="V503">
        <v>0.1</v>
      </c>
      <c r="W503">
        <v>0.3</v>
      </c>
      <c r="X503">
        <v>0.13700000000000001</v>
      </c>
      <c r="Y503" s="1" t="s">
        <v>707</v>
      </c>
      <c r="Z503">
        <v>-5</v>
      </c>
      <c r="AA503">
        <v>0.1</v>
      </c>
      <c r="AB503">
        <v>-4.9000000000000004</v>
      </c>
      <c r="AC503">
        <v>-0.1</v>
      </c>
    </row>
    <row r="504" spans="1:29" x14ac:dyDescent="0.35">
      <c r="A504">
        <v>503</v>
      </c>
      <c r="B504" s="1" t="s">
        <v>573</v>
      </c>
      <c r="C504" s="1" t="s">
        <v>31</v>
      </c>
      <c r="D504">
        <v>22</v>
      </c>
      <c r="E504" s="1" t="s">
        <v>75</v>
      </c>
      <c r="F504">
        <v>9</v>
      </c>
      <c r="G504">
        <v>35</v>
      </c>
      <c r="H504">
        <v>10.199999999999999</v>
      </c>
      <c r="I504">
        <v>0.42799999999999999</v>
      </c>
      <c r="J504">
        <v>0.33300000000000002</v>
      </c>
      <c r="K504">
        <v>0.73299999999999998</v>
      </c>
      <c r="L504">
        <v>16.2</v>
      </c>
      <c r="M504">
        <v>16</v>
      </c>
      <c r="N504">
        <v>16.100000000000001</v>
      </c>
      <c r="O504">
        <v>0</v>
      </c>
      <c r="P504">
        <v>1.4</v>
      </c>
      <c r="Q504">
        <v>2.5</v>
      </c>
      <c r="R504">
        <v>9.1999999999999993</v>
      </c>
      <c r="S504">
        <v>27.5</v>
      </c>
      <c r="T504" s="1" t="s">
        <v>707</v>
      </c>
      <c r="U504">
        <v>0</v>
      </c>
      <c r="V504">
        <v>0</v>
      </c>
      <c r="W504">
        <v>0</v>
      </c>
      <c r="X504">
        <v>-1.0999999999999999E-2</v>
      </c>
      <c r="Y504" s="1" t="s">
        <v>707</v>
      </c>
      <c r="Z504">
        <v>-6.1</v>
      </c>
      <c r="AA504">
        <v>-5</v>
      </c>
      <c r="AB504">
        <v>-11.1</v>
      </c>
      <c r="AC504">
        <v>-0.1</v>
      </c>
    </row>
    <row r="505" spans="1:29" x14ac:dyDescent="0.35">
      <c r="A505">
        <v>504</v>
      </c>
      <c r="B505" s="1" t="s">
        <v>574</v>
      </c>
      <c r="C505" s="1" t="s">
        <v>41</v>
      </c>
      <c r="D505">
        <v>22</v>
      </c>
      <c r="E505" s="1" t="s">
        <v>114</v>
      </c>
      <c r="F505">
        <v>57</v>
      </c>
      <c r="G505">
        <v>1681</v>
      </c>
      <c r="H505">
        <v>15.3</v>
      </c>
      <c r="I505">
        <v>0.58299999999999996</v>
      </c>
      <c r="J505">
        <v>0.55500000000000005</v>
      </c>
      <c r="K505">
        <v>0.14599999999999999</v>
      </c>
      <c r="L505">
        <v>1.6</v>
      </c>
      <c r="M505">
        <v>8.5</v>
      </c>
      <c r="N505">
        <v>4.9000000000000004</v>
      </c>
      <c r="O505">
        <v>22.2</v>
      </c>
      <c r="P505">
        <v>0.9</v>
      </c>
      <c r="Q505">
        <v>0.4</v>
      </c>
      <c r="R505">
        <v>11.9</v>
      </c>
      <c r="S505">
        <v>24.8</v>
      </c>
      <c r="T505" s="1" t="s">
        <v>707</v>
      </c>
      <c r="U505">
        <v>2</v>
      </c>
      <c r="V505">
        <v>-0.1</v>
      </c>
      <c r="W505">
        <v>1.9</v>
      </c>
      <c r="X505">
        <v>5.5E-2</v>
      </c>
      <c r="Y505" s="1" t="s">
        <v>707</v>
      </c>
      <c r="Z505">
        <v>1.9</v>
      </c>
      <c r="AA505">
        <v>-2.7</v>
      </c>
      <c r="AB505">
        <v>-0.7</v>
      </c>
      <c r="AC505">
        <v>0.5</v>
      </c>
    </row>
    <row r="506" spans="1:29" x14ac:dyDescent="0.35">
      <c r="A506">
        <v>505</v>
      </c>
      <c r="B506" s="1" t="s">
        <v>575</v>
      </c>
      <c r="C506" s="1" t="s">
        <v>48</v>
      </c>
      <c r="D506">
        <v>24</v>
      </c>
      <c r="E506" s="1" t="s">
        <v>96</v>
      </c>
      <c r="F506">
        <v>4</v>
      </c>
      <c r="G506">
        <v>174</v>
      </c>
      <c r="H506">
        <v>7.7</v>
      </c>
      <c r="I506">
        <v>0.40600000000000003</v>
      </c>
      <c r="J506">
        <v>0.154</v>
      </c>
      <c r="K506">
        <v>9.6000000000000002E-2</v>
      </c>
      <c r="L506">
        <v>1.2</v>
      </c>
      <c r="M506">
        <v>11.4</v>
      </c>
      <c r="N506">
        <v>6.2</v>
      </c>
      <c r="O506">
        <v>25.2</v>
      </c>
      <c r="P506">
        <v>1.4</v>
      </c>
      <c r="Q506">
        <v>2.1</v>
      </c>
      <c r="R506">
        <v>15.6</v>
      </c>
      <c r="S506">
        <v>15.9</v>
      </c>
      <c r="T506" s="1" t="s">
        <v>707</v>
      </c>
      <c r="U506">
        <v>-0.2</v>
      </c>
      <c r="V506">
        <v>0.1</v>
      </c>
      <c r="W506">
        <v>-0.1</v>
      </c>
      <c r="X506">
        <v>-1.7999999999999999E-2</v>
      </c>
      <c r="Y506" s="1" t="s">
        <v>707</v>
      </c>
      <c r="Z506">
        <v>-6</v>
      </c>
      <c r="AA506">
        <v>-1.9</v>
      </c>
      <c r="AB506">
        <v>-7.9</v>
      </c>
      <c r="AC506">
        <v>-0.3</v>
      </c>
    </row>
    <row r="507" spans="1:29" x14ac:dyDescent="0.35">
      <c r="A507">
        <v>506</v>
      </c>
      <c r="B507" s="1" t="s">
        <v>576</v>
      </c>
      <c r="C507" s="1" t="s">
        <v>28</v>
      </c>
      <c r="D507">
        <v>23</v>
      </c>
      <c r="E507" s="1" t="s">
        <v>61</v>
      </c>
      <c r="F507">
        <v>41</v>
      </c>
      <c r="G507">
        <v>555</v>
      </c>
      <c r="H507">
        <v>11.6</v>
      </c>
      <c r="I507">
        <v>0.67400000000000004</v>
      </c>
      <c r="J507">
        <v>0</v>
      </c>
      <c r="K507">
        <v>0.53700000000000003</v>
      </c>
      <c r="L507">
        <v>11.6</v>
      </c>
      <c r="M507">
        <v>21.3</v>
      </c>
      <c r="N507">
        <v>16.399999999999999</v>
      </c>
      <c r="O507">
        <v>5.3</v>
      </c>
      <c r="P507">
        <v>1</v>
      </c>
      <c r="Q507">
        <v>3.9</v>
      </c>
      <c r="R507">
        <v>23.1</v>
      </c>
      <c r="S507">
        <v>6.9</v>
      </c>
      <c r="T507" s="1" t="s">
        <v>707</v>
      </c>
      <c r="U507">
        <v>0.7</v>
      </c>
      <c r="V507">
        <v>0.8</v>
      </c>
      <c r="W507">
        <v>1.5</v>
      </c>
      <c r="X507">
        <v>0.128</v>
      </c>
      <c r="Y507" s="1" t="s">
        <v>707</v>
      </c>
      <c r="Z507">
        <v>-2.8</v>
      </c>
      <c r="AA507">
        <v>1.1000000000000001</v>
      </c>
      <c r="AB507">
        <v>-1.7</v>
      </c>
      <c r="AC507">
        <v>0</v>
      </c>
    </row>
    <row r="508" spans="1:29" x14ac:dyDescent="0.35">
      <c r="A508">
        <v>507</v>
      </c>
      <c r="B508" s="1" t="s">
        <v>577</v>
      </c>
      <c r="C508" s="1" t="s">
        <v>41</v>
      </c>
      <c r="D508">
        <v>21</v>
      </c>
      <c r="E508" s="1" t="s">
        <v>105</v>
      </c>
      <c r="F508">
        <v>3</v>
      </c>
      <c r="G508">
        <v>27</v>
      </c>
      <c r="H508">
        <v>0.1</v>
      </c>
      <c r="I508">
        <v>0.15</v>
      </c>
      <c r="J508">
        <v>0.7</v>
      </c>
      <c r="K508">
        <v>0</v>
      </c>
      <c r="L508">
        <v>0</v>
      </c>
      <c r="M508">
        <v>25.3</v>
      </c>
      <c r="N508">
        <v>12</v>
      </c>
      <c r="O508">
        <v>4.9000000000000004</v>
      </c>
      <c r="P508">
        <v>5.4</v>
      </c>
      <c r="Q508">
        <v>3.3</v>
      </c>
      <c r="R508">
        <v>0</v>
      </c>
      <c r="S508">
        <v>15.9</v>
      </c>
      <c r="T508" s="1" t="s">
        <v>707</v>
      </c>
      <c r="U508">
        <v>-0.1</v>
      </c>
      <c r="V508">
        <v>0.1</v>
      </c>
      <c r="W508">
        <v>-0.1</v>
      </c>
      <c r="X508">
        <v>-0.13900000000000001</v>
      </c>
      <c r="Y508" s="1" t="s">
        <v>707</v>
      </c>
      <c r="Z508">
        <v>-10.8</v>
      </c>
      <c r="AA508">
        <v>2.2000000000000002</v>
      </c>
      <c r="AB508">
        <v>-8.6999999999999993</v>
      </c>
      <c r="AC508">
        <v>0</v>
      </c>
    </row>
    <row r="509" spans="1:29" x14ac:dyDescent="0.35">
      <c r="A509">
        <v>508</v>
      </c>
      <c r="B509" s="1" t="s">
        <v>578</v>
      </c>
      <c r="C509" s="1" t="s">
        <v>48</v>
      </c>
      <c r="D509">
        <v>22</v>
      </c>
      <c r="E509" s="1" t="s">
        <v>42</v>
      </c>
      <c r="F509">
        <v>17</v>
      </c>
      <c r="G509">
        <v>200</v>
      </c>
      <c r="H509">
        <v>5.0999999999999996</v>
      </c>
      <c r="I509">
        <v>0.40699999999999997</v>
      </c>
      <c r="J509">
        <v>0.45</v>
      </c>
      <c r="K509">
        <v>0.1</v>
      </c>
      <c r="L509">
        <v>2.7</v>
      </c>
      <c r="M509">
        <v>10</v>
      </c>
      <c r="N509">
        <v>6.5</v>
      </c>
      <c r="O509">
        <v>10.4</v>
      </c>
      <c r="P509">
        <v>1.5</v>
      </c>
      <c r="Q509">
        <v>1.5</v>
      </c>
      <c r="R509">
        <v>14.9</v>
      </c>
      <c r="S509">
        <v>15.9</v>
      </c>
      <c r="T509" s="1" t="s">
        <v>707</v>
      </c>
      <c r="U509">
        <v>-0.3</v>
      </c>
      <c r="V509">
        <v>0.2</v>
      </c>
      <c r="W509">
        <v>-0.2</v>
      </c>
      <c r="X509">
        <v>-3.7999999999999999E-2</v>
      </c>
      <c r="Y509" s="1" t="s">
        <v>707</v>
      </c>
      <c r="Z509">
        <v>-5.9</v>
      </c>
      <c r="AA509">
        <v>-0.8</v>
      </c>
      <c r="AB509">
        <v>-6.6</v>
      </c>
      <c r="AC509">
        <v>-0.2</v>
      </c>
    </row>
    <row r="510" spans="1:29" x14ac:dyDescent="0.35">
      <c r="A510">
        <v>509</v>
      </c>
      <c r="B510" s="1" t="s">
        <v>579</v>
      </c>
      <c r="C510" s="1" t="s">
        <v>48</v>
      </c>
      <c r="D510">
        <v>27</v>
      </c>
      <c r="E510" s="1" t="s">
        <v>140</v>
      </c>
      <c r="F510">
        <v>71</v>
      </c>
      <c r="G510">
        <v>2296</v>
      </c>
      <c r="H510">
        <v>13.6</v>
      </c>
      <c r="I510">
        <v>0.54</v>
      </c>
      <c r="J510">
        <v>0.501</v>
      </c>
      <c r="K510">
        <v>0.249</v>
      </c>
      <c r="L510">
        <v>2</v>
      </c>
      <c r="M510">
        <v>10.5</v>
      </c>
      <c r="N510">
        <v>6.4</v>
      </c>
      <c r="O510">
        <v>25.6</v>
      </c>
      <c r="P510">
        <v>2.6</v>
      </c>
      <c r="Q510">
        <v>0.7</v>
      </c>
      <c r="R510">
        <v>16.600000000000001</v>
      </c>
      <c r="S510">
        <v>18.3</v>
      </c>
      <c r="T510" s="1" t="s">
        <v>707</v>
      </c>
      <c r="U510">
        <v>1.9</v>
      </c>
      <c r="V510">
        <v>3.7</v>
      </c>
      <c r="W510">
        <v>5.6</v>
      </c>
      <c r="X510">
        <v>0.11600000000000001</v>
      </c>
      <c r="Y510" s="1" t="s">
        <v>707</v>
      </c>
      <c r="Z510">
        <v>-1.2</v>
      </c>
      <c r="AA510">
        <v>1.7</v>
      </c>
      <c r="AB510">
        <v>0.5</v>
      </c>
      <c r="AC510">
        <v>1.5</v>
      </c>
    </row>
    <row r="511" spans="1:29" x14ac:dyDescent="0.35">
      <c r="A511">
        <v>510</v>
      </c>
      <c r="B511" s="1" t="s">
        <v>580</v>
      </c>
      <c r="C511" s="1" t="s">
        <v>48</v>
      </c>
      <c r="D511">
        <v>24</v>
      </c>
      <c r="E511" s="1" t="s">
        <v>114</v>
      </c>
      <c r="F511">
        <v>37</v>
      </c>
      <c r="G511">
        <v>638</v>
      </c>
      <c r="H511">
        <v>13.2</v>
      </c>
      <c r="I511">
        <v>0.47399999999999998</v>
      </c>
      <c r="J511">
        <v>0.14299999999999999</v>
      </c>
      <c r="K511">
        <v>0.33900000000000002</v>
      </c>
      <c r="L511">
        <v>3.3</v>
      </c>
      <c r="M511">
        <v>12.2</v>
      </c>
      <c r="N511">
        <v>7.6</v>
      </c>
      <c r="O511">
        <v>30.5</v>
      </c>
      <c r="P511">
        <v>3.4</v>
      </c>
      <c r="Q511">
        <v>1.9</v>
      </c>
      <c r="R511">
        <v>19</v>
      </c>
      <c r="S511">
        <v>18.2</v>
      </c>
      <c r="T511" s="1" t="s">
        <v>707</v>
      </c>
      <c r="U511">
        <v>-0.1</v>
      </c>
      <c r="V511">
        <v>0.5</v>
      </c>
      <c r="W511">
        <v>0.4</v>
      </c>
      <c r="X511">
        <v>3.1E-2</v>
      </c>
      <c r="Y511" s="1" t="s">
        <v>707</v>
      </c>
      <c r="Z511">
        <v>-2.8</v>
      </c>
      <c r="AA511">
        <v>1.2</v>
      </c>
      <c r="AB511">
        <v>-1.7</v>
      </c>
      <c r="AC511">
        <v>0.1</v>
      </c>
    </row>
    <row r="512" spans="1:29" x14ac:dyDescent="0.35">
      <c r="A512">
        <v>511</v>
      </c>
      <c r="B512" s="1" t="s">
        <v>581</v>
      </c>
      <c r="C512" s="1" t="s">
        <v>48</v>
      </c>
      <c r="D512">
        <v>33</v>
      </c>
      <c r="E512" s="1" t="s">
        <v>42</v>
      </c>
      <c r="F512">
        <v>65</v>
      </c>
      <c r="G512">
        <v>1126</v>
      </c>
      <c r="H512">
        <v>12.5</v>
      </c>
      <c r="I512">
        <v>0.46500000000000002</v>
      </c>
      <c r="J512">
        <v>0.156</v>
      </c>
      <c r="K512">
        <v>5.6000000000000001E-2</v>
      </c>
      <c r="L512">
        <v>2.4</v>
      </c>
      <c r="M512">
        <v>11.1</v>
      </c>
      <c r="N512">
        <v>6.8</v>
      </c>
      <c r="O512">
        <v>31.5</v>
      </c>
      <c r="P512">
        <v>2</v>
      </c>
      <c r="Q512">
        <v>1.8</v>
      </c>
      <c r="R512">
        <v>15</v>
      </c>
      <c r="S512">
        <v>20.100000000000001</v>
      </c>
      <c r="T512" s="1" t="s">
        <v>707</v>
      </c>
      <c r="U512">
        <v>-0.3</v>
      </c>
      <c r="V512">
        <v>0.9</v>
      </c>
      <c r="W512">
        <v>0.5</v>
      </c>
      <c r="X512">
        <v>2.3E-2</v>
      </c>
      <c r="Y512" s="1" t="s">
        <v>707</v>
      </c>
      <c r="Z512">
        <v>-2.2000000000000002</v>
      </c>
      <c r="AA512">
        <v>-0.6</v>
      </c>
      <c r="AB512">
        <v>-2.9</v>
      </c>
      <c r="AC512">
        <v>-0.2</v>
      </c>
    </row>
    <row r="513" spans="1:29" x14ac:dyDescent="0.35">
      <c r="A513">
        <v>512</v>
      </c>
      <c r="B513" s="1" t="s">
        <v>582</v>
      </c>
      <c r="C513" s="1" t="s">
        <v>28</v>
      </c>
      <c r="D513">
        <v>21</v>
      </c>
      <c r="E513" s="1" t="s">
        <v>42</v>
      </c>
      <c r="F513">
        <v>51</v>
      </c>
      <c r="G513">
        <v>925</v>
      </c>
      <c r="H513">
        <v>18.399999999999999</v>
      </c>
      <c r="I513">
        <v>0.59499999999999997</v>
      </c>
      <c r="J513">
        <v>0.34899999999999998</v>
      </c>
      <c r="K513">
        <v>0.29099999999999998</v>
      </c>
      <c r="L513">
        <v>12</v>
      </c>
      <c r="M513">
        <v>24.5</v>
      </c>
      <c r="N513">
        <v>18.2</v>
      </c>
      <c r="O513">
        <v>3.9</v>
      </c>
      <c r="P513">
        <v>0.8</v>
      </c>
      <c r="Q513">
        <v>3.9</v>
      </c>
      <c r="R513">
        <v>9.6</v>
      </c>
      <c r="S513">
        <v>20.3</v>
      </c>
      <c r="T513" s="1" t="s">
        <v>707</v>
      </c>
      <c r="U513">
        <v>1.7</v>
      </c>
      <c r="V513">
        <v>1.1000000000000001</v>
      </c>
      <c r="W513">
        <v>2.8</v>
      </c>
      <c r="X513">
        <v>0.14499999999999999</v>
      </c>
      <c r="Y513" s="1" t="s">
        <v>707</v>
      </c>
      <c r="Z513">
        <v>0.9</v>
      </c>
      <c r="AA513">
        <v>-1.4</v>
      </c>
      <c r="AB513">
        <v>-0.5</v>
      </c>
      <c r="AC513">
        <v>0.3</v>
      </c>
    </row>
    <row r="514" spans="1:29" x14ac:dyDescent="0.35">
      <c r="A514">
        <v>513</v>
      </c>
      <c r="B514" s="1" t="s">
        <v>583</v>
      </c>
      <c r="C514" s="1" t="s">
        <v>51</v>
      </c>
      <c r="D514">
        <v>24</v>
      </c>
      <c r="E514" s="1" t="s">
        <v>42</v>
      </c>
      <c r="F514">
        <v>9</v>
      </c>
      <c r="G514">
        <v>39</v>
      </c>
      <c r="H514">
        <v>0.4</v>
      </c>
      <c r="I514">
        <v>0.25</v>
      </c>
      <c r="J514">
        <v>0.8</v>
      </c>
      <c r="K514">
        <v>0</v>
      </c>
      <c r="L514">
        <v>5.5</v>
      </c>
      <c r="M514">
        <v>10.9</v>
      </c>
      <c r="N514">
        <v>8.3000000000000007</v>
      </c>
      <c r="O514">
        <v>3.3</v>
      </c>
      <c r="P514">
        <v>0</v>
      </c>
      <c r="Q514">
        <v>0</v>
      </c>
      <c r="R514">
        <v>0</v>
      </c>
      <c r="S514">
        <v>11</v>
      </c>
      <c r="T514" s="1" t="s">
        <v>707</v>
      </c>
      <c r="U514">
        <v>-0.1</v>
      </c>
      <c r="V514">
        <v>0</v>
      </c>
      <c r="W514">
        <v>0</v>
      </c>
      <c r="X514">
        <v>-5.6000000000000001E-2</v>
      </c>
      <c r="Y514" s="1" t="s">
        <v>707</v>
      </c>
      <c r="Z514">
        <v>-6.9</v>
      </c>
      <c r="AA514">
        <v>-3.7</v>
      </c>
      <c r="AB514">
        <v>-10.6</v>
      </c>
      <c r="AC514">
        <v>-0.1</v>
      </c>
    </row>
    <row r="515" spans="1:29" x14ac:dyDescent="0.35">
      <c r="A515">
        <v>514</v>
      </c>
      <c r="B515" s="1" t="s">
        <v>584</v>
      </c>
      <c r="C515" s="1" t="s">
        <v>41</v>
      </c>
      <c r="D515">
        <v>30</v>
      </c>
      <c r="E515" s="1" t="s">
        <v>42</v>
      </c>
      <c r="F515">
        <v>53</v>
      </c>
      <c r="G515">
        <v>823</v>
      </c>
      <c r="H515">
        <v>6.3</v>
      </c>
      <c r="I515">
        <v>0.54100000000000004</v>
      </c>
      <c r="J515">
        <v>0.749</v>
      </c>
      <c r="K515">
        <v>2.3E-2</v>
      </c>
      <c r="L515">
        <v>2.1</v>
      </c>
      <c r="M515">
        <v>12</v>
      </c>
      <c r="N515">
        <v>6.9</v>
      </c>
      <c r="O515">
        <v>4.7</v>
      </c>
      <c r="P515">
        <v>1</v>
      </c>
      <c r="Q515">
        <v>1.1000000000000001</v>
      </c>
      <c r="R515">
        <v>9.9</v>
      </c>
      <c r="S515">
        <v>10.1</v>
      </c>
      <c r="T515" s="1" t="s">
        <v>707</v>
      </c>
      <c r="U515">
        <v>0.2</v>
      </c>
      <c r="V515">
        <v>0.2</v>
      </c>
      <c r="W515">
        <v>0.4</v>
      </c>
      <c r="X515">
        <v>2.3E-2</v>
      </c>
      <c r="Y515" s="1" t="s">
        <v>707</v>
      </c>
      <c r="Z515">
        <v>-3.4</v>
      </c>
      <c r="AA515">
        <v>-0.8</v>
      </c>
      <c r="AB515">
        <v>-4.2</v>
      </c>
      <c r="AC515">
        <v>-0.5</v>
      </c>
    </row>
    <row r="516" spans="1:29" x14ac:dyDescent="0.35">
      <c r="A516">
        <v>515</v>
      </c>
      <c r="B516" s="1" t="s">
        <v>585</v>
      </c>
      <c r="C516" s="1" t="s">
        <v>41</v>
      </c>
      <c r="D516">
        <v>19</v>
      </c>
      <c r="E516" s="1" t="s">
        <v>89</v>
      </c>
      <c r="F516">
        <v>2</v>
      </c>
      <c r="G516">
        <v>6</v>
      </c>
      <c r="H516">
        <v>26.4</v>
      </c>
      <c r="I516">
        <v>1</v>
      </c>
      <c r="J516">
        <v>0</v>
      </c>
      <c r="K516">
        <v>0</v>
      </c>
      <c r="L516">
        <v>18.899999999999999</v>
      </c>
      <c r="M516">
        <v>18.3</v>
      </c>
      <c r="N516">
        <v>18.600000000000001</v>
      </c>
      <c r="O516">
        <v>0</v>
      </c>
      <c r="P516">
        <v>0</v>
      </c>
      <c r="Q516">
        <v>30</v>
      </c>
      <c r="R516">
        <v>50</v>
      </c>
      <c r="S516">
        <v>15</v>
      </c>
      <c r="T516" s="1" t="s">
        <v>707</v>
      </c>
      <c r="U516">
        <v>0</v>
      </c>
      <c r="V516">
        <v>0</v>
      </c>
      <c r="W516">
        <v>0</v>
      </c>
      <c r="X516">
        <v>0.13800000000000001</v>
      </c>
      <c r="Y516" s="1" t="s">
        <v>707</v>
      </c>
      <c r="Z516">
        <v>8.3000000000000007</v>
      </c>
      <c r="AA516">
        <v>8.8000000000000007</v>
      </c>
      <c r="AB516">
        <v>17.100000000000001</v>
      </c>
      <c r="AC516">
        <v>0</v>
      </c>
    </row>
    <row r="517" spans="1:29" x14ac:dyDescent="0.35">
      <c r="A517">
        <v>516</v>
      </c>
      <c r="B517" s="1" t="s">
        <v>586</v>
      </c>
      <c r="C517" s="1" t="s">
        <v>41</v>
      </c>
      <c r="D517">
        <v>22</v>
      </c>
      <c r="E517" s="1" t="s">
        <v>105</v>
      </c>
      <c r="F517">
        <v>9</v>
      </c>
      <c r="G517">
        <v>155</v>
      </c>
      <c r="H517">
        <v>8</v>
      </c>
      <c r="I517">
        <v>0.51600000000000001</v>
      </c>
      <c r="J517">
        <v>0.37</v>
      </c>
      <c r="K517">
        <v>0.217</v>
      </c>
      <c r="L517">
        <v>3.3</v>
      </c>
      <c r="M517">
        <v>10.3</v>
      </c>
      <c r="N517">
        <v>6.6</v>
      </c>
      <c r="O517">
        <v>3.9</v>
      </c>
      <c r="P517">
        <v>1.6</v>
      </c>
      <c r="Q517">
        <v>1.2</v>
      </c>
      <c r="R517">
        <v>10.6</v>
      </c>
      <c r="S517">
        <v>15.6</v>
      </c>
      <c r="T517" s="1" t="s">
        <v>707</v>
      </c>
      <c r="U517">
        <v>0</v>
      </c>
      <c r="V517">
        <v>0.1</v>
      </c>
      <c r="W517">
        <v>0.1</v>
      </c>
      <c r="X517">
        <v>2.1000000000000001E-2</v>
      </c>
      <c r="Y517" s="1" t="s">
        <v>707</v>
      </c>
      <c r="Z517">
        <v>-4.9000000000000004</v>
      </c>
      <c r="AA517">
        <v>-1</v>
      </c>
      <c r="AB517">
        <v>-5.8</v>
      </c>
      <c r="AC517">
        <v>-0.2</v>
      </c>
    </row>
    <row r="518" spans="1:29" x14ac:dyDescent="0.35">
      <c r="A518">
        <v>517</v>
      </c>
      <c r="B518" s="1" t="s">
        <v>587</v>
      </c>
      <c r="C518" s="1" t="s">
        <v>41</v>
      </c>
      <c r="D518">
        <v>28</v>
      </c>
      <c r="E518" s="1" t="s">
        <v>42</v>
      </c>
      <c r="F518">
        <v>8</v>
      </c>
      <c r="G518">
        <v>39</v>
      </c>
      <c r="H518">
        <v>10.5</v>
      </c>
      <c r="I518">
        <v>0.54100000000000004</v>
      </c>
      <c r="J518">
        <v>0.71399999999999997</v>
      </c>
      <c r="K518">
        <v>0.42899999999999999</v>
      </c>
      <c r="L518">
        <v>3</v>
      </c>
      <c r="M518">
        <v>5.7</v>
      </c>
      <c r="N518">
        <v>4.4000000000000004</v>
      </c>
      <c r="O518">
        <v>7.3</v>
      </c>
      <c r="P518">
        <v>0</v>
      </c>
      <c r="Q518">
        <v>0</v>
      </c>
      <c r="R518">
        <v>5.7</v>
      </c>
      <c r="S518">
        <v>20</v>
      </c>
      <c r="T518" s="1" t="s">
        <v>707</v>
      </c>
      <c r="U518">
        <v>0</v>
      </c>
      <c r="V518">
        <v>0</v>
      </c>
      <c r="W518">
        <v>0.1</v>
      </c>
      <c r="X518">
        <v>7.8E-2</v>
      </c>
      <c r="Y518" s="1" t="s">
        <v>707</v>
      </c>
      <c r="Z518">
        <v>-0.9</v>
      </c>
      <c r="AA518">
        <v>-2.7</v>
      </c>
      <c r="AB518">
        <v>-3.6</v>
      </c>
      <c r="AC518">
        <v>0</v>
      </c>
    </row>
    <row r="519" spans="1:29" x14ac:dyDescent="0.35">
      <c r="A519">
        <v>518</v>
      </c>
      <c r="B519" s="1" t="s">
        <v>588</v>
      </c>
      <c r="C519" s="1" t="s">
        <v>137</v>
      </c>
      <c r="D519">
        <v>31</v>
      </c>
      <c r="E519" s="1" t="s">
        <v>42</v>
      </c>
      <c r="F519">
        <v>46</v>
      </c>
      <c r="G519">
        <v>814</v>
      </c>
      <c r="H519">
        <v>13.6</v>
      </c>
      <c r="I519">
        <v>0.53600000000000003</v>
      </c>
      <c r="J519">
        <v>0.27900000000000003</v>
      </c>
      <c r="K519">
        <v>0.248</v>
      </c>
      <c r="L519">
        <v>1.6</v>
      </c>
      <c r="M519">
        <v>16</v>
      </c>
      <c r="N519">
        <v>8.6999999999999993</v>
      </c>
      <c r="O519">
        <v>30.2</v>
      </c>
      <c r="P519">
        <v>1.4</v>
      </c>
      <c r="Q519">
        <v>0.4</v>
      </c>
      <c r="R519">
        <v>16.7</v>
      </c>
      <c r="S519">
        <v>22.6</v>
      </c>
      <c r="T519" s="1" t="s">
        <v>707</v>
      </c>
      <c r="U519">
        <v>0.4</v>
      </c>
      <c r="V519">
        <v>0.4</v>
      </c>
      <c r="W519">
        <v>0.8</v>
      </c>
      <c r="X519">
        <v>4.8000000000000001E-2</v>
      </c>
      <c r="Y519" s="1" t="s">
        <v>707</v>
      </c>
      <c r="Z519">
        <v>-1.6</v>
      </c>
      <c r="AA519">
        <v>-1.6</v>
      </c>
      <c r="AB519">
        <v>-3.1</v>
      </c>
      <c r="AC519">
        <v>-0.2</v>
      </c>
    </row>
    <row r="520" spans="1:29" x14ac:dyDescent="0.35">
      <c r="A520">
        <v>519</v>
      </c>
      <c r="B520" s="1" t="s">
        <v>589</v>
      </c>
      <c r="C520" s="1" t="s">
        <v>28</v>
      </c>
      <c r="D520">
        <v>24</v>
      </c>
      <c r="E520" s="1" t="s">
        <v>46</v>
      </c>
      <c r="F520">
        <v>63</v>
      </c>
      <c r="G520">
        <v>1015</v>
      </c>
      <c r="H520">
        <v>11.3</v>
      </c>
      <c r="I520">
        <v>0.54400000000000004</v>
      </c>
      <c r="J520">
        <v>0.20399999999999999</v>
      </c>
      <c r="K520">
        <v>0.23499999999999999</v>
      </c>
      <c r="L520">
        <v>5.2</v>
      </c>
      <c r="M520">
        <v>12.5</v>
      </c>
      <c r="N520">
        <v>8.9</v>
      </c>
      <c r="O520">
        <v>6.5</v>
      </c>
      <c r="P520">
        <v>1.5</v>
      </c>
      <c r="Q520">
        <v>1.6</v>
      </c>
      <c r="R520">
        <v>10.4</v>
      </c>
      <c r="S520">
        <v>17.100000000000001</v>
      </c>
      <c r="T520" s="1" t="s">
        <v>707</v>
      </c>
      <c r="U520">
        <v>0.4</v>
      </c>
      <c r="V520">
        <v>1.2</v>
      </c>
      <c r="W520">
        <v>1.6</v>
      </c>
      <c r="X520">
        <v>7.8E-2</v>
      </c>
      <c r="Y520" s="1" t="s">
        <v>707</v>
      </c>
      <c r="Z520">
        <v>-3.2</v>
      </c>
      <c r="AA520">
        <v>0.3</v>
      </c>
      <c r="AB520">
        <v>-2.9</v>
      </c>
      <c r="AC520">
        <v>-0.2</v>
      </c>
    </row>
    <row r="521" spans="1:29" x14ac:dyDescent="0.35">
      <c r="A521">
        <v>520</v>
      </c>
      <c r="B521" s="1" t="s">
        <v>590</v>
      </c>
      <c r="C521" s="1" t="s">
        <v>31</v>
      </c>
      <c r="D521">
        <v>20</v>
      </c>
      <c r="E521" s="1" t="s">
        <v>105</v>
      </c>
      <c r="F521">
        <v>71</v>
      </c>
      <c r="G521">
        <v>1816</v>
      </c>
      <c r="H521">
        <v>14</v>
      </c>
      <c r="I521">
        <v>0.55000000000000004</v>
      </c>
      <c r="J521">
        <v>9.4E-2</v>
      </c>
      <c r="K521">
        <v>0.21</v>
      </c>
      <c r="L521">
        <v>12.8</v>
      </c>
      <c r="M521">
        <v>24.5</v>
      </c>
      <c r="N521">
        <v>18.399999999999999</v>
      </c>
      <c r="O521">
        <v>6.9</v>
      </c>
      <c r="P521">
        <v>0.6</v>
      </c>
      <c r="Q521">
        <v>3.9</v>
      </c>
      <c r="R521">
        <v>13.7</v>
      </c>
      <c r="S521">
        <v>14.6</v>
      </c>
      <c r="T521" s="1" t="s">
        <v>707</v>
      </c>
      <c r="U521">
        <v>1.6</v>
      </c>
      <c r="V521">
        <v>1.8</v>
      </c>
      <c r="W521">
        <v>3.4</v>
      </c>
      <c r="X521">
        <v>9.0999999999999998E-2</v>
      </c>
      <c r="Y521" s="1" t="s">
        <v>707</v>
      </c>
      <c r="Z521">
        <v>-2.5</v>
      </c>
      <c r="AA521">
        <v>-0.8</v>
      </c>
      <c r="AB521">
        <v>-3.3</v>
      </c>
      <c r="AC521">
        <v>-0.6</v>
      </c>
    </row>
    <row r="522" spans="1:29" x14ac:dyDescent="0.35">
      <c r="A522">
        <v>521</v>
      </c>
      <c r="B522" s="1" t="s">
        <v>591</v>
      </c>
      <c r="C522" s="1" t="s">
        <v>51</v>
      </c>
      <c r="D522">
        <v>25</v>
      </c>
      <c r="E522" s="1" t="s">
        <v>36</v>
      </c>
      <c r="F522">
        <v>68</v>
      </c>
      <c r="G522">
        <v>1587</v>
      </c>
      <c r="H522">
        <v>12.7</v>
      </c>
      <c r="I522">
        <v>0.61399999999999999</v>
      </c>
      <c r="J522">
        <v>0.78400000000000003</v>
      </c>
      <c r="K522">
        <v>9.4E-2</v>
      </c>
      <c r="L522">
        <v>1.7</v>
      </c>
      <c r="M522">
        <v>12.5</v>
      </c>
      <c r="N522">
        <v>7.2</v>
      </c>
      <c r="O522">
        <v>8.8000000000000007</v>
      </c>
      <c r="P522">
        <v>0.9</v>
      </c>
      <c r="Q522">
        <v>1.1000000000000001</v>
      </c>
      <c r="R522">
        <v>8.8000000000000007</v>
      </c>
      <c r="S522">
        <v>18.100000000000001</v>
      </c>
      <c r="T522" s="1" t="s">
        <v>707</v>
      </c>
      <c r="U522">
        <v>2</v>
      </c>
      <c r="V522">
        <v>1.7</v>
      </c>
      <c r="W522">
        <v>3.6</v>
      </c>
      <c r="X522">
        <v>0.11</v>
      </c>
      <c r="Y522" s="1" t="s">
        <v>707</v>
      </c>
      <c r="Z522">
        <v>1.4</v>
      </c>
      <c r="AA522">
        <v>-0.4</v>
      </c>
      <c r="AB522">
        <v>0.9</v>
      </c>
      <c r="AC522">
        <v>1.2</v>
      </c>
    </row>
    <row r="523" spans="1:29" x14ac:dyDescent="0.35">
      <c r="A523">
        <v>522</v>
      </c>
      <c r="B523" s="1" t="s">
        <v>592</v>
      </c>
      <c r="C523" s="1" t="s">
        <v>48</v>
      </c>
      <c r="D523">
        <v>20</v>
      </c>
      <c r="E523" s="1" t="s">
        <v>58</v>
      </c>
      <c r="F523">
        <v>48</v>
      </c>
      <c r="G523">
        <v>1307</v>
      </c>
      <c r="H523">
        <v>8.6</v>
      </c>
      <c r="I523">
        <v>0.45500000000000002</v>
      </c>
      <c r="J523">
        <v>0.35799999999999998</v>
      </c>
      <c r="K523">
        <v>0.29699999999999999</v>
      </c>
      <c r="L523">
        <v>2.1</v>
      </c>
      <c r="M523">
        <v>11.7</v>
      </c>
      <c r="N523">
        <v>6.9</v>
      </c>
      <c r="O523">
        <v>24.9</v>
      </c>
      <c r="P523">
        <v>2.2000000000000002</v>
      </c>
      <c r="Q523">
        <v>1.3</v>
      </c>
      <c r="R523">
        <v>18.7</v>
      </c>
      <c r="S523">
        <v>25.3</v>
      </c>
      <c r="T523" s="1" t="s">
        <v>707</v>
      </c>
      <c r="U523">
        <v>-3</v>
      </c>
      <c r="V523">
        <v>1.3</v>
      </c>
      <c r="W523">
        <v>-1.6</v>
      </c>
      <c r="X523">
        <v>-0.06</v>
      </c>
      <c r="Y523" s="1" t="s">
        <v>707</v>
      </c>
      <c r="Z523">
        <v>-5.3</v>
      </c>
      <c r="AA523">
        <v>-0.2</v>
      </c>
      <c r="AB523">
        <v>-5.6</v>
      </c>
      <c r="AC523">
        <v>-1.2</v>
      </c>
    </row>
    <row r="524" spans="1:29" x14ac:dyDescent="0.35">
      <c r="A524">
        <v>523</v>
      </c>
      <c r="B524" s="1" t="s">
        <v>593</v>
      </c>
      <c r="C524" s="1" t="s">
        <v>41</v>
      </c>
      <c r="D524">
        <v>28</v>
      </c>
      <c r="E524" s="1" t="s">
        <v>65</v>
      </c>
      <c r="F524">
        <v>3</v>
      </c>
      <c r="G524">
        <v>19</v>
      </c>
      <c r="H524">
        <v>14.2</v>
      </c>
      <c r="I524">
        <v>0.75</v>
      </c>
      <c r="J524">
        <v>0.25</v>
      </c>
      <c r="K524">
        <v>0</v>
      </c>
      <c r="L524">
        <v>0</v>
      </c>
      <c r="M524">
        <v>0</v>
      </c>
      <c r="N524">
        <v>0</v>
      </c>
      <c r="O524">
        <v>7.7</v>
      </c>
      <c r="P524">
        <v>10.4</v>
      </c>
      <c r="Q524">
        <v>0</v>
      </c>
      <c r="R524">
        <v>20</v>
      </c>
      <c r="S524">
        <v>11.7</v>
      </c>
      <c r="T524" s="1" t="s">
        <v>707</v>
      </c>
      <c r="U524">
        <v>0</v>
      </c>
      <c r="V524">
        <v>0</v>
      </c>
      <c r="W524">
        <v>0.1</v>
      </c>
      <c r="X524">
        <v>0.158</v>
      </c>
      <c r="Y524" s="1" t="s">
        <v>707</v>
      </c>
      <c r="Z524">
        <v>-8.6</v>
      </c>
      <c r="AA524">
        <v>10</v>
      </c>
      <c r="AB524">
        <v>1.4</v>
      </c>
      <c r="AC524">
        <v>0</v>
      </c>
    </row>
    <row r="525" spans="1:29" x14ac:dyDescent="0.35">
      <c r="A525">
        <v>524</v>
      </c>
      <c r="B525" s="1" t="s">
        <v>594</v>
      </c>
      <c r="C525" s="1" t="s">
        <v>48</v>
      </c>
      <c r="D525">
        <v>28</v>
      </c>
      <c r="E525" s="1" t="s">
        <v>108</v>
      </c>
      <c r="F525">
        <v>32</v>
      </c>
      <c r="G525">
        <v>566</v>
      </c>
      <c r="H525">
        <v>5.9</v>
      </c>
      <c r="I525">
        <v>0.45600000000000002</v>
      </c>
      <c r="J525">
        <v>0.47399999999999998</v>
      </c>
      <c r="K525">
        <v>8.8999999999999996E-2</v>
      </c>
      <c r="L525">
        <v>1.5</v>
      </c>
      <c r="M525">
        <v>7.4</v>
      </c>
      <c r="N525">
        <v>4.4000000000000004</v>
      </c>
      <c r="O525">
        <v>14.9</v>
      </c>
      <c r="P525">
        <v>1</v>
      </c>
      <c r="Q525">
        <v>0.6</v>
      </c>
      <c r="R525">
        <v>14.3</v>
      </c>
      <c r="S525">
        <v>17.399999999999999</v>
      </c>
      <c r="T525" s="1" t="s">
        <v>707</v>
      </c>
      <c r="U525">
        <v>-0.5</v>
      </c>
      <c r="V525">
        <v>0.1</v>
      </c>
      <c r="W525">
        <v>-0.5</v>
      </c>
      <c r="X525">
        <v>-0.04</v>
      </c>
      <c r="Y525" s="1" t="s">
        <v>707</v>
      </c>
      <c r="Z525">
        <v>-4.4000000000000004</v>
      </c>
      <c r="AA525">
        <v>-2.5</v>
      </c>
      <c r="AB525">
        <v>-6.9</v>
      </c>
      <c r="AC525">
        <v>-0.7</v>
      </c>
    </row>
    <row r="526" spans="1:29" x14ac:dyDescent="0.35">
      <c r="A526">
        <v>525</v>
      </c>
      <c r="B526" s="1" t="s">
        <v>595</v>
      </c>
      <c r="C526" s="1" t="s">
        <v>51</v>
      </c>
      <c r="D526">
        <v>26</v>
      </c>
      <c r="E526" s="1" t="s">
        <v>170</v>
      </c>
      <c r="F526">
        <v>78</v>
      </c>
      <c r="G526">
        <v>2056</v>
      </c>
      <c r="H526">
        <v>14.3</v>
      </c>
      <c r="I526">
        <v>0.56699999999999995</v>
      </c>
      <c r="J526">
        <v>0.27700000000000002</v>
      </c>
      <c r="K526">
        <v>0.252</v>
      </c>
      <c r="L526">
        <v>7.2</v>
      </c>
      <c r="M526">
        <v>15.3</v>
      </c>
      <c r="N526">
        <v>11.2</v>
      </c>
      <c r="O526">
        <v>16.899999999999999</v>
      </c>
      <c r="P526">
        <v>1.7</v>
      </c>
      <c r="Q526">
        <v>1.8</v>
      </c>
      <c r="R526">
        <v>14.6</v>
      </c>
      <c r="S526">
        <v>19.600000000000001</v>
      </c>
      <c r="T526" s="1" t="s">
        <v>707</v>
      </c>
      <c r="U526">
        <v>1.9</v>
      </c>
      <c r="V526">
        <v>1.1000000000000001</v>
      </c>
      <c r="W526">
        <v>3</v>
      </c>
      <c r="X526">
        <v>7.0999999999999994E-2</v>
      </c>
      <c r="Y526" s="1" t="s">
        <v>707</v>
      </c>
      <c r="Z526">
        <v>-1.3</v>
      </c>
      <c r="AA526">
        <v>-0.5</v>
      </c>
      <c r="AB526">
        <v>-1.8</v>
      </c>
      <c r="AC526">
        <v>0.1</v>
      </c>
    </row>
    <row r="527" spans="1:29" x14ac:dyDescent="0.35">
      <c r="A527">
        <v>526</v>
      </c>
      <c r="B527" s="1" t="s">
        <v>596</v>
      </c>
      <c r="C527" s="1" t="s">
        <v>51</v>
      </c>
      <c r="D527">
        <v>23</v>
      </c>
      <c r="E527" s="1" t="s">
        <v>140</v>
      </c>
      <c r="F527">
        <v>76</v>
      </c>
      <c r="G527">
        <v>2731</v>
      </c>
      <c r="H527">
        <v>21.8</v>
      </c>
      <c r="I527">
        <v>0.57799999999999996</v>
      </c>
      <c r="J527">
        <v>0.41599999999999998</v>
      </c>
      <c r="K527">
        <v>0.3</v>
      </c>
      <c r="L527">
        <v>3.5</v>
      </c>
      <c r="M527">
        <v>20.2</v>
      </c>
      <c r="N527">
        <v>12.1</v>
      </c>
      <c r="O527">
        <v>21.1</v>
      </c>
      <c r="P527">
        <v>1.4</v>
      </c>
      <c r="Q527">
        <v>1.6</v>
      </c>
      <c r="R527">
        <v>10.9</v>
      </c>
      <c r="S527">
        <v>32.1</v>
      </c>
      <c r="T527" s="1" t="s">
        <v>707</v>
      </c>
      <c r="U527">
        <v>5</v>
      </c>
      <c r="V527">
        <v>4.5999999999999996</v>
      </c>
      <c r="W527">
        <v>9.6</v>
      </c>
      <c r="X527">
        <v>0.16900000000000001</v>
      </c>
      <c r="Y527" s="1" t="s">
        <v>707</v>
      </c>
      <c r="Z527">
        <v>4.3</v>
      </c>
      <c r="AA527">
        <v>0.6</v>
      </c>
      <c r="AB527">
        <v>4.9000000000000004</v>
      </c>
      <c r="AC527">
        <v>4.8</v>
      </c>
    </row>
    <row r="528" spans="1:29" x14ac:dyDescent="0.35">
      <c r="A528">
        <v>527</v>
      </c>
      <c r="B528" s="1" t="s">
        <v>597</v>
      </c>
      <c r="C528" s="1" t="s">
        <v>41</v>
      </c>
      <c r="D528">
        <v>22</v>
      </c>
      <c r="E528" s="1" t="s">
        <v>108</v>
      </c>
      <c r="F528">
        <v>33</v>
      </c>
      <c r="G528">
        <v>714</v>
      </c>
      <c r="H528">
        <v>19</v>
      </c>
      <c r="I528">
        <v>0.65600000000000003</v>
      </c>
      <c r="J528">
        <v>0.17299999999999999</v>
      </c>
      <c r="K528">
        <v>0.23200000000000001</v>
      </c>
      <c r="L528">
        <v>14.6</v>
      </c>
      <c r="M528">
        <v>12.2</v>
      </c>
      <c r="N528">
        <v>13.4</v>
      </c>
      <c r="O528">
        <v>8.6</v>
      </c>
      <c r="P528">
        <v>1</v>
      </c>
      <c r="Q528">
        <v>1</v>
      </c>
      <c r="R528">
        <v>8.6999999999999993</v>
      </c>
      <c r="S528">
        <v>15.9</v>
      </c>
      <c r="T528" s="1" t="s">
        <v>707</v>
      </c>
      <c r="U528">
        <v>2.2000000000000002</v>
      </c>
      <c r="V528">
        <v>0.2</v>
      </c>
      <c r="W528">
        <v>2.4</v>
      </c>
      <c r="X528">
        <v>0.16</v>
      </c>
      <c r="Y528" s="1" t="s">
        <v>707</v>
      </c>
      <c r="Z528">
        <v>2.2000000000000002</v>
      </c>
      <c r="AA528">
        <v>-2.7</v>
      </c>
      <c r="AB528">
        <v>-0.6</v>
      </c>
      <c r="AC528">
        <v>0.3</v>
      </c>
    </row>
    <row r="529" spans="1:29" x14ac:dyDescent="0.35">
      <c r="A529">
        <v>528</v>
      </c>
      <c r="B529" s="1" t="s">
        <v>598</v>
      </c>
      <c r="C529" s="1" t="s">
        <v>41</v>
      </c>
      <c r="D529">
        <v>35</v>
      </c>
      <c r="E529" s="1" t="s">
        <v>49</v>
      </c>
      <c r="F529">
        <v>59</v>
      </c>
      <c r="G529">
        <v>1098</v>
      </c>
      <c r="H529">
        <v>8.6</v>
      </c>
      <c r="I529">
        <v>0.49399999999999999</v>
      </c>
      <c r="J529">
        <v>0.627</v>
      </c>
      <c r="K529">
        <v>0.13900000000000001</v>
      </c>
      <c r="L529">
        <v>2.9</v>
      </c>
      <c r="M529">
        <v>11.8</v>
      </c>
      <c r="N529">
        <v>7.2</v>
      </c>
      <c r="O529">
        <v>9.1999999999999993</v>
      </c>
      <c r="P529">
        <v>1.9</v>
      </c>
      <c r="Q529">
        <v>2</v>
      </c>
      <c r="R529">
        <v>11.8</v>
      </c>
      <c r="S529">
        <v>13.9</v>
      </c>
      <c r="T529" s="1" t="s">
        <v>707</v>
      </c>
      <c r="U529">
        <v>-0.1</v>
      </c>
      <c r="V529">
        <v>1</v>
      </c>
      <c r="W529">
        <v>0.8</v>
      </c>
      <c r="X529">
        <v>3.6999999999999998E-2</v>
      </c>
      <c r="Y529" s="1" t="s">
        <v>707</v>
      </c>
      <c r="Z529">
        <v>-2.8</v>
      </c>
      <c r="AA529">
        <v>0.3</v>
      </c>
      <c r="AB529">
        <v>-2.5</v>
      </c>
      <c r="AC529">
        <v>-0.1</v>
      </c>
    </row>
    <row r="530" spans="1:29" x14ac:dyDescent="0.35">
      <c r="A530">
        <v>529</v>
      </c>
      <c r="B530" s="1" t="s">
        <v>599</v>
      </c>
      <c r="C530" s="1" t="s">
        <v>28</v>
      </c>
      <c r="D530">
        <v>25</v>
      </c>
      <c r="E530" s="1" t="s">
        <v>68</v>
      </c>
      <c r="F530">
        <v>3</v>
      </c>
      <c r="G530">
        <v>18</v>
      </c>
      <c r="H530">
        <v>-0.1</v>
      </c>
      <c r="I530">
        <v>0</v>
      </c>
      <c r="J530">
        <v>0</v>
      </c>
      <c r="K530">
        <v>0</v>
      </c>
      <c r="L530">
        <v>48.9</v>
      </c>
      <c r="M530">
        <v>40.6</v>
      </c>
      <c r="N530">
        <v>44.7</v>
      </c>
      <c r="O530">
        <v>12.2</v>
      </c>
      <c r="P530">
        <v>2.7</v>
      </c>
      <c r="Q530">
        <v>0</v>
      </c>
      <c r="R530">
        <v>50</v>
      </c>
      <c r="S530">
        <v>23.9</v>
      </c>
      <c r="T530" s="1" t="s">
        <v>707</v>
      </c>
      <c r="U530">
        <v>-0.1</v>
      </c>
      <c r="V530">
        <v>0</v>
      </c>
      <c r="W530">
        <v>-0.1</v>
      </c>
      <c r="X530">
        <v>-0.25600000000000001</v>
      </c>
      <c r="Y530" s="1" t="s">
        <v>707</v>
      </c>
      <c r="Z530">
        <v>-13</v>
      </c>
      <c r="AA530">
        <v>-5.3</v>
      </c>
      <c r="AB530">
        <v>-18.3</v>
      </c>
      <c r="AC530">
        <v>-0.1</v>
      </c>
    </row>
    <row r="531" spans="1:29" x14ac:dyDescent="0.35">
      <c r="A531">
        <v>530</v>
      </c>
      <c r="B531" s="1" t="s">
        <v>600</v>
      </c>
      <c r="C531" s="1" t="s">
        <v>48</v>
      </c>
      <c r="D531">
        <v>21</v>
      </c>
      <c r="E531" s="1" t="s">
        <v>34</v>
      </c>
      <c r="F531">
        <v>2</v>
      </c>
      <c r="G531">
        <v>3</v>
      </c>
      <c r="H531">
        <v>20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13.7</v>
      </c>
      <c r="T531" s="1" t="s">
        <v>707</v>
      </c>
      <c r="U531">
        <v>0</v>
      </c>
      <c r="V531">
        <v>0</v>
      </c>
      <c r="W531">
        <v>0</v>
      </c>
      <c r="X531">
        <v>0.222</v>
      </c>
      <c r="Y531" s="1" t="s">
        <v>707</v>
      </c>
      <c r="Z531">
        <v>-3.4</v>
      </c>
      <c r="AA531">
        <v>2.5</v>
      </c>
      <c r="AB531">
        <v>-0.9</v>
      </c>
      <c r="AC531">
        <v>0</v>
      </c>
    </row>
    <row r="532" spans="1:29" x14ac:dyDescent="0.35">
      <c r="A532">
        <v>531</v>
      </c>
      <c r="B532" s="1" t="s">
        <v>601</v>
      </c>
      <c r="C532" s="1" t="s">
        <v>31</v>
      </c>
      <c r="D532">
        <v>24</v>
      </c>
      <c r="E532" s="1" t="s">
        <v>34</v>
      </c>
      <c r="F532">
        <v>3</v>
      </c>
      <c r="G532">
        <v>8</v>
      </c>
      <c r="H532">
        <v>1.5</v>
      </c>
      <c r="I532">
        <v>0</v>
      </c>
      <c r="J532">
        <v>0</v>
      </c>
      <c r="K532">
        <v>2</v>
      </c>
      <c r="L532">
        <v>0</v>
      </c>
      <c r="M532">
        <v>26.8</v>
      </c>
      <c r="N532">
        <v>13.1</v>
      </c>
      <c r="O532">
        <v>13.8</v>
      </c>
      <c r="P532">
        <v>6</v>
      </c>
      <c r="Q532">
        <v>0</v>
      </c>
      <c r="R532">
        <v>0</v>
      </c>
      <c r="S532">
        <v>9.6</v>
      </c>
      <c r="T532" s="1" t="s">
        <v>707</v>
      </c>
      <c r="U532">
        <v>0</v>
      </c>
      <c r="V532">
        <v>0</v>
      </c>
      <c r="W532">
        <v>0</v>
      </c>
      <c r="X532">
        <v>-0.08</v>
      </c>
      <c r="Y532" s="1" t="s">
        <v>707</v>
      </c>
      <c r="Z532">
        <v>-8.5</v>
      </c>
      <c r="AA532">
        <v>3.7</v>
      </c>
      <c r="AB532">
        <v>-4.8</v>
      </c>
      <c r="AC532">
        <v>0</v>
      </c>
    </row>
    <row r="533" spans="1:29" x14ac:dyDescent="0.35">
      <c r="A533">
        <v>532</v>
      </c>
      <c r="B533" s="1" t="s">
        <v>602</v>
      </c>
      <c r="C533" s="1" t="s">
        <v>31</v>
      </c>
      <c r="D533">
        <v>29</v>
      </c>
      <c r="E533" s="1" t="s">
        <v>42</v>
      </c>
      <c r="F533">
        <v>47</v>
      </c>
      <c r="G533">
        <v>977</v>
      </c>
      <c r="H533">
        <v>13.2</v>
      </c>
      <c r="I533">
        <v>0.59499999999999997</v>
      </c>
      <c r="J533">
        <v>0.36799999999999999</v>
      </c>
      <c r="K533">
        <v>0.247</v>
      </c>
      <c r="L533">
        <v>6.6</v>
      </c>
      <c r="M533">
        <v>18.8</v>
      </c>
      <c r="N533">
        <v>12.7</v>
      </c>
      <c r="O533">
        <v>6.3</v>
      </c>
      <c r="P533">
        <v>1</v>
      </c>
      <c r="Q533">
        <v>2.9</v>
      </c>
      <c r="R533">
        <v>12.5</v>
      </c>
      <c r="S533">
        <v>16.2</v>
      </c>
      <c r="T533" s="1" t="s">
        <v>707</v>
      </c>
      <c r="U533">
        <v>0.9</v>
      </c>
      <c r="V533">
        <v>1</v>
      </c>
      <c r="W533">
        <v>1.9</v>
      </c>
      <c r="X533">
        <v>9.2999999999999999E-2</v>
      </c>
      <c r="Y533" s="1" t="s">
        <v>707</v>
      </c>
      <c r="Z533">
        <v>-1.9</v>
      </c>
      <c r="AA533">
        <v>-0.2</v>
      </c>
      <c r="AB533">
        <v>-2.1</v>
      </c>
      <c r="AC533">
        <v>0</v>
      </c>
    </row>
    <row r="534" spans="1:29" x14ac:dyDescent="0.35">
      <c r="A534">
        <v>533</v>
      </c>
      <c r="B534" s="1" t="s">
        <v>603</v>
      </c>
      <c r="C534" s="1" t="s">
        <v>41</v>
      </c>
      <c r="D534">
        <v>25</v>
      </c>
      <c r="E534" s="1" t="s">
        <v>140</v>
      </c>
      <c r="F534">
        <v>12</v>
      </c>
      <c r="G534">
        <v>60</v>
      </c>
      <c r="H534">
        <v>10</v>
      </c>
      <c r="I534">
        <v>0.52</v>
      </c>
      <c r="J534">
        <v>0.5</v>
      </c>
      <c r="K534">
        <v>0.27800000000000002</v>
      </c>
      <c r="L534">
        <v>3.7</v>
      </c>
      <c r="M534">
        <v>14.1</v>
      </c>
      <c r="N534">
        <v>9</v>
      </c>
      <c r="O534">
        <v>26</v>
      </c>
      <c r="P534">
        <v>0.8</v>
      </c>
      <c r="Q534">
        <v>1.5</v>
      </c>
      <c r="R534">
        <v>22.9</v>
      </c>
      <c r="S534">
        <v>19.2</v>
      </c>
      <c r="T534" s="1" t="s">
        <v>707</v>
      </c>
      <c r="U534">
        <v>0</v>
      </c>
      <c r="V534">
        <v>0.1</v>
      </c>
      <c r="W534">
        <v>0.1</v>
      </c>
      <c r="X534">
        <v>5.1999999999999998E-2</v>
      </c>
      <c r="Y534" s="1" t="s">
        <v>707</v>
      </c>
      <c r="Z534">
        <v>-3.6</v>
      </c>
      <c r="AA534">
        <v>0.8</v>
      </c>
      <c r="AB534">
        <v>-2.8</v>
      </c>
      <c r="AC534">
        <v>0</v>
      </c>
    </row>
    <row r="535" spans="1:29" x14ac:dyDescent="0.35">
      <c r="A535">
        <v>534</v>
      </c>
      <c r="B535" s="1" t="s">
        <v>604</v>
      </c>
      <c r="C535" s="1" t="s">
        <v>41</v>
      </c>
      <c r="D535">
        <v>20</v>
      </c>
      <c r="E535" s="1" t="s">
        <v>39</v>
      </c>
      <c r="F535">
        <v>67</v>
      </c>
      <c r="G535">
        <v>1176</v>
      </c>
      <c r="H535">
        <v>11.7</v>
      </c>
      <c r="I535">
        <v>0.51900000000000002</v>
      </c>
      <c r="J535">
        <v>0.34599999999999997</v>
      </c>
      <c r="K535">
        <v>0.20899999999999999</v>
      </c>
      <c r="L535">
        <v>1.5</v>
      </c>
      <c r="M535">
        <v>13.1</v>
      </c>
      <c r="N535">
        <v>7.5</v>
      </c>
      <c r="O535">
        <v>9.6999999999999993</v>
      </c>
      <c r="P535">
        <v>1.4</v>
      </c>
      <c r="Q535">
        <v>0.6</v>
      </c>
      <c r="R535">
        <v>9.1</v>
      </c>
      <c r="S535">
        <v>22.1</v>
      </c>
      <c r="T535" s="1" t="s">
        <v>707</v>
      </c>
      <c r="U535">
        <v>0</v>
      </c>
      <c r="V535">
        <v>0.8</v>
      </c>
      <c r="W535">
        <v>0.8</v>
      </c>
      <c r="X535">
        <v>3.3000000000000002E-2</v>
      </c>
      <c r="Y535" s="1" t="s">
        <v>707</v>
      </c>
      <c r="Z535">
        <v>-1.9</v>
      </c>
      <c r="AA535">
        <v>-1.4</v>
      </c>
      <c r="AB535">
        <v>-3.4</v>
      </c>
      <c r="AC535">
        <v>-0.4</v>
      </c>
    </row>
    <row r="536" spans="1:29" x14ac:dyDescent="0.35">
      <c r="A536">
        <v>535</v>
      </c>
      <c r="B536" s="1" t="s">
        <v>605</v>
      </c>
      <c r="C536" s="1" t="s">
        <v>48</v>
      </c>
      <c r="D536">
        <v>32</v>
      </c>
      <c r="E536" s="1" t="s">
        <v>42</v>
      </c>
      <c r="F536">
        <v>22</v>
      </c>
      <c r="G536">
        <v>333</v>
      </c>
      <c r="H536">
        <v>12</v>
      </c>
      <c r="I536">
        <v>0.51600000000000001</v>
      </c>
      <c r="J536">
        <v>0.497</v>
      </c>
      <c r="K536">
        <v>0.156</v>
      </c>
      <c r="L536">
        <v>1.3</v>
      </c>
      <c r="M536">
        <v>8.1</v>
      </c>
      <c r="N536">
        <v>4.5999999999999996</v>
      </c>
      <c r="O536">
        <v>15.7</v>
      </c>
      <c r="P536">
        <v>1</v>
      </c>
      <c r="Q536">
        <v>1.4</v>
      </c>
      <c r="R536">
        <v>7.8</v>
      </c>
      <c r="S536">
        <v>24.8</v>
      </c>
      <c r="T536" s="1" t="s">
        <v>707</v>
      </c>
      <c r="U536">
        <v>0</v>
      </c>
      <c r="V536">
        <v>0.1</v>
      </c>
      <c r="W536">
        <v>0.2</v>
      </c>
      <c r="X536">
        <v>2.5999999999999999E-2</v>
      </c>
      <c r="Y536" s="1" t="s">
        <v>707</v>
      </c>
      <c r="Z536">
        <v>-1.9</v>
      </c>
      <c r="AA536">
        <v>-2.6</v>
      </c>
      <c r="AB536">
        <v>-4.5</v>
      </c>
      <c r="AC536">
        <v>-0.2</v>
      </c>
    </row>
    <row r="537" spans="1:29" x14ac:dyDescent="0.35">
      <c r="A537">
        <v>536</v>
      </c>
      <c r="B537" s="1" t="s">
        <v>606</v>
      </c>
      <c r="C537" s="1" t="s">
        <v>41</v>
      </c>
      <c r="D537">
        <v>27</v>
      </c>
      <c r="E537" s="1" t="s">
        <v>75</v>
      </c>
      <c r="F537">
        <v>40</v>
      </c>
      <c r="G537">
        <v>459</v>
      </c>
      <c r="H537">
        <v>9.9</v>
      </c>
      <c r="I537">
        <v>0.56399999999999995</v>
      </c>
      <c r="J537">
        <v>0.67900000000000005</v>
      </c>
      <c r="K537">
        <v>0.14899999999999999</v>
      </c>
      <c r="L537">
        <v>0.7</v>
      </c>
      <c r="M537">
        <v>11.5</v>
      </c>
      <c r="N537">
        <v>6.1</v>
      </c>
      <c r="O537">
        <v>5.8</v>
      </c>
      <c r="P537">
        <v>0.9</v>
      </c>
      <c r="Q537">
        <v>0.6</v>
      </c>
      <c r="R537">
        <v>5.3</v>
      </c>
      <c r="S537">
        <v>14.5</v>
      </c>
      <c r="T537" s="1" t="s">
        <v>707</v>
      </c>
      <c r="U537">
        <v>0.3</v>
      </c>
      <c r="V537">
        <v>0.2</v>
      </c>
      <c r="W537">
        <v>0.6</v>
      </c>
      <c r="X537">
        <v>5.8000000000000003E-2</v>
      </c>
      <c r="Y537" s="1" t="s">
        <v>707</v>
      </c>
      <c r="Z537">
        <v>-1.2</v>
      </c>
      <c r="AA537">
        <v>-1.4</v>
      </c>
      <c r="AB537">
        <v>-2.6</v>
      </c>
      <c r="AC537">
        <v>-0.1</v>
      </c>
    </row>
    <row r="538" spans="1:29" x14ac:dyDescent="0.35">
      <c r="A538">
        <v>537</v>
      </c>
      <c r="B538" s="1" t="s">
        <v>607</v>
      </c>
      <c r="C538" s="1" t="s">
        <v>41</v>
      </c>
      <c r="D538">
        <v>31</v>
      </c>
      <c r="E538" s="1" t="s">
        <v>111</v>
      </c>
      <c r="F538">
        <v>32</v>
      </c>
      <c r="G538">
        <v>941</v>
      </c>
      <c r="H538">
        <v>16.7</v>
      </c>
      <c r="I538">
        <v>0.54700000000000004</v>
      </c>
      <c r="J538">
        <v>0.51700000000000002</v>
      </c>
      <c r="K538">
        <v>8.8999999999999996E-2</v>
      </c>
      <c r="L538">
        <v>1.8</v>
      </c>
      <c r="M538">
        <v>12.4</v>
      </c>
      <c r="N538">
        <v>7.3</v>
      </c>
      <c r="O538">
        <v>16.100000000000001</v>
      </c>
      <c r="P538">
        <v>0.8</v>
      </c>
      <c r="Q538">
        <v>1.7</v>
      </c>
      <c r="R538">
        <v>6.7</v>
      </c>
      <c r="S538">
        <v>29.6</v>
      </c>
      <c r="T538" s="1" t="s">
        <v>707</v>
      </c>
      <c r="U538">
        <v>0.6</v>
      </c>
      <c r="V538">
        <v>1.2</v>
      </c>
      <c r="W538">
        <v>1.8</v>
      </c>
      <c r="X538">
        <v>9.0999999999999998E-2</v>
      </c>
      <c r="Y538" s="1" t="s">
        <v>707</v>
      </c>
      <c r="Z538">
        <v>2.6</v>
      </c>
      <c r="AA538">
        <v>-1.6</v>
      </c>
      <c r="AB538">
        <v>1.1000000000000001</v>
      </c>
      <c r="AC538">
        <v>0.7</v>
      </c>
    </row>
    <row r="539" spans="1:29" x14ac:dyDescent="0.35">
      <c r="A539">
        <v>538</v>
      </c>
      <c r="B539" s="1" t="s">
        <v>608</v>
      </c>
      <c r="C539" s="1" t="s">
        <v>28</v>
      </c>
      <c r="D539">
        <v>30</v>
      </c>
      <c r="E539" s="1" t="s">
        <v>42</v>
      </c>
      <c r="F539">
        <v>57</v>
      </c>
      <c r="G539">
        <v>897</v>
      </c>
      <c r="H539">
        <v>14.9</v>
      </c>
      <c r="I539">
        <v>0.54100000000000004</v>
      </c>
      <c r="J539">
        <v>1.0999999999999999E-2</v>
      </c>
      <c r="K539">
        <v>0.434</v>
      </c>
      <c r="L539">
        <v>14.7</v>
      </c>
      <c r="M539">
        <v>20.8</v>
      </c>
      <c r="N539">
        <v>17.7</v>
      </c>
      <c r="O539">
        <v>5.5</v>
      </c>
      <c r="P539">
        <v>1.2</v>
      </c>
      <c r="Q539">
        <v>2</v>
      </c>
      <c r="R539">
        <v>12.4</v>
      </c>
      <c r="S539">
        <v>17.5</v>
      </c>
      <c r="T539" s="1" t="s">
        <v>707</v>
      </c>
      <c r="U539">
        <v>0.9</v>
      </c>
      <c r="V539">
        <v>0.8</v>
      </c>
      <c r="W539">
        <v>1.6</v>
      </c>
      <c r="X539">
        <v>8.6999999999999994E-2</v>
      </c>
      <c r="Y539" s="1" t="s">
        <v>707</v>
      </c>
      <c r="Z539">
        <v>-1.6</v>
      </c>
      <c r="AA539">
        <v>-1.5</v>
      </c>
      <c r="AB539">
        <v>-3.1</v>
      </c>
      <c r="AC539">
        <v>-0.3</v>
      </c>
    </row>
    <row r="540" spans="1:29" x14ac:dyDescent="0.35">
      <c r="A540">
        <v>539</v>
      </c>
      <c r="B540" s="1" t="s">
        <v>609</v>
      </c>
      <c r="C540" s="1" t="s">
        <v>28</v>
      </c>
      <c r="D540">
        <v>19</v>
      </c>
      <c r="E540" s="1" t="s">
        <v>73</v>
      </c>
      <c r="F540">
        <v>33</v>
      </c>
      <c r="G540">
        <v>262</v>
      </c>
      <c r="H540">
        <v>9.6999999999999993</v>
      </c>
      <c r="I540">
        <v>0.52500000000000002</v>
      </c>
      <c r="J540">
        <v>0.49099999999999999</v>
      </c>
      <c r="K540">
        <v>0.36399999999999999</v>
      </c>
      <c r="L540">
        <v>4.4000000000000004</v>
      </c>
      <c r="M540">
        <v>13.1</v>
      </c>
      <c r="N540">
        <v>8.6999999999999993</v>
      </c>
      <c r="O540">
        <v>9.1999999999999993</v>
      </c>
      <c r="P540">
        <v>1.5</v>
      </c>
      <c r="Q540">
        <v>4</v>
      </c>
      <c r="R540">
        <v>13.6</v>
      </c>
      <c r="S540">
        <v>12</v>
      </c>
      <c r="T540" s="1" t="s">
        <v>707</v>
      </c>
      <c r="U540">
        <v>0.1</v>
      </c>
      <c r="V540">
        <v>0.2</v>
      </c>
      <c r="W540">
        <v>0.3</v>
      </c>
      <c r="X540">
        <v>5.8000000000000003E-2</v>
      </c>
      <c r="Y540" s="1" t="s">
        <v>707</v>
      </c>
      <c r="Z540">
        <v>-3.1</v>
      </c>
      <c r="AA540">
        <v>0.1</v>
      </c>
      <c r="AB540">
        <v>-3</v>
      </c>
      <c r="AC540">
        <v>-0.1</v>
      </c>
    </row>
    <row r="541" spans="1:29" x14ac:dyDescent="0.35">
      <c r="A541">
        <v>540</v>
      </c>
      <c r="B541" s="1" t="s">
        <v>610</v>
      </c>
      <c r="C541" s="1" t="s">
        <v>41</v>
      </c>
      <c r="D541">
        <v>24</v>
      </c>
      <c r="E541" s="1" t="s">
        <v>89</v>
      </c>
      <c r="F541">
        <v>66</v>
      </c>
      <c r="G541">
        <v>1685</v>
      </c>
      <c r="H541">
        <v>11.2</v>
      </c>
      <c r="I541">
        <v>0.59399999999999997</v>
      </c>
      <c r="J541">
        <v>0.48</v>
      </c>
      <c r="K541">
        <v>0.14299999999999999</v>
      </c>
      <c r="L541">
        <v>2.8</v>
      </c>
      <c r="M541">
        <v>7.1</v>
      </c>
      <c r="N541">
        <v>5</v>
      </c>
      <c r="O541">
        <v>6.1</v>
      </c>
      <c r="P541">
        <v>3.4</v>
      </c>
      <c r="Q541">
        <v>3.8</v>
      </c>
      <c r="R541">
        <v>10.9</v>
      </c>
      <c r="S541">
        <v>9.5</v>
      </c>
      <c r="T541" s="1" t="s">
        <v>707</v>
      </c>
      <c r="U541">
        <v>1.2</v>
      </c>
      <c r="V541">
        <v>2.5</v>
      </c>
      <c r="W541">
        <v>3.7</v>
      </c>
      <c r="X541">
        <v>0.107</v>
      </c>
      <c r="Y541" s="1" t="s">
        <v>707</v>
      </c>
      <c r="Z541">
        <v>-2.2000000000000002</v>
      </c>
      <c r="AA541">
        <v>3.3</v>
      </c>
      <c r="AB541">
        <v>1.1000000000000001</v>
      </c>
      <c r="AC541">
        <v>1.3</v>
      </c>
    </row>
    <row r="542" spans="1:29" x14ac:dyDescent="0.35">
      <c r="A542">
        <v>541</v>
      </c>
      <c r="B542" s="1" t="s">
        <v>611</v>
      </c>
      <c r="C542" s="1" t="s">
        <v>31</v>
      </c>
      <c r="D542">
        <v>23</v>
      </c>
      <c r="E542" s="1" t="s">
        <v>34</v>
      </c>
      <c r="F542">
        <v>36</v>
      </c>
      <c r="G542">
        <v>461</v>
      </c>
      <c r="H542">
        <v>7.6</v>
      </c>
      <c r="I542">
        <v>0.45200000000000001</v>
      </c>
      <c r="J542">
        <v>0.67700000000000005</v>
      </c>
      <c r="K542">
        <v>6.3E-2</v>
      </c>
      <c r="L542">
        <v>4.7</v>
      </c>
      <c r="M542">
        <v>9.1</v>
      </c>
      <c r="N542">
        <v>6.8</v>
      </c>
      <c r="O542">
        <v>5.9</v>
      </c>
      <c r="P542">
        <v>2.4</v>
      </c>
      <c r="Q542">
        <v>2.9</v>
      </c>
      <c r="R542">
        <v>9.1</v>
      </c>
      <c r="S542">
        <v>12.8</v>
      </c>
      <c r="T542" s="1" t="s">
        <v>707</v>
      </c>
      <c r="U542">
        <v>-0.1</v>
      </c>
      <c r="V542">
        <v>0.6</v>
      </c>
      <c r="W542">
        <v>0.6</v>
      </c>
      <c r="X542">
        <v>5.8000000000000003E-2</v>
      </c>
      <c r="Y542" s="1" t="s">
        <v>707</v>
      </c>
      <c r="Z542">
        <v>-3.8</v>
      </c>
      <c r="AA542">
        <v>1.1000000000000001</v>
      </c>
      <c r="AB542">
        <v>-2.7</v>
      </c>
      <c r="AC542">
        <v>-0.1</v>
      </c>
    </row>
    <row r="543" spans="1:29" x14ac:dyDescent="0.35">
      <c r="A543">
        <v>542</v>
      </c>
      <c r="B543" s="1" t="s">
        <v>612</v>
      </c>
      <c r="C543" s="1" t="s">
        <v>28</v>
      </c>
      <c r="D543">
        <v>23</v>
      </c>
      <c r="E543" s="1" t="s">
        <v>34</v>
      </c>
      <c r="F543">
        <v>53</v>
      </c>
      <c r="G543">
        <v>701</v>
      </c>
      <c r="H543">
        <v>15.1</v>
      </c>
      <c r="I543">
        <v>0.51</v>
      </c>
      <c r="J543">
        <v>0.22700000000000001</v>
      </c>
      <c r="K543">
        <v>0.32900000000000001</v>
      </c>
      <c r="L543">
        <v>9.6</v>
      </c>
      <c r="M543">
        <v>14.5</v>
      </c>
      <c r="N543">
        <v>12</v>
      </c>
      <c r="O543">
        <v>11.6</v>
      </c>
      <c r="P543">
        <v>3.3</v>
      </c>
      <c r="Q543">
        <v>1.9</v>
      </c>
      <c r="R543">
        <v>12.1</v>
      </c>
      <c r="S543">
        <v>16.399999999999999</v>
      </c>
      <c r="T543" s="1" t="s">
        <v>707</v>
      </c>
      <c r="U543">
        <v>0.6</v>
      </c>
      <c r="V543">
        <v>1.2</v>
      </c>
      <c r="W543">
        <v>1.8</v>
      </c>
      <c r="X543">
        <v>0.121</v>
      </c>
      <c r="Y543" s="1" t="s">
        <v>707</v>
      </c>
      <c r="Z543">
        <v>-1.1000000000000001</v>
      </c>
      <c r="AA543">
        <v>1.8</v>
      </c>
      <c r="AB543">
        <v>0.7</v>
      </c>
      <c r="AC543">
        <v>0.5</v>
      </c>
    </row>
    <row r="544" spans="1:29" x14ac:dyDescent="0.35">
      <c r="A544">
        <v>543</v>
      </c>
      <c r="B544" s="1" t="s">
        <v>613</v>
      </c>
      <c r="C544" s="1" t="s">
        <v>28</v>
      </c>
      <c r="D544">
        <v>20</v>
      </c>
      <c r="E544" s="1" t="s">
        <v>65</v>
      </c>
      <c r="F544">
        <v>12</v>
      </c>
      <c r="G544">
        <v>74</v>
      </c>
      <c r="H544">
        <v>4.7</v>
      </c>
      <c r="I544">
        <v>0.34899999999999998</v>
      </c>
      <c r="J544">
        <v>0.61499999999999999</v>
      </c>
      <c r="K544">
        <v>0.23100000000000001</v>
      </c>
      <c r="L544">
        <v>4.5999999999999996</v>
      </c>
      <c r="M544">
        <v>13.3</v>
      </c>
      <c r="N544">
        <v>9</v>
      </c>
      <c r="O544">
        <v>7.3</v>
      </c>
      <c r="P544">
        <v>2.7</v>
      </c>
      <c r="Q544">
        <v>2.2999999999999998</v>
      </c>
      <c r="R544">
        <v>12.3</v>
      </c>
      <c r="S544">
        <v>19.600000000000001</v>
      </c>
      <c r="T544" s="1" t="s">
        <v>707</v>
      </c>
      <c r="U544">
        <v>-0.2</v>
      </c>
      <c r="V544">
        <v>0.1</v>
      </c>
      <c r="W544">
        <v>-0.2</v>
      </c>
      <c r="X544">
        <v>-0.104</v>
      </c>
      <c r="Y544" s="1" t="s">
        <v>707</v>
      </c>
      <c r="Z544">
        <v>-5.7</v>
      </c>
      <c r="AA544">
        <v>-1.2</v>
      </c>
      <c r="AB544">
        <v>-6.9</v>
      </c>
      <c r="AC544">
        <v>-0.1</v>
      </c>
    </row>
    <row r="545" spans="1:29" x14ac:dyDescent="0.35">
      <c r="A545">
        <v>544</v>
      </c>
      <c r="B545" s="1" t="s">
        <v>614</v>
      </c>
      <c r="C545" s="1" t="s">
        <v>28</v>
      </c>
      <c r="D545">
        <v>23</v>
      </c>
      <c r="E545" s="1" t="s">
        <v>61</v>
      </c>
      <c r="F545">
        <v>72</v>
      </c>
      <c r="G545">
        <v>1230</v>
      </c>
      <c r="H545">
        <v>18.3</v>
      </c>
      <c r="I545">
        <v>0.61399999999999999</v>
      </c>
      <c r="J545">
        <v>0.35699999999999998</v>
      </c>
      <c r="K545">
        <v>0.26200000000000001</v>
      </c>
      <c r="L545">
        <v>5.9</v>
      </c>
      <c r="M545">
        <v>17.7</v>
      </c>
      <c r="N545">
        <v>11.7</v>
      </c>
      <c r="O545">
        <v>10.9</v>
      </c>
      <c r="P545">
        <v>1</v>
      </c>
      <c r="Q545">
        <v>2.6</v>
      </c>
      <c r="R545">
        <v>9.6</v>
      </c>
      <c r="S545">
        <v>20.8</v>
      </c>
      <c r="T545" s="1" t="s">
        <v>707</v>
      </c>
      <c r="U545">
        <v>2.5</v>
      </c>
      <c r="V545">
        <v>1.5</v>
      </c>
      <c r="W545">
        <v>3.9</v>
      </c>
      <c r="X545">
        <v>0.153</v>
      </c>
      <c r="Y545" s="1" t="s">
        <v>707</v>
      </c>
      <c r="Z545">
        <v>1.7</v>
      </c>
      <c r="AA545">
        <v>0.3</v>
      </c>
      <c r="AB545">
        <v>2</v>
      </c>
      <c r="AC545">
        <v>1.2</v>
      </c>
    </row>
    <row r="546" spans="1:29" x14ac:dyDescent="0.35">
      <c r="A546">
        <v>545</v>
      </c>
      <c r="B546" s="1" t="s">
        <v>615</v>
      </c>
      <c r="C546" s="1" t="s">
        <v>51</v>
      </c>
      <c r="D546">
        <v>28</v>
      </c>
      <c r="E546" s="1" t="s">
        <v>111</v>
      </c>
      <c r="F546">
        <v>73</v>
      </c>
      <c r="G546">
        <v>994</v>
      </c>
      <c r="H546">
        <v>11</v>
      </c>
      <c r="I546">
        <v>0.56100000000000005</v>
      </c>
      <c r="J546">
        <v>0.37</v>
      </c>
      <c r="K546">
        <v>0.29799999999999999</v>
      </c>
      <c r="L546">
        <v>3.2</v>
      </c>
      <c r="M546">
        <v>15.8</v>
      </c>
      <c r="N546">
        <v>9.6999999999999993</v>
      </c>
      <c r="O546">
        <v>17.600000000000001</v>
      </c>
      <c r="P546">
        <v>2.4</v>
      </c>
      <c r="Q546">
        <v>1.6</v>
      </c>
      <c r="R546">
        <v>20.399999999999999</v>
      </c>
      <c r="S546">
        <v>14.7</v>
      </c>
      <c r="T546" s="1" t="s">
        <v>707</v>
      </c>
      <c r="U546">
        <v>0.3</v>
      </c>
      <c r="V546">
        <v>1.8</v>
      </c>
      <c r="W546">
        <v>2</v>
      </c>
      <c r="X546">
        <v>9.8000000000000004E-2</v>
      </c>
      <c r="Y546" s="1" t="s">
        <v>707</v>
      </c>
      <c r="Z546">
        <v>-3.2</v>
      </c>
      <c r="AA546">
        <v>2.4</v>
      </c>
      <c r="AB546">
        <v>-0.8</v>
      </c>
      <c r="AC546">
        <v>0.3</v>
      </c>
    </row>
    <row r="547" spans="1:29" x14ac:dyDescent="0.35">
      <c r="A547">
        <v>546</v>
      </c>
      <c r="B547" s="1" t="s">
        <v>616</v>
      </c>
      <c r="C547" s="1" t="s">
        <v>31</v>
      </c>
      <c r="D547">
        <v>26</v>
      </c>
      <c r="E547" s="1" t="s">
        <v>99</v>
      </c>
      <c r="F547">
        <v>74</v>
      </c>
      <c r="G547">
        <v>2476</v>
      </c>
      <c r="H547">
        <v>24.1</v>
      </c>
      <c r="I547">
        <v>0.64</v>
      </c>
      <c r="J547">
        <v>0.30099999999999999</v>
      </c>
      <c r="K547">
        <v>0.38500000000000001</v>
      </c>
      <c r="L547">
        <v>8.1999999999999993</v>
      </c>
      <c r="M547">
        <v>23.6</v>
      </c>
      <c r="N547">
        <v>15.7</v>
      </c>
      <c r="O547">
        <v>18</v>
      </c>
      <c r="P547">
        <v>1.4</v>
      </c>
      <c r="Q547">
        <v>3.2</v>
      </c>
      <c r="R547">
        <v>13.7</v>
      </c>
      <c r="S547">
        <v>27.8</v>
      </c>
      <c r="T547" s="1" t="s">
        <v>707</v>
      </c>
      <c r="U547">
        <v>7.1</v>
      </c>
      <c r="V547">
        <v>3.2</v>
      </c>
      <c r="W547">
        <v>10.3</v>
      </c>
      <c r="X547">
        <v>0.19900000000000001</v>
      </c>
      <c r="Y547" s="1" t="s">
        <v>707</v>
      </c>
      <c r="Z547">
        <v>4.5</v>
      </c>
      <c r="AA547">
        <v>0.5</v>
      </c>
      <c r="AB547">
        <v>5</v>
      </c>
      <c r="AC547">
        <v>4.4000000000000004</v>
      </c>
    </row>
    <row r="548" spans="1:29" x14ac:dyDescent="0.35">
      <c r="A548">
        <v>547</v>
      </c>
      <c r="B548" s="1" t="s">
        <v>617</v>
      </c>
      <c r="C548" s="1" t="s">
        <v>41</v>
      </c>
      <c r="D548">
        <v>23</v>
      </c>
      <c r="E548" s="1" t="s">
        <v>32</v>
      </c>
      <c r="F548">
        <v>70</v>
      </c>
      <c r="G548">
        <v>2448</v>
      </c>
      <c r="H548">
        <v>14.7</v>
      </c>
      <c r="I548">
        <v>0.54600000000000004</v>
      </c>
      <c r="J548">
        <v>0.502</v>
      </c>
      <c r="K548">
        <v>0.188</v>
      </c>
      <c r="L548">
        <v>1.1000000000000001</v>
      </c>
      <c r="M548">
        <v>7.7</v>
      </c>
      <c r="N548">
        <v>4.2</v>
      </c>
      <c r="O548">
        <v>8.8000000000000007</v>
      </c>
      <c r="P548">
        <v>2.5</v>
      </c>
      <c r="Q548">
        <v>0.8</v>
      </c>
      <c r="R548">
        <v>5.8</v>
      </c>
      <c r="S548">
        <v>21.8</v>
      </c>
      <c r="T548" s="1" t="s">
        <v>707</v>
      </c>
      <c r="U548">
        <v>3.1</v>
      </c>
      <c r="V548">
        <v>2.5</v>
      </c>
      <c r="W548">
        <v>5.6</v>
      </c>
      <c r="X548">
        <v>0.11</v>
      </c>
      <c r="Y548" s="1" t="s">
        <v>707</v>
      </c>
      <c r="Z548">
        <v>-0.1</v>
      </c>
      <c r="AA548">
        <v>0.3</v>
      </c>
      <c r="AB548">
        <v>0.2</v>
      </c>
      <c r="AC548">
        <v>1.3</v>
      </c>
    </row>
    <row r="549" spans="1:29" x14ac:dyDescent="0.35">
      <c r="A549">
        <v>548</v>
      </c>
      <c r="B549" s="1" t="s">
        <v>618</v>
      </c>
      <c r="C549" s="1" t="s">
        <v>28</v>
      </c>
      <c r="D549">
        <v>36</v>
      </c>
      <c r="E549" s="1" t="s">
        <v>36</v>
      </c>
      <c r="F549">
        <v>71</v>
      </c>
      <c r="G549">
        <v>1981</v>
      </c>
      <c r="H549">
        <v>11.3</v>
      </c>
      <c r="I549">
        <v>0.59299999999999997</v>
      </c>
      <c r="J549">
        <v>0.45100000000000001</v>
      </c>
      <c r="K549">
        <v>0.14299999999999999</v>
      </c>
      <c r="L549">
        <v>5.8</v>
      </c>
      <c r="M549">
        <v>16.2</v>
      </c>
      <c r="N549">
        <v>11.1</v>
      </c>
      <c r="O549">
        <v>10.6</v>
      </c>
      <c r="P549">
        <v>1.5</v>
      </c>
      <c r="Q549">
        <v>0.8</v>
      </c>
      <c r="R549">
        <v>12.7</v>
      </c>
      <c r="S549">
        <v>11.7</v>
      </c>
      <c r="T549" s="1" t="s">
        <v>707</v>
      </c>
      <c r="U549">
        <v>2.4</v>
      </c>
      <c r="V549">
        <v>2.6</v>
      </c>
      <c r="W549">
        <v>5</v>
      </c>
      <c r="X549">
        <v>0.121</v>
      </c>
      <c r="Y549" s="1" t="s">
        <v>707</v>
      </c>
      <c r="Z549">
        <v>-0.8</v>
      </c>
      <c r="AA549">
        <v>1.4</v>
      </c>
      <c r="AB549">
        <v>0.6</v>
      </c>
      <c r="AC549">
        <v>1.3</v>
      </c>
    </row>
    <row r="550" spans="1:29" x14ac:dyDescent="0.35">
      <c r="A550">
        <v>549</v>
      </c>
      <c r="B550" s="1" t="s">
        <v>619</v>
      </c>
      <c r="C550" s="1" t="s">
        <v>41</v>
      </c>
      <c r="D550">
        <v>24</v>
      </c>
      <c r="E550" s="1" t="s">
        <v>42</v>
      </c>
      <c r="F550">
        <v>5</v>
      </c>
      <c r="G550">
        <v>71</v>
      </c>
      <c r="H550">
        <v>17.7</v>
      </c>
      <c r="I550">
        <v>0.86899999999999999</v>
      </c>
      <c r="J550">
        <v>0.55600000000000005</v>
      </c>
      <c r="K550">
        <v>0.77800000000000002</v>
      </c>
      <c r="L550">
        <v>4.7</v>
      </c>
      <c r="M550">
        <v>7.5</v>
      </c>
      <c r="N550">
        <v>6.1</v>
      </c>
      <c r="O550">
        <v>18.100000000000001</v>
      </c>
      <c r="P550">
        <v>2.7</v>
      </c>
      <c r="Q550">
        <v>0</v>
      </c>
      <c r="R550">
        <v>7.6</v>
      </c>
      <c r="S550">
        <v>7.9</v>
      </c>
      <c r="T550" s="1" t="s">
        <v>707</v>
      </c>
      <c r="U550">
        <v>0.3</v>
      </c>
      <c r="V550">
        <v>0.1</v>
      </c>
      <c r="W550">
        <v>0.4</v>
      </c>
      <c r="X550">
        <v>0.24299999999999999</v>
      </c>
      <c r="Y550" s="1" t="s">
        <v>707</v>
      </c>
      <c r="Z550">
        <v>2.2999999999999998</v>
      </c>
      <c r="AA550">
        <v>1.2</v>
      </c>
      <c r="AB550">
        <v>3.5</v>
      </c>
      <c r="AC550">
        <v>0.1</v>
      </c>
    </row>
    <row r="551" spans="1:29" x14ac:dyDescent="0.35">
      <c r="A551">
        <v>550</v>
      </c>
      <c r="B551" s="1" t="s">
        <v>620</v>
      </c>
      <c r="C551" s="1" t="s">
        <v>31</v>
      </c>
      <c r="D551">
        <v>25</v>
      </c>
      <c r="E551" s="1" t="s">
        <v>108</v>
      </c>
      <c r="F551">
        <v>42</v>
      </c>
      <c r="G551">
        <v>1235</v>
      </c>
      <c r="H551">
        <v>17.399999999999999</v>
      </c>
      <c r="I551">
        <v>0.61499999999999999</v>
      </c>
      <c r="J551">
        <v>0.46600000000000003</v>
      </c>
      <c r="K551">
        <v>0.26700000000000002</v>
      </c>
      <c r="L551">
        <v>5.8</v>
      </c>
      <c r="M551">
        <v>21.3</v>
      </c>
      <c r="N551">
        <v>13.4</v>
      </c>
      <c r="O551">
        <v>5.0999999999999996</v>
      </c>
      <c r="P551">
        <v>1.1000000000000001</v>
      </c>
      <c r="Q551">
        <v>8.3000000000000007</v>
      </c>
      <c r="R551">
        <v>10.9</v>
      </c>
      <c r="S551">
        <v>17.100000000000001</v>
      </c>
      <c r="T551" s="1" t="s">
        <v>707</v>
      </c>
      <c r="U551">
        <v>1.7</v>
      </c>
      <c r="V551">
        <v>1.4</v>
      </c>
      <c r="W551">
        <v>3.1</v>
      </c>
      <c r="X551">
        <v>0.12</v>
      </c>
      <c r="Y551" s="1" t="s">
        <v>707</v>
      </c>
      <c r="Z551">
        <v>0.1</v>
      </c>
      <c r="AA551">
        <v>1.4</v>
      </c>
      <c r="AB551">
        <v>1.4</v>
      </c>
      <c r="AC551">
        <v>1.1000000000000001</v>
      </c>
    </row>
    <row r="552" spans="1:29" x14ac:dyDescent="0.35">
      <c r="A552">
        <v>551</v>
      </c>
      <c r="B552" s="1" t="s">
        <v>621</v>
      </c>
      <c r="C552" s="1" t="s">
        <v>31</v>
      </c>
      <c r="D552">
        <v>29</v>
      </c>
      <c r="E552" s="1" t="s">
        <v>49</v>
      </c>
      <c r="F552">
        <v>74</v>
      </c>
      <c r="G552">
        <v>2240</v>
      </c>
      <c r="H552">
        <v>21.2</v>
      </c>
      <c r="I552">
        <v>0.61699999999999999</v>
      </c>
      <c r="J552">
        <v>0.16800000000000001</v>
      </c>
      <c r="K552">
        <v>0.308</v>
      </c>
      <c r="L552">
        <v>10.9</v>
      </c>
      <c r="M552">
        <v>31.2</v>
      </c>
      <c r="N552">
        <v>20.8</v>
      </c>
      <c r="O552">
        <v>14</v>
      </c>
      <c r="P552">
        <v>0.9</v>
      </c>
      <c r="Q552">
        <v>2.6</v>
      </c>
      <c r="R552">
        <v>14.4</v>
      </c>
      <c r="S552">
        <v>23.8</v>
      </c>
      <c r="T552" s="1" t="s">
        <v>707</v>
      </c>
      <c r="U552">
        <v>4.5999999999999996</v>
      </c>
      <c r="V552">
        <v>2.7</v>
      </c>
      <c r="W552">
        <v>7.3</v>
      </c>
      <c r="X552">
        <v>0.156</v>
      </c>
      <c r="Y552" s="1" t="s">
        <v>707</v>
      </c>
      <c r="Z552">
        <v>2</v>
      </c>
      <c r="AA552">
        <v>-0.1</v>
      </c>
      <c r="AB552">
        <v>1.9</v>
      </c>
      <c r="AC552">
        <v>2.2000000000000002</v>
      </c>
    </row>
    <row r="553" spans="1:29" x14ac:dyDescent="0.35">
      <c r="A553">
        <v>552</v>
      </c>
      <c r="B553" s="1" t="s">
        <v>622</v>
      </c>
      <c r="C553" s="1" t="s">
        <v>41</v>
      </c>
      <c r="D553">
        <v>28</v>
      </c>
      <c r="E553" s="1" t="s">
        <v>42</v>
      </c>
      <c r="F553">
        <v>24</v>
      </c>
      <c r="G553">
        <v>222</v>
      </c>
      <c r="H553">
        <v>8.1</v>
      </c>
      <c r="I553">
        <v>0.52300000000000002</v>
      </c>
      <c r="J553">
        <v>0.71199999999999997</v>
      </c>
      <c r="K553">
        <v>0</v>
      </c>
      <c r="L553">
        <v>4.5999999999999996</v>
      </c>
      <c r="M553">
        <v>16.100000000000001</v>
      </c>
      <c r="N553">
        <v>10.4</v>
      </c>
      <c r="O553">
        <v>7</v>
      </c>
      <c r="P553">
        <v>1.8</v>
      </c>
      <c r="Q553">
        <v>0</v>
      </c>
      <c r="R553">
        <v>15.4</v>
      </c>
      <c r="S553">
        <v>15.5</v>
      </c>
      <c r="T553" s="1" t="s">
        <v>707</v>
      </c>
      <c r="U553">
        <v>-0.1</v>
      </c>
      <c r="V553">
        <v>0.3</v>
      </c>
      <c r="W553">
        <v>0.2</v>
      </c>
      <c r="X553">
        <v>3.9E-2</v>
      </c>
      <c r="Y553" s="1" t="s">
        <v>707</v>
      </c>
      <c r="Z553">
        <v>-3.1</v>
      </c>
      <c r="AA553">
        <v>0.4</v>
      </c>
      <c r="AB553">
        <v>-2.7</v>
      </c>
      <c r="AC553">
        <v>0</v>
      </c>
    </row>
    <row r="554" spans="1:29" x14ac:dyDescent="0.35">
      <c r="A554">
        <v>553</v>
      </c>
      <c r="B554" s="1" t="s">
        <v>623</v>
      </c>
      <c r="C554" s="1" t="s">
        <v>28</v>
      </c>
      <c r="D554">
        <v>22</v>
      </c>
      <c r="E554" s="1" t="s">
        <v>99</v>
      </c>
      <c r="F554">
        <v>74</v>
      </c>
      <c r="G554">
        <v>1880</v>
      </c>
      <c r="H554">
        <v>15.3</v>
      </c>
      <c r="I554">
        <v>0.61199999999999999</v>
      </c>
      <c r="J554">
        <v>3.9E-2</v>
      </c>
      <c r="K554">
        <v>0.36299999999999999</v>
      </c>
      <c r="L554">
        <v>12</v>
      </c>
      <c r="M554">
        <v>23.9</v>
      </c>
      <c r="N554">
        <v>17.8</v>
      </c>
      <c r="O554">
        <v>6.7</v>
      </c>
      <c r="P554">
        <v>2.5</v>
      </c>
      <c r="Q554">
        <v>2.4</v>
      </c>
      <c r="R554">
        <v>14.8</v>
      </c>
      <c r="S554">
        <v>10.9</v>
      </c>
      <c r="T554" s="1" t="s">
        <v>707</v>
      </c>
      <c r="U554">
        <v>3.1</v>
      </c>
      <c r="V554">
        <v>2.9</v>
      </c>
      <c r="W554">
        <v>6</v>
      </c>
      <c r="X554">
        <v>0.153</v>
      </c>
      <c r="Y554" s="1" t="s">
        <v>707</v>
      </c>
      <c r="Z554">
        <v>-0.8</v>
      </c>
      <c r="AA554">
        <v>1</v>
      </c>
      <c r="AB554">
        <v>0.2</v>
      </c>
      <c r="AC554">
        <v>1.1000000000000001</v>
      </c>
    </row>
    <row r="555" spans="1:29" x14ac:dyDescent="0.35">
      <c r="A555">
        <v>554</v>
      </c>
      <c r="B555" s="1" t="s">
        <v>624</v>
      </c>
      <c r="C555" s="1" t="s">
        <v>48</v>
      </c>
      <c r="D555">
        <v>27</v>
      </c>
      <c r="E555" s="1" t="s">
        <v>32</v>
      </c>
      <c r="F555">
        <v>65</v>
      </c>
      <c r="G555">
        <v>2462</v>
      </c>
      <c r="H555">
        <v>17.3</v>
      </c>
      <c r="I555">
        <v>0.55200000000000005</v>
      </c>
      <c r="J555">
        <v>0.58499999999999996</v>
      </c>
      <c r="K555">
        <v>0.20200000000000001</v>
      </c>
      <c r="L555">
        <v>1.8</v>
      </c>
      <c r="M555">
        <v>11.4</v>
      </c>
      <c r="N555">
        <v>6.4</v>
      </c>
      <c r="O555">
        <v>26.7</v>
      </c>
      <c r="P555">
        <v>2.2999999999999998</v>
      </c>
      <c r="Q555">
        <v>1.4</v>
      </c>
      <c r="R555">
        <v>12.5</v>
      </c>
      <c r="S555">
        <v>23.7</v>
      </c>
      <c r="T555" s="1" t="s">
        <v>707</v>
      </c>
      <c r="U555">
        <v>3.9</v>
      </c>
      <c r="V555">
        <v>2.8</v>
      </c>
      <c r="W555">
        <v>6.7</v>
      </c>
      <c r="X555">
        <v>0.13100000000000001</v>
      </c>
      <c r="Y555" s="1" t="s">
        <v>707</v>
      </c>
      <c r="Z555">
        <v>3.1</v>
      </c>
      <c r="AA555">
        <v>0.5</v>
      </c>
      <c r="AB555">
        <v>3.6</v>
      </c>
      <c r="AC555">
        <v>3.5</v>
      </c>
    </row>
    <row r="556" spans="1:29" x14ac:dyDescent="0.35">
      <c r="A556">
        <v>555</v>
      </c>
      <c r="B556" s="1" t="s">
        <v>625</v>
      </c>
      <c r="C556" s="1" t="s">
        <v>51</v>
      </c>
      <c r="D556">
        <v>21</v>
      </c>
      <c r="E556" s="1" t="s">
        <v>91</v>
      </c>
      <c r="F556">
        <v>71</v>
      </c>
      <c r="G556">
        <v>1937</v>
      </c>
      <c r="H556">
        <v>13.3</v>
      </c>
      <c r="I556">
        <v>0.54</v>
      </c>
      <c r="J556">
        <v>0.497</v>
      </c>
      <c r="K556">
        <v>0.13</v>
      </c>
      <c r="L556">
        <v>2.4</v>
      </c>
      <c r="M556">
        <v>14.3</v>
      </c>
      <c r="N556">
        <v>8.3000000000000007</v>
      </c>
      <c r="O556">
        <v>9.6999999999999993</v>
      </c>
      <c r="P556">
        <v>1.9</v>
      </c>
      <c r="Q556">
        <v>1.8</v>
      </c>
      <c r="R556">
        <v>6.7</v>
      </c>
      <c r="S556">
        <v>18.899999999999999</v>
      </c>
      <c r="T556" s="1" t="s">
        <v>707</v>
      </c>
      <c r="U556">
        <v>1.3</v>
      </c>
      <c r="V556">
        <v>2</v>
      </c>
      <c r="W556">
        <v>3.3</v>
      </c>
      <c r="X556">
        <v>8.2000000000000003E-2</v>
      </c>
      <c r="Y556" s="1" t="s">
        <v>707</v>
      </c>
      <c r="Z556">
        <v>-0.5</v>
      </c>
      <c r="AA556">
        <v>0</v>
      </c>
      <c r="AB556">
        <v>-0.5</v>
      </c>
      <c r="AC556">
        <v>0.7</v>
      </c>
    </row>
    <row r="557" spans="1:29" x14ac:dyDescent="0.35">
      <c r="A557">
        <v>556</v>
      </c>
      <c r="B557" s="1" t="s">
        <v>626</v>
      </c>
      <c r="C557" s="1" t="s">
        <v>48</v>
      </c>
      <c r="D557">
        <v>25</v>
      </c>
      <c r="E557" s="1" t="s">
        <v>36</v>
      </c>
      <c r="F557">
        <v>68</v>
      </c>
      <c r="G557">
        <v>1589</v>
      </c>
      <c r="H557">
        <v>10.6</v>
      </c>
      <c r="I557">
        <v>0.55100000000000005</v>
      </c>
      <c r="J557">
        <v>0.63</v>
      </c>
      <c r="K557">
        <v>0.105</v>
      </c>
      <c r="L557">
        <v>1.6</v>
      </c>
      <c r="M557">
        <v>7.3</v>
      </c>
      <c r="N557">
        <v>4.5</v>
      </c>
      <c r="O557">
        <v>19.399999999999999</v>
      </c>
      <c r="P557">
        <v>2</v>
      </c>
      <c r="Q557">
        <v>0.8</v>
      </c>
      <c r="R557">
        <v>15.4</v>
      </c>
      <c r="S557">
        <v>17.8</v>
      </c>
      <c r="T557" s="1" t="s">
        <v>707</v>
      </c>
      <c r="U557">
        <v>0.7</v>
      </c>
      <c r="V557">
        <v>1.9</v>
      </c>
      <c r="W557">
        <v>2.5</v>
      </c>
      <c r="X557">
        <v>7.5999999999999998E-2</v>
      </c>
      <c r="Y557" s="1" t="s">
        <v>707</v>
      </c>
      <c r="Z557">
        <v>-1.9</v>
      </c>
      <c r="AA557">
        <v>0.5</v>
      </c>
      <c r="AB557">
        <v>-1.4</v>
      </c>
      <c r="AC557">
        <v>0.2</v>
      </c>
    </row>
    <row r="558" spans="1:29" x14ac:dyDescent="0.35">
      <c r="A558">
        <v>557</v>
      </c>
      <c r="B558" s="1" t="s">
        <v>627</v>
      </c>
      <c r="C558" s="1" t="s">
        <v>31</v>
      </c>
      <c r="D558">
        <v>31</v>
      </c>
      <c r="E558" s="1" t="s">
        <v>75</v>
      </c>
      <c r="F558">
        <v>73</v>
      </c>
      <c r="G558">
        <v>2418</v>
      </c>
      <c r="H558">
        <v>18.2</v>
      </c>
      <c r="I558">
        <v>0.53300000000000003</v>
      </c>
      <c r="J558">
        <v>0.28699999999999998</v>
      </c>
      <c r="K558">
        <v>0.105</v>
      </c>
      <c r="L558">
        <v>6.6</v>
      </c>
      <c r="M558">
        <v>30.7</v>
      </c>
      <c r="N558">
        <v>18.7</v>
      </c>
      <c r="O558">
        <v>15.2</v>
      </c>
      <c r="P558">
        <v>1.4</v>
      </c>
      <c r="Q558">
        <v>2.5</v>
      </c>
      <c r="R558">
        <v>10.1</v>
      </c>
      <c r="S558">
        <v>24.5</v>
      </c>
      <c r="T558" s="1" t="s">
        <v>707</v>
      </c>
      <c r="U558">
        <v>1.4</v>
      </c>
      <c r="V558">
        <v>3.2</v>
      </c>
      <c r="W558">
        <v>4.5</v>
      </c>
      <c r="X558">
        <v>0.09</v>
      </c>
      <c r="Y558" s="1" t="s">
        <v>707</v>
      </c>
      <c r="Z558">
        <v>0.8</v>
      </c>
      <c r="AA558">
        <v>0.1</v>
      </c>
      <c r="AB558">
        <v>0.9</v>
      </c>
      <c r="AC558">
        <v>1.8</v>
      </c>
    </row>
    <row r="559" spans="1:29" x14ac:dyDescent="0.35">
      <c r="A559">
        <v>558</v>
      </c>
      <c r="B559" s="1" t="s">
        <v>628</v>
      </c>
      <c r="C559" s="1" t="s">
        <v>28</v>
      </c>
      <c r="D559">
        <v>25</v>
      </c>
      <c r="E559" s="1" t="s">
        <v>46</v>
      </c>
      <c r="F559">
        <v>51</v>
      </c>
      <c r="G559">
        <v>980</v>
      </c>
      <c r="H559">
        <v>10.1</v>
      </c>
      <c r="I559">
        <v>0.58399999999999996</v>
      </c>
      <c r="J559">
        <v>0.65400000000000003</v>
      </c>
      <c r="K559">
        <v>0.13800000000000001</v>
      </c>
      <c r="L559">
        <v>3.6</v>
      </c>
      <c r="M559">
        <v>13.1</v>
      </c>
      <c r="N559">
        <v>8.5</v>
      </c>
      <c r="O559">
        <v>7.3</v>
      </c>
      <c r="P559">
        <v>1.5</v>
      </c>
      <c r="Q559">
        <v>0.6</v>
      </c>
      <c r="R559">
        <v>6.5</v>
      </c>
      <c r="S559">
        <v>11.1</v>
      </c>
      <c r="T559" s="1" t="s">
        <v>707</v>
      </c>
      <c r="U559">
        <v>1.1000000000000001</v>
      </c>
      <c r="V559">
        <v>1.1000000000000001</v>
      </c>
      <c r="W559">
        <v>2.2999999999999998</v>
      </c>
      <c r="X559">
        <v>0.111</v>
      </c>
      <c r="Y559" s="1" t="s">
        <v>707</v>
      </c>
      <c r="Z559">
        <v>-1.9</v>
      </c>
      <c r="AA559">
        <v>1.3</v>
      </c>
      <c r="AB559">
        <v>-0.6</v>
      </c>
      <c r="AC559">
        <v>0.4</v>
      </c>
    </row>
    <row r="560" spans="1:29" x14ac:dyDescent="0.35">
      <c r="A560">
        <v>559</v>
      </c>
      <c r="B560" s="1" t="s">
        <v>629</v>
      </c>
      <c r="C560" s="1" t="s">
        <v>51</v>
      </c>
      <c r="D560">
        <v>20</v>
      </c>
      <c r="E560" s="1" t="s">
        <v>58</v>
      </c>
      <c r="F560">
        <v>79</v>
      </c>
      <c r="G560">
        <v>2429</v>
      </c>
      <c r="H560">
        <v>14.7</v>
      </c>
      <c r="I560">
        <v>0.55900000000000005</v>
      </c>
      <c r="J560">
        <v>0.27800000000000002</v>
      </c>
      <c r="K560">
        <v>0.22500000000000001</v>
      </c>
      <c r="L560">
        <v>3.6</v>
      </c>
      <c r="M560">
        <v>11.9</v>
      </c>
      <c r="N560">
        <v>7.7</v>
      </c>
      <c r="O560">
        <v>15.7</v>
      </c>
      <c r="P560">
        <v>1.4</v>
      </c>
      <c r="Q560">
        <v>1.3</v>
      </c>
      <c r="R560">
        <v>10</v>
      </c>
      <c r="S560">
        <v>21.2</v>
      </c>
      <c r="T560" s="1" t="s">
        <v>707</v>
      </c>
      <c r="U560">
        <v>2.1</v>
      </c>
      <c r="V560">
        <v>1.9</v>
      </c>
      <c r="W560">
        <v>4</v>
      </c>
      <c r="X560">
        <v>7.9000000000000001E-2</v>
      </c>
      <c r="Y560" s="1" t="s">
        <v>707</v>
      </c>
      <c r="Z560">
        <v>-0.4</v>
      </c>
      <c r="AA560">
        <v>-0.3</v>
      </c>
      <c r="AB560">
        <v>-0.7</v>
      </c>
      <c r="AC560">
        <v>0.8</v>
      </c>
    </row>
    <row r="561" spans="1:29" x14ac:dyDescent="0.35">
      <c r="A561">
        <v>560</v>
      </c>
      <c r="B561" s="1" t="s">
        <v>630</v>
      </c>
      <c r="C561" s="1" t="s">
        <v>31</v>
      </c>
      <c r="D561">
        <v>24</v>
      </c>
      <c r="E561" s="1" t="s">
        <v>58</v>
      </c>
      <c r="F561">
        <v>63</v>
      </c>
      <c r="G561">
        <v>960</v>
      </c>
      <c r="H561">
        <v>18.100000000000001</v>
      </c>
      <c r="I561">
        <v>0.623</v>
      </c>
      <c r="J561">
        <v>0.50800000000000001</v>
      </c>
      <c r="K561">
        <v>0.32600000000000001</v>
      </c>
      <c r="L561">
        <v>4.5999999999999996</v>
      </c>
      <c r="M561">
        <v>21</v>
      </c>
      <c r="N561">
        <v>12.8</v>
      </c>
      <c r="O561">
        <v>15.4</v>
      </c>
      <c r="P561">
        <v>1</v>
      </c>
      <c r="Q561">
        <v>1.2</v>
      </c>
      <c r="R561">
        <v>11</v>
      </c>
      <c r="S561">
        <v>22.9</v>
      </c>
      <c r="T561" s="1" t="s">
        <v>707</v>
      </c>
      <c r="U561">
        <v>1.8</v>
      </c>
      <c r="V561">
        <v>1</v>
      </c>
      <c r="W561">
        <v>2.8</v>
      </c>
      <c r="X561">
        <v>0.13800000000000001</v>
      </c>
      <c r="Y561" s="1" t="s">
        <v>707</v>
      </c>
      <c r="Z561">
        <v>1.5</v>
      </c>
      <c r="AA561">
        <v>0.1</v>
      </c>
      <c r="AB561">
        <v>1.6</v>
      </c>
      <c r="AC561">
        <v>0.9</v>
      </c>
    </row>
    <row r="562" spans="1:29" x14ac:dyDescent="0.35">
      <c r="A562">
        <v>561</v>
      </c>
      <c r="B562" s="1" t="s">
        <v>631</v>
      </c>
      <c r="C562" s="1" t="s">
        <v>28</v>
      </c>
      <c r="D562">
        <v>27</v>
      </c>
      <c r="E562" s="1" t="s">
        <v>68</v>
      </c>
      <c r="F562">
        <v>45</v>
      </c>
      <c r="G562">
        <v>359</v>
      </c>
      <c r="H562">
        <v>9.4</v>
      </c>
      <c r="I562">
        <v>0.49399999999999999</v>
      </c>
      <c r="J562">
        <v>0.56699999999999995</v>
      </c>
      <c r="K562">
        <v>0.115</v>
      </c>
      <c r="L562">
        <v>8.3000000000000007</v>
      </c>
      <c r="M562">
        <v>7.9</v>
      </c>
      <c r="N562">
        <v>8.1</v>
      </c>
      <c r="O562">
        <v>5.3</v>
      </c>
      <c r="P562">
        <v>2.7</v>
      </c>
      <c r="Q562">
        <v>1.5</v>
      </c>
      <c r="R562">
        <v>10.6</v>
      </c>
      <c r="S562">
        <v>14.7</v>
      </c>
      <c r="T562" s="1" t="s">
        <v>707</v>
      </c>
      <c r="U562">
        <v>0</v>
      </c>
      <c r="V562">
        <v>0.6</v>
      </c>
      <c r="W562">
        <v>0.6</v>
      </c>
      <c r="X562">
        <v>7.9000000000000001E-2</v>
      </c>
      <c r="Y562" s="1" t="s">
        <v>707</v>
      </c>
      <c r="Z562">
        <v>-3</v>
      </c>
      <c r="AA562">
        <v>1</v>
      </c>
      <c r="AB562">
        <v>-2</v>
      </c>
      <c r="AC562">
        <v>0</v>
      </c>
    </row>
    <row r="563" spans="1:29" x14ac:dyDescent="0.35">
      <c r="A563">
        <v>562</v>
      </c>
      <c r="B563" s="1" t="s">
        <v>632</v>
      </c>
      <c r="C563" s="1" t="s">
        <v>48</v>
      </c>
      <c r="D563">
        <v>31</v>
      </c>
      <c r="E563" s="1" t="s">
        <v>61</v>
      </c>
      <c r="F563">
        <v>37</v>
      </c>
      <c r="G563">
        <v>948</v>
      </c>
      <c r="H563">
        <v>13.9</v>
      </c>
      <c r="I563">
        <v>0.53700000000000003</v>
      </c>
      <c r="J563">
        <v>0.53800000000000003</v>
      </c>
      <c r="K563">
        <v>0.192</v>
      </c>
      <c r="L563">
        <v>1.6</v>
      </c>
      <c r="M563">
        <v>11.2</v>
      </c>
      <c r="N563">
        <v>6.3</v>
      </c>
      <c r="O563">
        <v>22.2</v>
      </c>
      <c r="P563">
        <v>1.4</v>
      </c>
      <c r="Q563">
        <v>0.7</v>
      </c>
      <c r="R563">
        <v>10.7</v>
      </c>
      <c r="S563">
        <v>20.8</v>
      </c>
      <c r="T563" s="1" t="s">
        <v>707</v>
      </c>
      <c r="U563">
        <v>1</v>
      </c>
      <c r="V563">
        <v>0.9</v>
      </c>
      <c r="W563">
        <v>1.8</v>
      </c>
      <c r="X563">
        <v>9.2999999999999999E-2</v>
      </c>
      <c r="Y563" s="1" t="s">
        <v>707</v>
      </c>
      <c r="Z563">
        <v>0.7</v>
      </c>
      <c r="AA563">
        <v>-0.2</v>
      </c>
      <c r="AB563">
        <v>0.4</v>
      </c>
      <c r="AC563">
        <v>0.6</v>
      </c>
    </row>
    <row r="564" spans="1:29" x14ac:dyDescent="0.35">
      <c r="A564">
        <v>563</v>
      </c>
      <c r="B564" s="1" t="s">
        <v>633</v>
      </c>
      <c r="C564" s="1" t="s">
        <v>41</v>
      </c>
      <c r="D564">
        <v>23</v>
      </c>
      <c r="E564" s="1" t="s">
        <v>91</v>
      </c>
      <c r="F564">
        <v>70</v>
      </c>
      <c r="G564">
        <v>1612</v>
      </c>
      <c r="H564">
        <v>12.3</v>
      </c>
      <c r="I564">
        <v>0.51200000000000001</v>
      </c>
      <c r="J564">
        <v>0.46200000000000002</v>
      </c>
      <c r="K564">
        <v>0.19400000000000001</v>
      </c>
      <c r="L564">
        <v>1.2</v>
      </c>
      <c r="M564">
        <v>10.7</v>
      </c>
      <c r="N564">
        <v>5.9</v>
      </c>
      <c r="O564">
        <v>13.4</v>
      </c>
      <c r="P564">
        <v>1.3</v>
      </c>
      <c r="Q564">
        <v>1</v>
      </c>
      <c r="R564">
        <v>7.9</v>
      </c>
      <c r="S564">
        <v>23.6</v>
      </c>
      <c r="T564" s="1" t="s">
        <v>707</v>
      </c>
      <c r="U564">
        <v>0.1</v>
      </c>
      <c r="V564">
        <v>1.1000000000000001</v>
      </c>
      <c r="W564">
        <v>1.2</v>
      </c>
      <c r="X564">
        <v>3.6999999999999998E-2</v>
      </c>
      <c r="Y564" s="1" t="s">
        <v>707</v>
      </c>
      <c r="Z564">
        <v>-1.2</v>
      </c>
      <c r="AA564">
        <v>-1.3</v>
      </c>
      <c r="AB564">
        <v>-2.5</v>
      </c>
      <c r="AC564">
        <v>-0.2</v>
      </c>
    </row>
    <row r="565" spans="1:29" x14ac:dyDescent="0.35">
      <c r="A565">
        <v>564</v>
      </c>
      <c r="B565" s="1" t="s">
        <v>634</v>
      </c>
      <c r="C565" s="1" t="s">
        <v>41</v>
      </c>
      <c r="D565">
        <v>23</v>
      </c>
      <c r="E565" s="1" t="s">
        <v>68</v>
      </c>
      <c r="F565">
        <v>2</v>
      </c>
      <c r="G565">
        <v>8</v>
      </c>
      <c r="H565">
        <v>-3.3</v>
      </c>
      <c r="I565">
        <v>0</v>
      </c>
      <c r="J565">
        <v>0.5</v>
      </c>
      <c r="K565">
        <v>0</v>
      </c>
      <c r="L565">
        <v>0</v>
      </c>
      <c r="M565">
        <v>13.1</v>
      </c>
      <c r="N565">
        <v>6.7</v>
      </c>
      <c r="O565">
        <v>13.8</v>
      </c>
      <c r="P565">
        <v>12</v>
      </c>
      <c r="Q565">
        <v>0</v>
      </c>
      <c r="R565">
        <v>0</v>
      </c>
      <c r="S565">
        <v>21.5</v>
      </c>
      <c r="T565" s="1" t="s">
        <v>707</v>
      </c>
      <c r="U565">
        <v>-0.1</v>
      </c>
      <c r="V565">
        <v>0</v>
      </c>
      <c r="W565">
        <v>0</v>
      </c>
      <c r="X565">
        <v>-0.27600000000000002</v>
      </c>
      <c r="Y565" s="1" t="s">
        <v>707</v>
      </c>
      <c r="Z565">
        <v>-15.8</v>
      </c>
      <c r="AA565">
        <v>6.2</v>
      </c>
      <c r="AB565">
        <v>-9.6</v>
      </c>
      <c r="AC565">
        <v>0</v>
      </c>
    </row>
    <row r="566" spans="1:29" x14ac:dyDescent="0.35">
      <c r="A566">
        <v>565</v>
      </c>
      <c r="B566" s="1" t="s">
        <v>635</v>
      </c>
      <c r="C566" s="1" t="s">
        <v>41</v>
      </c>
      <c r="D566">
        <v>27</v>
      </c>
      <c r="E566" s="1" t="s">
        <v>49</v>
      </c>
      <c r="F566">
        <v>6</v>
      </c>
      <c r="G566">
        <v>75</v>
      </c>
      <c r="H566">
        <v>2.5</v>
      </c>
      <c r="I566">
        <v>0.38300000000000001</v>
      </c>
      <c r="J566">
        <v>0.4</v>
      </c>
      <c r="K566">
        <v>0.25</v>
      </c>
      <c r="L566">
        <v>0</v>
      </c>
      <c r="M566">
        <v>12.1</v>
      </c>
      <c r="N566">
        <v>5.9</v>
      </c>
      <c r="O566">
        <v>1.8</v>
      </c>
      <c r="P566">
        <v>2</v>
      </c>
      <c r="Q566">
        <v>1.3</v>
      </c>
      <c r="R566">
        <v>8.3000000000000007</v>
      </c>
      <c r="S566">
        <v>13.9</v>
      </c>
      <c r="T566" s="1" t="s">
        <v>707</v>
      </c>
      <c r="U566">
        <v>-0.2</v>
      </c>
      <c r="V566">
        <v>0.1</v>
      </c>
      <c r="W566">
        <v>-0.1</v>
      </c>
      <c r="X566">
        <v>-5.7000000000000002E-2</v>
      </c>
      <c r="Y566" s="1" t="s">
        <v>707</v>
      </c>
      <c r="Z566">
        <v>-7.7</v>
      </c>
      <c r="AA566">
        <v>-0.6</v>
      </c>
      <c r="AB566">
        <v>-8.1999999999999993</v>
      </c>
      <c r="AC566">
        <v>-0.1</v>
      </c>
    </row>
    <row r="567" spans="1:29" x14ac:dyDescent="0.35">
      <c r="A567">
        <v>566</v>
      </c>
      <c r="B567" s="1" t="s">
        <v>636</v>
      </c>
      <c r="C567" s="1" t="s">
        <v>48</v>
      </c>
      <c r="D567">
        <v>26</v>
      </c>
      <c r="E567" s="1" t="s">
        <v>105</v>
      </c>
      <c r="F567">
        <v>3</v>
      </c>
      <c r="G567">
        <v>108</v>
      </c>
      <c r="H567">
        <v>5.9</v>
      </c>
      <c r="I567">
        <v>0.34200000000000003</v>
      </c>
      <c r="J567">
        <v>0.5</v>
      </c>
      <c r="K567">
        <v>0.154</v>
      </c>
      <c r="L567">
        <v>1.9</v>
      </c>
      <c r="M567">
        <v>8.4</v>
      </c>
      <c r="N567">
        <v>5</v>
      </c>
      <c r="O567">
        <v>26.4</v>
      </c>
      <c r="P567">
        <v>3.2</v>
      </c>
      <c r="Q567">
        <v>3.3</v>
      </c>
      <c r="R567">
        <v>28.4</v>
      </c>
      <c r="S567">
        <v>15.4</v>
      </c>
      <c r="T567" s="1" t="s">
        <v>707</v>
      </c>
      <c r="U567">
        <v>-0.3</v>
      </c>
      <c r="V567">
        <v>0.1</v>
      </c>
      <c r="W567">
        <v>-0.2</v>
      </c>
      <c r="X567">
        <v>-7.0999999999999994E-2</v>
      </c>
      <c r="Y567" s="1" t="s">
        <v>707</v>
      </c>
      <c r="Z567">
        <v>-5.3</v>
      </c>
      <c r="AA567">
        <v>1</v>
      </c>
      <c r="AB567">
        <v>-4.3</v>
      </c>
      <c r="AC567">
        <v>-0.1</v>
      </c>
    </row>
    <row r="568" spans="1:29" x14ac:dyDescent="0.35">
      <c r="A568">
        <v>567</v>
      </c>
      <c r="B568" s="1" t="s">
        <v>637</v>
      </c>
      <c r="C568" s="1" t="s">
        <v>48</v>
      </c>
      <c r="D568">
        <v>32</v>
      </c>
      <c r="E568" s="1" t="s">
        <v>42</v>
      </c>
      <c r="F568">
        <v>23</v>
      </c>
      <c r="G568">
        <v>320</v>
      </c>
      <c r="H568">
        <v>7.5</v>
      </c>
      <c r="I568">
        <v>0.47199999999999998</v>
      </c>
      <c r="J568">
        <v>0.221</v>
      </c>
      <c r="K568">
        <v>0.32500000000000001</v>
      </c>
      <c r="L568">
        <v>2.1</v>
      </c>
      <c r="M568">
        <v>11.6</v>
      </c>
      <c r="N568">
        <v>6.8</v>
      </c>
      <c r="O568">
        <v>22.4</v>
      </c>
      <c r="P568">
        <v>1.1000000000000001</v>
      </c>
      <c r="Q568">
        <v>1.6</v>
      </c>
      <c r="R568">
        <v>20.7</v>
      </c>
      <c r="S568">
        <v>14.9</v>
      </c>
      <c r="T568" s="1" t="s">
        <v>707</v>
      </c>
      <c r="U568">
        <v>-0.1</v>
      </c>
      <c r="V568">
        <v>0.1</v>
      </c>
      <c r="W568">
        <v>0</v>
      </c>
      <c r="X568">
        <v>4.0000000000000001E-3</v>
      </c>
      <c r="Y568" s="1" t="s">
        <v>707</v>
      </c>
      <c r="Z568">
        <v>-5.3</v>
      </c>
      <c r="AA568">
        <v>-0.5</v>
      </c>
      <c r="AB568">
        <v>-5.8</v>
      </c>
      <c r="AC568">
        <v>-0.3</v>
      </c>
    </row>
    <row r="569" spans="1:29" x14ac:dyDescent="0.35">
      <c r="A569">
        <v>568</v>
      </c>
      <c r="B569" s="1" t="s">
        <v>638</v>
      </c>
      <c r="C569" s="1" t="s">
        <v>48</v>
      </c>
      <c r="D569">
        <v>21</v>
      </c>
      <c r="E569" s="1" t="s">
        <v>108</v>
      </c>
      <c r="F569">
        <v>48</v>
      </c>
      <c r="G569">
        <v>968</v>
      </c>
      <c r="H569">
        <v>10.199999999999999</v>
      </c>
      <c r="I569">
        <v>0.52100000000000002</v>
      </c>
      <c r="J569">
        <v>0.504</v>
      </c>
      <c r="K569">
        <v>0.14299999999999999</v>
      </c>
      <c r="L569">
        <v>0.5</v>
      </c>
      <c r="M569">
        <v>9.3000000000000007</v>
      </c>
      <c r="N569">
        <v>4.8</v>
      </c>
      <c r="O569">
        <v>13</v>
      </c>
      <c r="P569">
        <v>1.3</v>
      </c>
      <c r="Q569">
        <v>0.3</v>
      </c>
      <c r="R569">
        <v>11.2</v>
      </c>
      <c r="S569">
        <v>22.6</v>
      </c>
      <c r="T569" s="1" t="s">
        <v>707</v>
      </c>
      <c r="U569">
        <v>-0.2</v>
      </c>
      <c r="V569">
        <v>0.2</v>
      </c>
      <c r="W569">
        <v>0</v>
      </c>
      <c r="X569">
        <v>-2E-3</v>
      </c>
      <c r="Y569" s="1" t="s">
        <v>707</v>
      </c>
      <c r="Z569">
        <v>-1.9</v>
      </c>
      <c r="AA569">
        <v>-2.8</v>
      </c>
      <c r="AB569">
        <v>-4.8</v>
      </c>
      <c r="AC569">
        <v>-0.7</v>
      </c>
    </row>
    <row r="570" spans="1:29" x14ac:dyDescent="0.35">
      <c r="A570">
        <v>569</v>
      </c>
      <c r="B570" s="1" t="s">
        <v>639</v>
      </c>
      <c r="C570" s="1" t="s">
        <v>28</v>
      </c>
      <c r="D570">
        <v>23</v>
      </c>
      <c r="E570" s="1" t="s">
        <v>73</v>
      </c>
      <c r="F570">
        <v>65</v>
      </c>
      <c r="G570">
        <v>1768</v>
      </c>
      <c r="H570">
        <v>13.6</v>
      </c>
      <c r="I570">
        <v>0.58799999999999997</v>
      </c>
      <c r="J570">
        <v>0.56599999999999995</v>
      </c>
      <c r="K570">
        <v>0.152</v>
      </c>
      <c r="L570">
        <v>4.8</v>
      </c>
      <c r="M570">
        <v>15.5</v>
      </c>
      <c r="N570">
        <v>10.1</v>
      </c>
      <c r="O570">
        <v>11.2</v>
      </c>
      <c r="P570">
        <v>1.5</v>
      </c>
      <c r="Q570">
        <v>3.3</v>
      </c>
      <c r="R570">
        <v>12.6</v>
      </c>
      <c r="S570">
        <v>15.6</v>
      </c>
      <c r="T570" s="1" t="s">
        <v>707</v>
      </c>
      <c r="U570">
        <v>1.8</v>
      </c>
      <c r="V570">
        <v>1.6</v>
      </c>
      <c r="W570">
        <v>3.4</v>
      </c>
      <c r="X570">
        <v>9.0999999999999998E-2</v>
      </c>
      <c r="Y570" s="1" t="s">
        <v>707</v>
      </c>
      <c r="Z570">
        <v>-0.2</v>
      </c>
      <c r="AA570">
        <v>0.2</v>
      </c>
      <c r="AB570">
        <v>-0.1</v>
      </c>
      <c r="AC570">
        <v>0.9</v>
      </c>
    </row>
    <row r="571" spans="1:29" x14ac:dyDescent="0.35">
      <c r="A571">
        <v>570</v>
      </c>
      <c r="B571" s="1" t="s">
        <v>640</v>
      </c>
      <c r="C571" s="1" t="s">
        <v>51</v>
      </c>
      <c r="D571">
        <v>27</v>
      </c>
      <c r="E571" s="1" t="s">
        <v>32</v>
      </c>
      <c r="F571">
        <v>38</v>
      </c>
      <c r="G571">
        <v>445</v>
      </c>
      <c r="H571">
        <v>11.5</v>
      </c>
      <c r="I571">
        <v>0.52400000000000002</v>
      </c>
      <c r="J571">
        <v>0.57199999999999995</v>
      </c>
      <c r="K571">
        <v>0.28999999999999998</v>
      </c>
      <c r="L571">
        <v>4.2</v>
      </c>
      <c r="M571">
        <v>19</v>
      </c>
      <c r="N571">
        <v>11.2</v>
      </c>
      <c r="O571">
        <v>6.6</v>
      </c>
      <c r="P571">
        <v>1.2</v>
      </c>
      <c r="Q571">
        <v>3.5</v>
      </c>
      <c r="R571">
        <v>10.9</v>
      </c>
      <c r="S571">
        <v>16.8</v>
      </c>
      <c r="T571" s="1" t="s">
        <v>707</v>
      </c>
      <c r="U571">
        <v>0.1</v>
      </c>
      <c r="V571">
        <v>0.6</v>
      </c>
      <c r="W571">
        <v>0.7</v>
      </c>
      <c r="X571">
        <v>7.4999999999999997E-2</v>
      </c>
      <c r="Y571" s="1" t="s">
        <v>707</v>
      </c>
      <c r="Z571">
        <v>-1.9</v>
      </c>
      <c r="AA571">
        <v>0</v>
      </c>
      <c r="AB571">
        <v>-2</v>
      </c>
      <c r="AC571">
        <v>0</v>
      </c>
    </row>
    <row r="572" spans="1:29" x14ac:dyDescent="0.35">
      <c r="A572">
        <v>571</v>
      </c>
      <c r="B572" s="1" t="s">
        <v>641</v>
      </c>
      <c r="C572" s="1" t="s">
        <v>41</v>
      </c>
      <c r="D572">
        <v>24</v>
      </c>
      <c r="E572" s="1" t="s">
        <v>96</v>
      </c>
      <c r="F572">
        <v>25</v>
      </c>
      <c r="G572">
        <v>465</v>
      </c>
      <c r="H572">
        <v>13</v>
      </c>
      <c r="I572">
        <v>0.56200000000000006</v>
      </c>
      <c r="J572">
        <v>0.83399999999999996</v>
      </c>
      <c r="K572">
        <v>2.9000000000000001E-2</v>
      </c>
      <c r="L572">
        <v>1.3</v>
      </c>
      <c r="M572">
        <v>15</v>
      </c>
      <c r="N572">
        <v>8.1</v>
      </c>
      <c r="O572">
        <v>8.1</v>
      </c>
      <c r="P572">
        <v>2</v>
      </c>
      <c r="Q572">
        <v>1.6</v>
      </c>
      <c r="R572">
        <v>5.8</v>
      </c>
      <c r="S572">
        <v>17.5</v>
      </c>
      <c r="T572" s="1" t="s">
        <v>707</v>
      </c>
      <c r="U572">
        <v>0.3</v>
      </c>
      <c r="V572">
        <v>0.5</v>
      </c>
      <c r="W572">
        <v>0.8</v>
      </c>
      <c r="X572">
        <v>8.1000000000000003E-2</v>
      </c>
      <c r="Y572" s="1" t="s">
        <v>707</v>
      </c>
      <c r="Z572">
        <v>-0.8</v>
      </c>
      <c r="AA572">
        <v>-0.8</v>
      </c>
      <c r="AB572">
        <v>-1.6</v>
      </c>
      <c r="AC572">
        <v>0.1</v>
      </c>
    </row>
    <row r="573" spans="1:29" x14ac:dyDescent="0.35">
      <c r="A573">
        <v>572</v>
      </c>
      <c r="B573" s="1" t="s">
        <v>642</v>
      </c>
      <c r="C573" s="1" t="s">
        <v>48</v>
      </c>
      <c r="D573">
        <v>24</v>
      </c>
      <c r="E573" s="1" t="s">
        <v>42</v>
      </c>
      <c r="F573">
        <v>3</v>
      </c>
      <c r="G573">
        <v>50</v>
      </c>
      <c r="H573">
        <v>5.4</v>
      </c>
      <c r="I573">
        <v>0.35699999999999998</v>
      </c>
      <c r="J573">
        <v>0.64300000000000002</v>
      </c>
      <c r="K573">
        <v>0</v>
      </c>
      <c r="L573">
        <v>0</v>
      </c>
      <c r="M573">
        <v>9.1999999999999993</v>
      </c>
      <c r="N573">
        <v>4.3</v>
      </c>
      <c r="O573">
        <v>18.2</v>
      </c>
      <c r="P573">
        <v>5</v>
      </c>
      <c r="Q573">
        <v>0</v>
      </c>
      <c r="R573">
        <v>22.2</v>
      </c>
      <c r="S573">
        <v>15.5</v>
      </c>
      <c r="T573" s="1" t="s">
        <v>707</v>
      </c>
      <c r="U573">
        <v>-0.1</v>
      </c>
      <c r="V573">
        <v>0.1</v>
      </c>
      <c r="W573">
        <v>0</v>
      </c>
      <c r="X573">
        <v>-4.2000000000000003E-2</v>
      </c>
      <c r="Y573" s="1" t="s">
        <v>707</v>
      </c>
      <c r="Z573">
        <v>-7.8</v>
      </c>
      <c r="AA573">
        <v>0.1</v>
      </c>
      <c r="AB573">
        <v>-7.7</v>
      </c>
      <c r="AC573">
        <v>-0.1</v>
      </c>
    </row>
    <row r="574" spans="1:29" x14ac:dyDescent="0.35">
      <c r="A574">
        <v>573</v>
      </c>
      <c r="B574" s="1" t="s">
        <v>643</v>
      </c>
      <c r="C574" s="1" t="s">
        <v>51</v>
      </c>
      <c r="D574">
        <v>21</v>
      </c>
      <c r="E574" s="1" t="s">
        <v>114</v>
      </c>
      <c r="F574">
        <v>48</v>
      </c>
      <c r="G574">
        <v>869</v>
      </c>
      <c r="H574">
        <v>15.8</v>
      </c>
      <c r="I574">
        <v>0.59</v>
      </c>
      <c r="J574">
        <v>0.14199999999999999</v>
      </c>
      <c r="K574">
        <v>0.35199999999999998</v>
      </c>
      <c r="L574">
        <v>7</v>
      </c>
      <c r="M574">
        <v>18.600000000000001</v>
      </c>
      <c r="N574">
        <v>12.6</v>
      </c>
      <c r="O574">
        <v>14.6</v>
      </c>
      <c r="P574">
        <v>1.4</v>
      </c>
      <c r="Q574">
        <v>3.2</v>
      </c>
      <c r="R574">
        <v>12.5</v>
      </c>
      <c r="S574">
        <v>17.600000000000001</v>
      </c>
      <c r="T574" s="1" t="s">
        <v>707</v>
      </c>
      <c r="U574">
        <v>1.4</v>
      </c>
      <c r="V574">
        <v>0.5</v>
      </c>
      <c r="W574">
        <v>1.9</v>
      </c>
      <c r="X574">
        <v>0.104</v>
      </c>
      <c r="Y574" s="1" t="s">
        <v>707</v>
      </c>
      <c r="Z574">
        <v>-1.4</v>
      </c>
      <c r="AA574">
        <v>-0.4</v>
      </c>
      <c r="AB574">
        <v>-1.7</v>
      </c>
      <c r="AC574">
        <v>0.1</v>
      </c>
    </row>
    <row r="575" spans="1:29" x14ac:dyDescent="0.35">
      <c r="A575">
        <v>574</v>
      </c>
      <c r="B575" s="1" t="s">
        <v>644</v>
      </c>
      <c r="C575" s="1" t="s">
        <v>51</v>
      </c>
      <c r="D575">
        <v>27</v>
      </c>
      <c r="E575" s="1" t="s">
        <v>96</v>
      </c>
      <c r="F575">
        <v>9</v>
      </c>
      <c r="G575">
        <v>156</v>
      </c>
      <c r="H575">
        <v>5.7</v>
      </c>
      <c r="I575">
        <v>0.432</v>
      </c>
      <c r="J575">
        <v>0.74299999999999999</v>
      </c>
      <c r="K575">
        <v>5.7000000000000002E-2</v>
      </c>
      <c r="L575">
        <v>1.9</v>
      </c>
      <c r="M575">
        <v>16.100000000000001</v>
      </c>
      <c r="N575">
        <v>8.9</v>
      </c>
      <c r="O575">
        <v>7.2</v>
      </c>
      <c r="P575">
        <v>0.9</v>
      </c>
      <c r="Q575">
        <v>1.8</v>
      </c>
      <c r="R575">
        <v>10</v>
      </c>
      <c r="S575">
        <v>11</v>
      </c>
      <c r="T575" s="1" t="s">
        <v>707</v>
      </c>
      <c r="U575">
        <v>-0.1</v>
      </c>
      <c r="V575">
        <v>0.1</v>
      </c>
      <c r="W575">
        <v>0</v>
      </c>
      <c r="X575">
        <v>1E-3</v>
      </c>
      <c r="Y575" s="1" t="s">
        <v>707</v>
      </c>
      <c r="Z575">
        <v>-4.8</v>
      </c>
      <c r="AA575">
        <v>-0.6</v>
      </c>
      <c r="AB575">
        <v>-5.4</v>
      </c>
      <c r="AC575">
        <v>-0.1</v>
      </c>
    </row>
    <row r="576" spans="1:29" x14ac:dyDescent="0.35">
      <c r="A576">
        <v>575</v>
      </c>
      <c r="B576" s="1" t="s">
        <v>645</v>
      </c>
      <c r="C576" s="1" t="s">
        <v>41</v>
      </c>
      <c r="D576">
        <v>25</v>
      </c>
      <c r="E576" s="1" t="s">
        <v>111</v>
      </c>
      <c r="F576">
        <v>11</v>
      </c>
      <c r="G576">
        <v>73</v>
      </c>
      <c r="H576">
        <v>12</v>
      </c>
      <c r="I576">
        <v>0.64700000000000002</v>
      </c>
      <c r="J576">
        <v>0.23799999999999999</v>
      </c>
      <c r="K576">
        <v>0.23799999999999999</v>
      </c>
      <c r="L576">
        <v>3.1</v>
      </c>
      <c r="M576">
        <v>17.399999999999999</v>
      </c>
      <c r="N576">
        <v>10.5</v>
      </c>
      <c r="O576">
        <v>10.1</v>
      </c>
      <c r="P576">
        <v>0.7</v>
      </c>
      <c r="Q576">
        <v>1.3</v>
      </c>
      <c r="R576">
        <v>11.5</v>
      </c>
      <c r="S576">
        <v>15.7</v>
      </c>
      <c r="T576" s="1" t="s">
        <v>707</v>
      </c>
      <c r="U576">
        <v>0.1</v>
      </c>
      <c r="V576">
        <v>0.1</v>
      </c>
      <c r="W576">
        <v>0.2</v>
      </c>
      <c r="X576">
        <v>0.14799999999999999</v>
      </c>
      <c r="Y576" s="1" t="s">
        <v>707</v>
      </c>
      <c r="Z576">
        <v>-4.5</v>
      </c>
      <c r="AA576">
        <v>0.1</v>
      </c>
      <c r="AB576">
        <v>-4.4000000000000004</v>
      </c>
      <c r="AC576">
        <v>0</v>
      </c>
    </row>
    <row r="577" spans="1:29" x14ac:dyDescent="0.35">
      <c r="A577">
        <v>576</v>
      </c>
      <c r="B577" s="1" t="s">
        <v>646</v>
      </c>
      <c r="C577" s="1" t="s">
        <v>48</v>
      </c>
      <c r="D577">
        <v>33</v>
      </c>
      <c r="E577" s="1" t="s">
        <v>56</v>
      </c>
      <c r="F577">
        <v>78</v>
      </c>
      <c r="G577">
        <v>2678</v>
      </c>
      <c r="H577">
        <v>15</v>
      </c>
      <c r="I577">
        <v>0.51200000000000001</v>
      </c>
      <c r="J577">
        <v>0.215</v>
      </c>
      <c r="K577">
        <v>0.32400000000000001</v>
      </c>
      <c r="L577">
        <v>4.4000000000000004</v>
      </c>
      <c r="M577">
        <v>18.8</v>
      </c>
      <c r="N577">
        <v>11.6</v>
      </c>
      <c r="O577">
        <v>31.6</v>
      </c>
      <c r="P577">
        <v>1.3</v>
      </c>
      <c r="Q577">
        <v>0.7</v>
      </c>
      <c r="R577">
        <v>17.3</v>
      </c>
      <c r="S577">
        <v>27.3</v>
      </c>
      <c r="T577" s="1" t="s">
        <v>707</v>
      </c>
      <c r="U577">
        <v>-0.6</v>
      </c>
      <c r="V577">
        <v>2.2999999999999998</v>
      </c>
      <c r="W577">
        <v>1.7</v>
      </c>
      <c r="X577">
        <v>0.03</v>
      </c>
      <c r="Y577" s="1" t="s">
        <v>707</v>
      </c>
      <c r="Z577">
        <v>-0.7</v>
      </c>
      <c r="AA577">
        <v>-0.9</v>
      </c>
      <c r="AB577">
        <v>-1.6</v>
      </c>
      <c r="AC577">
        <v>0.2</v>
      </c>
    </row>
    <row r="578" spans="1:29" x14ac:dyDescent="0.35">
      <c r="A578">
        <v>577</v>
      </c>
      <c r="B578" s="1" t="s">
        <v>647</v>
      </c>
      <c r="C578" s="1" t="s">
        <v>48</v>
      </c>
      <c r="D578">
        <v>21</v>
      </c>
      <c r="E578" s="1" t="s">
        <v>75</v>
      </c>
      <c r="F578">
        <v>61</v>
      </c>
      <c r="G578">
        <v>1675</v>
      </c>
      <c r="H578">
        <v>12.6</v>
      </c>
      <c r="I578">
        <v>0.56399999999999995</v>
      </c>
      <c r="J578">
        <v>0.54800000000000004</v>
      </c>
      <c r="K578">
        <v>0.14099999999999999</v>
      </c>
      <c r="L578">
        <v>1.1000000000000001</v>
      </c>
      <c r="M578">
        <v>11</v>
      </c>
      <c r="N578">
        <v>6.1</v>
      </c>
      <c r="O578">
        <v>15</v>
      </c>
      <c r="P578">
        <v>0.8</v>
      </c>
      <c r="Q578">
        <v>0.6</v>
      </c>
      <c r="R578">
        <v>9.3000000000000007</v>
      </c>
      <c r="S578">
        <v>19.8</v>
      </c>
      <c r="T578" s="1" t="s">
        <v>707</v>
      </c>
      <c r="U578">
        <v>1.6</v>
      </c>
      <c r="V578">
        <v>0.8</v>
      </c>
      <c r="W578">
        <v>2.4</v>
      </c>
      <c r="X578">
        <v>6.7000000000000004E-2</v>
      </c>
      <c r="Y578" s="1" t="s">
        <v>707</v>
      </c>
      <c r="Z578">
        <v>-0.4</v>
      </c>
      <c r="AA578">
        <v>-1.7</v>
      </c>
      <c r="AB578">
        <v>-2.1</v>
      </c>
      <c r="AC578">
        <v>0</v>
      </c>
    </row>
    <row r="579" spans="1:29" x14ac:dyDescent="0.35">
      <c r="A579">
        <v>578</v>
      </c>
      <c r="B579" s="1" t="s">
        <v>648</v>
      </c>
      <c r="C579" s="1" t="s">
        <v>41</v>
      </c>
      <c r="D579">
        <v>27</v>
      </c>
      <c r="E579" s="1" t="s">
        <v>42</v>
      </c>
      <c r="F579">
        <v>75</v>
      </c>
      <c r="G579">
        <v>2199</v>
      </c>
      <c r="H579">
        <v>14.8</v>
      </c>
      <c r="I579">
        <v>0.54900000000000004</v>
      </c>
      <c r="J579">
        <v>0.46100000000000002</v>
      </c>
      <c r="K579">
        <v>0.29399999999999998</v>
      </c>
      <c r="L579">
        <v>1.8</v>
      </c>
      <c r="M579">
        <v>10.7</v>
      </c>
      <c r="N579">
        <v>6.3</v>
      </c>
      <c r="O579">
        <v>22.9</v>
      </c>
      <c r="P579">
        <v>1.4</v>
      </c>
      <c r="Q579">
        <v>2.2999999999999998</v>
      </c>
      <c r="R579">
        <v>11.6</v>
      </c>
      <c r="S579">
        <v>19.899999999999999</v>
      </c>
      <c r="T579" s="1" t="s">
        <v>707</v>
      </c>
      <c r="U579">
        <v>2.8</v>
      </c>
      <c r="V579">
        <v>2.2999999999999998</v>
      </c>
      <c r="W579">
        <v>5.0999999999999996</v>
      </c>
      <c r="X579">
        <v>0.111</v>
      </c>
      <c r="Y579" s="1" t="s">
        <v>707</v>
      </c>
      <c r="Z579">
        <v>0.4</v>
      </c>
      <c r="AA579">
        <v>0.6</v>
      </c>
      <c r="AB579">
        <v>0.9</v>
      </c>
      <c r="AC579">
        <v>1.6</v>
      </c>
    </row>
    <row r="580" spans="1:29" x14ac:dyDescent="0.35">
      <c r="A580">
        <v>579</v>
      </c>
      <c r="B580" s="1" t="s">
        <v>649</v>
      </c>
      <c r="C580" s="1" t="s">
        <v>31</v>
      </c>
      <c r="D580">
        <v>32</v>
      </c>
      <c r="E580" s="1" t="s">
        <v>70</v>
      </c>
      <c r="F580">
        <v>65</v>
      </c>
      <c r="G580">
        <v>1162</v>
      </c>
      <c r="H580">
        <v>22.9</v>
      </c>
      <c r="I580">
        <v>0.66200000000000003</v>
      </c>
      <c r="J580">
        <v>0</v>
      </c>
      <c r="K580">
        <v>0.50600000000000001</v>
      </c>
      <c r="L580">
        <v>16.2</v>
      </c>
      <c r="M580">
        <v>29.9</v>
      </c>
      <c r="N580">
        <v>23.3</v>
      </c>
      <c r="O580">
        <v>3.4</v>
      </c>
      <c r="P580">
        <v>0.9</v>
      </c>
      <c r="Q580">
        <v>7.8</v>
      </c>
      <c r="R580">
        <v>11.6</v>
      </c>
      <c r="S580">
        <v>17.100000000000001</v>
      </c>
      <c r="T580" s="1" t="s">
        <v>707</v>
      </c>
      <c r="U580">
        <v>3.4</v>
      </c>
      <c r="V580">
        <v>2.2999999999999998</v>
      </c>
      <c r="W580">
        <v>5.8</v>
      </c>
      <c r="X580">
        <v>0.23799999999999999</v>
      </c>
      <c r="Y580" s="1" t="s">
        <v>707</v>
      </c>
      <c r="Z580">
        <v>0.6</v>
      </c>
      <c r="AA580">
        <v>1.4</v>
      </c>
      <c r="AB580">
        <v>2.1</v>
      </c>
      <c r="AC580">
        <v>1.2</v>
      </c>
    </row>
    <row r="581" spans="1:29" x14ac:dyDescent="0.35">
      <c r="A581">
        <v>580</v>
      </c>
      <c r="B581" s="1" t="s">
        <v>650</v>
      </c>
      <c r="C581" s="1" t="s">
        <v>41</v>
      </c>
      <c r="D581">
        <v>22</v>
      </c>
      <c r="E581" s="1" t="s">
        <v>91</v>
      </c>
      <c r="F581">
        <v>29</v>
      </c>
      <c r="G581">
        <v>205</v>
      </c>
      <c r="H581">
        <v>7.1</v>
      </c>
      <c r="I581">
        <v>0.49399999999999999</v>
      </c>
      <c r="J581">
        <v>0.76800000000000002</v>
      </c>
      <c r="K581">
        <v>0.23200000000000001</v>
      </c>
      <c r="L581">
        <v>2</v>
      </c>
      <c r="M581">
        <v>5.2</v>
      </c>
      <c r="N581">
        <v>3.6</v>
      </c>
      <c r="O581">
        <v>5.5</v>
      </c>
      <c r="P581">
        <v>0.9</v>
      </c>
      <c r="Q581">
        <v>1.2</v>
      </c>
      <c r="R581">
        <v>3.1</v>
      </c>
      <c r="S581">
        <v>13.1</v>
      </c>
      <c r="T581" s="1" t="s">
        <v>707</v>
      </c>
      <c r="U581">
        <v>0.1</v>
      </c>
      <c r="V581">
        <v>0.1</v>
      </c>
      <c r="W581">
        <v>0.1</v>
      </c>
      <c r="X581">
        <v>3.5000000000000003E-2</v>
      </c>
      <c r="Y581" s="1" t="s">
        <v>707</v>
      </c>
      <c r="Z581">
        <v>-2.9</v>
      </c>
      <c r="AA581">
        <v>-1.1000000000000001</v>
      </c>
      <c r="AB581">
        <v>-3.9</v>
      </c>
      <c r="AC581">
        <v>-0.1</v>
      </c>
    </row>
    <row r="582" spans="1:29" x14ac:dyDescent="0.35">
      <c r="A582">
        <v>581</v>
      </c>
      <c r="B582" s="1" t="s">
        <v>651</v>
      </c>
      <c r="C582" s="1" t="s">
        <v>41</v>
      </c>
      <c r="D582">
        <v>23</v>
      </c>
      <c r="E582" s="1" t="s">
        <v>96</v>
      </c>
      <c r="F582">
        <v>50</v>
      </c>
      <c r="G582">
        <v>1209</v>
      </c>
      <c r="H582">
        <v>10.3</v>
      </c>
      <c r="I582">
        <v>0.55600000000000005</v>
      </c>
      <c r="J582">
        <v>0.40899999999999997</v>
      </c>
      <c r="K582">
        <v>0.252</v>
      </c>
      <c r="L582">
        <v>4.3</v>
      </c>
      <c r="M582">
        <v>11</v>
      </c>
      <c r="N582">
        <v>7.6</v>
      </c>
      <c r="O582">
        <v>8.5</v>
      </c>
      <c r="P582">
        <v>1.2</v>
      </c>
      <c r="Q582">
        <v>0.8</v>
      </c>
      <c r="R582">
        <v>12.6</v>
      </c>
      <c r="S582">
        <v>15.3</v>
      </c>
      <c r="T582" s="1" t="s">
        <v>707</v>
      </c>
      <c r="U582">
        <v>0.5</v>
      </c>
      <c r="V582">
        <v>0.8</v>
      </c>
      <c r="W582">
        <v>1.2</v>
      </c>
      <c r="X582">
        <v>4.8000000000000001E-2</v>
      </c>
      <c r="Y582" s="1" t="s">
        <v>707</v>
      </c>
      <c r="Z582">
        <v>-3.4</v>
      </c>
      <c r="AA582">
        <v>-0.9</v>
      </c>
      <c r="AB582">
        <v>-4.3</v>
      </c>
      <c r="AC582">
        <v>-0.7</v>
      </c>
    </row>
    <row r="583" spans="1:29" x14ac:dyDescent="0.35">
      <c r="A583">
        <v>582</v>
      </c>
      <c r="B583" s="1" t="s">
        <v>652</v>
      </c>
      <c r="C583" s="1" t="s">
        <v>51</v>
      </c>
      <c r="D583">
        <v>26</v>
      </c>
      <c r="E583" s="1" t="s">
        <v>111</v>
      </c>
      <c r="F583">
        <v>73</v>
      </c>
      <c r="G583">
        <v>2329</v>
      </c>
      <c r="H583">
        <v>15</v>
      </c>
      <c r="I583">
        <v>0.56000000000000005</v>
      </c>
      <c r="J583">
        <v>0.39200000000000002</v>
      </c>
      <c r="K583">
        <v>0.23100000000000001</v>
      </c>
      <c r="L583">
        <v>4.0999999999999996</v>
      </c>
      <c r="M583">
        <v>10.9</v>
      </c>
      <c r="N583">
        <v>7.6</v>
      </c>
      <c r="O583">
        <v>10.8</v>
      </c>
      <c r="P583">
        <v>1.6</v>
      </c>
      <c r="Q583">
        <v>2.1</v>
      </c>
      <c r="R583">
        <v>9</v>
      </c>
      <c r="S583">
        <v>23.1</v>
      </c>
      <c r="T583" s="1" t="s">
        <v>707</v>
      </c>
      <c r="U583">
        <v>1.8</v>
      </c>
      <c r="V583">
        <v>3.4</v>
      </c>
      <c r="W583">
        <v>5.0999999999999996</v>
      </c>
      <c r="X583">
        <v>0.105</v>
      </c>
      <c r="Y583" s="1" t="s">
        <v>707</v>
      </c>
      <c r="Z583">
        <v>0.3</v>
      </c>
      <c r="AA583">
        <v>0.1</v>
      </c>
      <c r="AB583">
        <v>0.4</v>
      </c>
      <c r="AC583">
        <v>1.4</v>
      </c>
    </row>
    <row r="584" spans="1:29" x14ac:dyDescent="0.35">
      <c r="A584">
        <v>583</v>
      </c>
      <c r="B584" s="1" t="s">
        <v>653</v>
      </c>
      <c r="C584" s="1" t="s">
        <v>48</v>
      </c>
      <c r="D584">
        <v>23</v>
      </c>
      <c r="E584" s="1" t="s">
        <v>44</v>
      </c>
      <c r="F584">
        <v>19</v>
      </c>
      <c r="G584">
        <v>199</v>
      </c>
      <c r="H584">
        <v>10.199999999999999</v>
      </c>
      <c r="I584">
        <v>0.52400000000000002</v>
      </c>
      <c r="J584">
        <v>0.42599999999999999</v>
      </c>
      <c r="K584">
        <v>0.57399999999999995</v>
      </c>
      <c r="L584">
        <v>1.6</v>
      </c>
      <c r="M584">
        <v>11.5</v>
      </c>
      <c r="N584">
        <v>6.7</v>
      </c>
      <c r="O584">
        <v>15.7</v>
      </c>
      <c r="P584">
        <v>1.2</v>
      </c>
      <c r="Q584">
        <v>0.5</v>
      </c>
      <c r="R584">
        <v>13.6</v>
      </c>
      <c r="S584">
        <v>19</v>
      </c>
      <c r="T584" s="1" t="s">
        <v>707</v>
      </c>
      <c r="U584">
        <v>0</v>
      </c>
      <c r="V584">
        <v>0.1</v>
      </c>
      <c r="W584">
        <v>0.2</v>
      </c>
      <c r="X584">
        <v>4.3999999999999997E-2</v>
      </c>
      <c r="Y584" s="1" t="s">
        <v>707</v>
      </c>
      <c r="Z584">
        <v>-3.2</v>
      </c>
      <c r="AA584">
        <v>-1.9</v>
      </c>
      <c r="AB584">
        <v>-5</v>
      </c>
      <c r="AC584">
        <v>-0.2</v>
      </c>
    </row>
    <row r="585" spans="1:29" x14ac:dyDescent="0.35">
      <c r="A585">
        <v>584</v>
      </c>
      <c r="B585" s="1" t="s">
        <v>654</v>
      </c>
      <c r="C585" s="1" t="s">
        <v>48</v>
      </c>
      <c r="D585">
        <v>22</v>
      </c>
      <c r="E585" s="1" t="s">
        <v>114</v>
      </c>
      <c r="F585">
        <v>24</v>
      </c>
      <c r="G585">
        <v>640</v>
      </c>
      <c r="H585">
        <v>11</v>
      </c>
      <c r="I585">
        <v>0.47599999999999998</v>
      </c>
      <c r="J585">
        <v>0.376</v>
      </c>
      <c r="K585">
        <v>0.34399999999999997</v>
      </c>
      <c r="L585">
        <v>3.1</v>
      </c>
      <c r="M585">
        <v>9.8000000000000007</v>
      </c>
      <c r="N585">
        <v>6.4</v>
      </c>
      <c r="O585">
        <v>23.1</v>
      </c>
      <c r="P585">
        <v>1.8</v>
      </c>
      <c r="Q585">
        <v>1.5</v>
      </c>
      <c r="R585">
        <v>15.2</v>
      </c>
      <c r="S585">
        <v>25.9</v>
      </c>
      <c r="T585" s="1" t="s">
        <v>707</v>
      </c>
      <c r="U585">
        <v>-0.7</v>
      </c>
      <c r="V585">
        <v>0.2</v>
      </c>
      <c r="W585">
        <v>-0.5</v>
      </c>
      <c r="X585">
        <v>-3.6999999999999998E-2</v>
      </c>
      <c r="Y585" s="1" t="s">
        <v>707</v>
      </c>
      <c r="Z585">
        <v>-2.6</v>
      </c>
      <c r="AA585">
        <v>-3.1</v>
      </c>
      <c r="AB585">
        <v>-5.7</v>
      </c>
      <c r="AC585">
        <v>-0.6</v>
      </c>
    </row>
    <row r="586" spans="1:29" x14ac:dyDescent="0.35">
      <c r="A586">
        <v>585</v>
      </c>
      <c r="B586" s="1" t="s">
        <v>655</v>
      </c>
      <c r="C586" s="1" t="s">
        <v>28</v>
      </c>
      <c r="D586">
        <v>23</v>
      </c>
      <c r="E586" s="1" t="s">
        <v>140</v>
      </c>
      <c r="F586">
        <v>77</v>
      </c>
      <c r="G586">
        <v>1875</v>
      </c>
      <c r="H586">
        <v>11.2</v>
      </c>
      <c r="I586">
        <v>0.63500000000000001</v>
      </c>
      <c r="J586">
        <v>0.59699999999999998</v>
      </c>
      <c r="K586">
        <v>0.22</v>
      </c>
      <c r="L586">
        <v>3.8</v>
      </c>
      <c r="M586">
        <v>11.8</v>
      </c>
      <c r="N586">
        <v>7.9</v>
      </c>
      <c r="O586">
        <v>5.7</v>
      </c>
      <c r="P586">
        <v>1</v>
      </c>
      <c r="Q586">
        <v>2.8</v>
      </c>
      <c r="R586">
        <v>11.6</v>
      </c>
      <c r="S586">
        <v>12.6</v>
      </c>
      <c r="T586" s="1" t="s">
        <v>707</v>
      </c>
      <c r="U586">
        <v>2.4</v>
      </c>
      <c r="V586">
        <v>2.6</v>
      </c>
      <c r="W586">
        <v>5.0999999999999996</v>
      </c>
      <c r="X586">
        <v>0.13</v>
      </c>
      <c r="Y586" s="1" t="s">
        <v>707</v>
      </c>
      <c r="Z586">
        <v>-1.4</v>
      </c>
      <c r="AA586">
        <v>1.1000000000000001</v>
      </c>
      <c r="AB586">
        <v>-0.4</v>
      </c>
      <c r="AC586">
        <v>0.8</v>
      </c>
    </row>
    <row r="587" spans="1:29" x14ac:dyDescent="0.35">
      <c r="A587">
        <v>586</v>
      </c>
      <c r="B587" s="1" t="s">
        <v>656</v>
      </c>
      <c r="C587" s="1" t="s">
        <v>51</v>
      </c>
      <c r="D587">
        <v>27</v>
      </c>
      <c r="E587" s="1" t="s">
        <v>96</v>
      </c>
      <c r="F587">
        <v>49</v>
      </c>
      <c r="G587">
        <v>1072</v>
      </c>
      <c r="H587">
        <v>13.3</v>
      </c>
      <c r="I587">
        <v>0.53200000000000003</v>
      </c>
      <c r="J587">
        <v>0.38200000000000001</v>
      </c>
      <c r="K587">
        <v>0.17399999999999999</v>
      </c>
      <c r="L587">
        <v>7.1</v>
      </c>
      <c r="M587">
        <v>14.1</v>
      </c>
      <c r="N587">
        <v>10.5</v>
      </c>
      <c r="O587">
        <v>15.3</v>
      </c>
      <c r="P587">
        <v>2</v>
      </c>
      <c r="Q587">
        <v>0.9</v>
      </c>
      <c r="R587">
        <v>11.9</v>
      </c>
      <c r="S587">
        <v>15.6</v>
      </c>
      <c r="T587" s="1" t="s">
        <v>707</v>
      </c>
      <c r="U587">
        <v>0.8</v>
      </c>
      <c r="V587">
        <v>1</v>
      </c>
      <c r="W587">
        <v>1.8</v>
      </c>
      <c r="X587">
        <v>8.1000000000000003E-2</v>
      </c>
      <c r="Y587" s="1" t="s">
        <v>707</v>
      </c>
      <c r="Z587">
        <v>-1.3</v>
      </c>
      <c r="AA587">
        <v>1.1000000000000001</v>
      </c>
      <c r="AB587">
        <v>-0.3</v>
      </c>
      <c r="AC587">
        <v>0.5</v>
      </c>
    </row>
    <row r="588" spans="1:29" x14ac:dyDescent="0.35">
      <c r="A588">
        <v>587</v>
      </c>
      <c r="B588" s="1" t="s">
        <v>657</v>
      </c>
      <c r="C588" s="1" t="s">
        <v>48</v>
      </c>
      <c r="D588">
        <v>35</v>
      </c>
      <c r="E588" s="1" t="s">
        <v>80</v>
      </c>
      <c r="F588">
        <v>56</v>
      </c>
      <c r="G588">
        <v>799</v>
      </c>
      <c r="H588">
        <v>12.1</v>
      </c>
      <c r="I588">
        <v>0.5</v>
      </c>
      <c r="J588">
        <v>0.31900000000000001</v>
      </c>
      <c r="K588">
        <v>0.24399999999999999</v>
      </c>
      <c r="L588">
        <v>2.2000000000000002</v>
      </c>
      <c r="M588">
        <v>9.6999999999999993</v>
      </c>
      <c r="N588">
        <v>6</v>
      </c>
      <c r="O588">
        <v>18.600000000000001</v>
      </c>
      <c r="P588">
        <v>1.7</v>
      </c>
      <c r="Q588">
        <v>0.3</v>
      </c>
      <c r="R588">
        <v>10.8</v>
      </c>
      <c r="S588">
        <v>21.7</v>
      </c>
      <c r="T588" s="1" t="s">
        <v>707</v>
      </c>
      <c r="U588">
        <v>0.2</v>
      </c>
      <c r="V588">
        <v>0.4</v>
      </c>
      <c r="W588">
        <v>0.6</v>
      </c>
      <c r="X588">
        <v>3.4000000000000002E-2</v>
      </c>
      <c r="Y588" s="1" t="s">
        <v>707</v>
      </c>
      <c r="Z588">
        <v>-2</v>
      </c>
      <c r="AA588">
        <v>-1.4</v>
      </c>
      <c r="AB588">
        <v>-3.4</v>
      </c>
      <c r="AC588">
        <v>-0.3</v>
      </c>
    </row>
    <row r="589" spans="1:29" x14ac:dyDescent="0.35">
      <c r="A589">
        <v>588</v>
      </c>
      <c r="B589" s="1" t="s">
        <v>658</v>
      </c>
      <c r="C589" s="1" t="s">
        <v>28</v>
      </c>
      <c r="D589">
        <v>20</v>
      </c>
      <c r="E589" s="1" t="s">
        <v>75</v>
      </c>
      <c r="F589">
        <v>17</v>
      </c>
      <c r="G589">
        <v>422</v>
      </c>
      <c r="H589">
        <v>12.7</v>
      </c>
      <c r="I589">
        <v>0.63700000000000001</v>
      </c>
      <c r="J589">
        <v>0.28399999999999997</v>
      </c>
      <c r="K589">
        <v>0.40200000000000002</v>
      </c>
      <c r="L589">
        <v>4.5999999999999996</v>
      </c>
      <c r="M589">
        <v>13.8</v>
      </c>
      <c r="N589">
        <v>9.1999999999999993</v>
      </c>
      <c r="O589">
        <v>4.8</v>
      </c>
      <c r="P589">
        <v>1</v>
      </c>
      <c r="Q589">
        <v>1.8</v>
      </c>
      <c r="R589">
        <v>11.8</v>
      </c>
      <c r="S589">
        <v>14.2</v>
      </c>
      <c r="T589" s="1" t="s">
        <v>707</v>
      </c>
      <c r="U589">
        <v>0.6</v>
      </c>
      <c r="V589">
        <v>0.3</v>
      </c>
      <c r="W589">
        <v>0.9</v>
      </c>
      <c r="X589">
        <v>9.9000000000000005E-2</v>
      </c>
      <c r="Y589" s="1" t="s">
        <v>707</v>
      </c>
      <c r="Z589">
        <v>-0.9</v>
      </c>
      <c r="AA589">
        <v>-0.7</v>
      </c>
      <c r="AB589">
        <v>-1.5</v>
      </c>
      <c r="AC589">
        <v>0</v>
      </c>
    </row>
    <row r="590" spans="1:29" x14ac:dyDescent="0.35">
      <c r="A590">
        <v>589</v>
      </c>
      <c r="B590" s="1" t="s">
        <v>659</v>
      </c>
      <c r="C590" s="1" t="s">
        <v>31</v>
      </c>
      <c r="D590">
        <v>24</v>
      </c>
      <c r="E590" s="1" t="s">
        <v>140</v>
      </c>
      <c r="F590">
        <v>61</v>
      </c>
      <c r="G590">
        <v>1804</v>
      </c>
      <c r="H590">
        <v>22.1</v>
      </c>
      <c r="I590">
        <v>0.745</v>
      </c>
      <c r="J590">
        <v>3.0000000000000001E-3</v>
      </c>
      <c r="K590">
        <v>0.245</v>
      </c>
      <c r="L590">
        <v>14.6</v>
      </c>
      <c r="M590">
        <v>20.5</v>
      </c>
      <c r="N590">
        <v>17.600000000000001</v>
      </c>
      <c r="O590">
        <v>9.6999999999999993</v>
      </c>
      <c r="P590">
        <v>1.5</v>
      </c>
      <c r="Q590">
        <v>6.8</v>
      </c>
      <c r="R590">
        <v>13.4</v>
      </c>
      <c r="S590">
        <v>11.5</v>
      </c>
      <c r="T590" s="1" t="s">
        <v>707</v>
      </c>
      <c r="U590">
        <v>6</v>
      </c>
      <c r="V590">
        <v>3.9</v>
      </c>
      <c r="W590">
        <v>9.9</v>
      </c>
      <c r="X590">
        <v>0.26200000000000001</v>
      </c>
      <c r="Y590" s="1" t="s">
        <v>707</v>
      </c>
      <c r="Z590">
        <v>2.4</v>
      </c>
      <c r="AA590">
        <v>3.1</v>
      </c>
      <c r="AB590">
        <v>5.5</v>
      </c>
      <c r="AC590">
        <v>3.4</v>
      </c>
    </row>
    <row r="591" spans="1:29" x14ac:dyDescent="0.35">
      <c r="A591">
        <v>590</v>
      </c>
      <c r="B591" s="1" t="s">
        <v>660</v>
      </c>
      <c r="C591" s="1" t="s">
        <v>51</v>
      </c>
      <c r="D591">
        <v>20</v>
      </c>
      <c r="E591" s="1" t="s">
        <v>34</v>
      </c>
      <c r="F591">
        <v>62</v>
      </c>
      <c r="G591">
        <v>1346</v>
      </c>
      <c r="H591">
        <v>9.6999999999999993</v>
      </c>
      <c r="I591">
        <v>0.55900000000000005</v>
      </c>
      <c r="J591">
        <v>0.57099999999999995</v>
      </c>
      <c r="K591">
        <v>0.13</v>
      </c>
      <c r="L591">
        <v>2</v>
      </c>
      <c r="M591">
        <v>8.1999999999999993</v>
      </c>
      <c r="N591">
        <v>5</v>
      </c>
      <c r="O591">
        <v>6.3</v>
      </c>
      <c r="P591">
        <v>1.2</v>
      </c>
      <c r="Q591">
        <v>0.8</v>
      </c>
      <c r="R591">
        <v>8.4</v>
      </c>
      <c r="S591">
        <v>14.9</v>
      </c>
      <c r="T591" s="1" t="s">
        <v>707</v>
      </c>
      <c r="U591">
        <v>1.1000000000000001</v>
      </c>
      <c r="V591">
        <v>1.1000000000000001</v>
      </c>
      <c r="W591">
        <v>2.2000000000000002</v>
      </c>
      <c r="X591">
        <v>0.08</v>
      </c>
      <c r="Y591" s="1" t="s">
        <v>707</v>
      </c>
      <c r="Z591">
        <v>-2.4</v>
      </c>
      <c r="AA591">
        <v>-0.6</v>
      </c>
      <c r="AB591">
        <v>-3</v>
      </c>
      <c r="AC591">
        <v>-0.3</v>
      </c>
    </row>
    <row r="592" spans="1:29" x14ac:dyDescent="0.35">
      <c r="A592">
        <v>591</v>
      </c>
      <c r="B592" s="1" t="s">
        <v>661</v>
      </c>
      <c r="C592" s="1" t="s">
        <v>28</v>
      </c>
      <c r="D592">
        <v>25</v>
      </c>
      <c r="E592" s="1" t="s">
        <v>32</v>
      </c>
      <c r="F592">
        <v>4</v>
      </c>
      <c r="G592">
        <v>54</v>
      </c>
      <c r="H592">
        <v>27.9</v>
      </c>
      <c r="I592">
        <v>0.77300000000000002</v>
      </c>
      <c r="J592">
        <v>0.13300000000000001</v>
      </c>
      <c r="K592">
        <v>0.66700000000000004</v>
      </c>
      <c r="L592">
        <v>1.9</v>
      </c>
      <c r="M592">
        <v>31.8</v>
      </c>
      <c r="N592">
        <v>16.100000000000001</v>
      </c>
      <c r="O592">
        <v>14.6</v>
      </c>
      <c r="P592">
        <v>4.5999999999999996</v>
      </c>
      <c r="Q592">
        <v>1.8</v>
      </c>
      <c r="R592">
        <v>9.3000000000000007</v>
      </c>
      <c r="S592">
        <v>17</v>
      </c>
      <c r="T592" s="1" t="s">
        <v>707</v>
      </c>
      <c r="U592">
        <v>0.2</v>
      </c>
      <c r="V592">
        <v>0.1</v>
      </c>
      <c r="W592">
        <v>0.4</v>
      </c>
      <c r="X592">
        <v>0.32800000000000001</v>
      </c>
      <c r="Y592" s="1" t="s">
        <v>707</v>
      </c>
      <c r="Z592">
        <v>1.8</v>
      </c>
      <c r="AA592">
        <v>3.2</v>
      </c>
      <c r="AB592">
        <v>5</v>
      </c>
      <c r="AC592">
        <v>0.1</v>
      </c>
    </row>
    <row r="593" spans="1:29" x14ac:dyDescent="0.35">
      <c r="A593">
        <v>592</v>
      </c>
      <c r="B593" s="1" t="s">
        <v>662</v>
      </c>
      <c r="C593" s="1" t="s">
        <v>51</v>
      </c>
      <c r="D593">
        <v>25</v>
      </c>
      <c r="E593" s="1" t="s">
        <v>46</v>
      </c>
      <c r="F593">
        <v>50</v>
      </c>
      <c r="G593">
        <v>459</v>
      </c>
      <c r="H593">
        <v>8.8000000000000007</v>
      </c>
      <c r="I593">
        <v>0.51900000000000002</v>
      </c>
      <c r="J593">
        <v>0.71399999999999997</v>
      </c>
      <c r="K593">
        <v>0.184</v>
      </c>
      <c r="L593">
        <v>5.2</v>
      </c>
      <c r="M593">
        <v>16</v>
      </c>
      <c r="N593">
        <v>10.7</v>
      </c>
      <c r="O593">
        <v>10</v>
      </c>
      <c r="P593">
        <v>1.5</v>
      </c>
      <c r="Q593">
        <v>0.6</v>
      </c>
      <c r="R593">
        <v>13.1</v>
      </c>
      <c r="S593">
        <v>11.8</v>
      </c>
      <c r="T593" s="1" t="s">
        <v>707</v>
      </c>
      <c r="U593">
        <v>0.2</v>
      </c>
      <c r="V593">
        <v>0.6</v>
      </c>
      <c r="W593">
        <v>0.8</v>
      </c>
      <c r="X593">
        <v>8.4000000000000005E-2</v>
      </c>
      <c r="Y593" s="1" t="s">
        <v>707</v>
      </c>
      <c r="Z593">
        <v>-2.9</v>
      </c>
      <c r="AA593">
        <v>1.2</v>
      </c>
      <c r="AB593">
        <v>-1.7</v>
      </c>
      <c r="AC593">
        <v>0</v>
      </c>
    </row>
    <row r="594" spans="1:29" x14ac:dyDescent="0.35">
      <c r="A594">
        <v>593</v>
      </c>
      <c r="B594" s="1" t="s">
        <v>663</v>
      </c>
      <c r="C594" s="1" t="s">
        <v>51</v>
      </c>
      <c r="D594">
        <v>25</v>
      </c>
      <c r="E594" s="1" t="s">
        <v>42</v>
      </c>
      <c r="F594">
        <v>48</v>
      </c>
      <c r="G594">
        <v>774</v>
      </c>
      <c r="H594">
        <v>13.1</v>
      </c>
      <c r="I594">
        <v>0.47899999999999998</v>
      </c>
      <c r="J594">
        <v>0.25700000000000001</v>
      </c>
      <c r="K594">
        <v>0.25700000000000001</v>
      </c>
      <c r="L594">
        <v>7</v>
      </c>
      <c r="M594">
        <v>20.9</v>
      </c>
      <c r="N594">
        <v>14</v>
      </c>
      <c r="O594">
        <v>16.100000000000001</v>
      </c>
      <c r="P594">
        <v>2.2000000000000002</v>
      </c>
      <c r="Q594">
        <v>2.9</v>
      </c>
      <c r="R594">
        <v>14.6</v>
      </c>
      <c r="S594">
        <v>18.899999999999999</v>
      </c>
      <c r="T594" s="1" t="s">
        <v>707</v>
      </c>
      <c r="U594">
        <v>-0.3</v>
      </c>
      <c r="V594">
        <v>1.1000000000000001</v>
      </c>
      <c r="W594">
        <v>0.8</v>
      </c>
      <c r="X594">
        <v>4.8000000000000001E-2</v>
      </c>
      <c r="Y594" s="1" t="s">
        <v>707</v>
      </c>
      <c r="Z594">
        <v>-2.7</v>
      </c>
      <c r="AA594">
        <v>1</v>
      </c>
      <c r="AB594">
        <v>-1.7</v>
      </c>
      <c r="AC594">
        <v>0.1</v>
      </c>
    </row>
    <row r="595" spans="1:29" x14ac:dyDescent="0.35">
      <c r="A595">
        <v>594</v>
      </c>
      <c r="B595" s="1" t="s">
        <v>664</v>
      </c>
      <c r="C595" s="1" t="s">
        <v>48</v>
      </c>
      <c r="D595">
        <v>23</v>
      </c>
      <c r="E595" s="1" t="s">
        <v>65</v>
      </c>
      <c r="F595">
        <v>7</v>
      </c>
      <c r="G595">
        <v>39</v>
      </c>
      <c r="H595">
        <v>6</v>
      </c>
      <c r="I595">
        <v>0.54900000000000004</v>
      </c>
      <c r="J595">
        <v>0.54500000000000004</v>
      </c>
      <c r="K595">
        <v>0.36399999999999999</v>
      </c>
      <c r="L595">
        <v>0</v>
      </c>
      <c r="M595">
        <v>2.8</v>
      </c>
      <c r="N595">
        <v>1.4</v>
      </c>
      <c r="O595">
        <v>24.4</v>
      </c>
      <c r="P595">
        <v>0</v>
      </c>
      <c r="Q595">
        <v>0</v>
      </c>
      <c r="R595">
        <v>19</v>
      </c>
      <c r="S595">
        <v>18</v>
      </c>
      <c r="T595" s="1" t="s">
        <v>707</v>
      </c>
      <c r="U595">
        <v>0</v>
      </c>
      <c r="V595">
        <v>0</v>
      </c>
      <c r="W595">
        <v>0</v>
      </c>
      <c r="X595">
        <v>1.4999999999999999E-2</v>
      </c>
      <c r="Y595" s="1" t="s">
        <v>707</v>
      </c>
      <c r="Z595">
        <v>-5.9</v>
      </c>
      <c r="AA595">
        <v>-3.5</v>
      </c>
      <c r="AB595">
        <v>-9.3000000000000007</v>
      </c>
      <c r="AC595">
        <v>-0.1</v>
      </c>
    </row>
    <row r="596" spans="1:29" x14ac:dyDescent="0.35">
      <c r="A596">
        <v>595</v>
      </c>
      <c r="B596" s="1" t="s">
        <v>665</v>
      </c>
      <c r="C596" s="1" t="s">
        <v>31</v>
      </c>
      <c r="D596">
        <v>26</v>
      </c>
      <c r="E596" s="1" t="s">
        <v>170</v>
      </c>
      <c r="F596">
        <v>68</v>
      </c>
      <c r="G596">
        <v>2094</v>
      </c>
      <c r="H596">
        <v>19.100000000000001</v>
      </c>
      <c r="I596">
        <v>0.59499999999999997</v>
      </c>
      <c r="J596">
        <v>0.38300000000000001</v>
      </c>
      <c r="K596">
        <v>0.378</v>
      </c>
      <c r="L596">
        <v>5.7</v>
      </c>
      <c r="M596">
        <v>30.4</v>
      </c>
      <c r="N596">
        <v>18</v>
      </c>
      <c r="O596">
        <v>12.2</v>
      </c>
      <c r="P596">
        <v>1.2</v>
      </c>
      <c r="Q596">
        <v>2.8</v>
      </c>
      <c r="R596">
        <v>11</v>
      </c>
      <c r="S596">
        <v>23.3</v>
      </c>
      <c r="T596" s="1" t="s">
        <v>707</v>
      </c>
      <c r="U596">
        <v>2.9</v>
      </c>
      <c r="V596">
        <v>2</v>
      </c>
      <c r="W596">
        <v>4.9000000000000004</v>
      </c>
      <c r="X596">
        <v>0.112</v>
      </c>
      <c r="Y596" s="1" t="s">
        <v>707</v>
      </c>
      <c r="Z596">
        <v>2.1</v>
      </c>
      <c r="AA596">
        <v>-0.4</v>
      </c>
      <c r="AB596">
        <v>1.6</v>
      </c>
      <c r="AC596">
        <v>1.9</v>
      </c>
    </row>
    <row r="597" spans="1:29" x14ac:dyDescent="0.35">
      <c r="A597">
        <v>596</v>
      </c>
      <c r="B597" s="1" t="s">
        <v>666</v>
      </c>
      <c r="C597" s="1" t="s">
        <v>51</v>
      </c>
      <c r="D597">
        <v>22</v>
      </c>
      <c r="E597" s="1" t="s">
        <v>82</v>
      </c>
      <c r="F597">
        <v>12</v>
      </c>
      <c r="G597">
        <v>42</v>
      </c>
      <c r="H597">
        <v>2.1</v>
      </c>
      <c r="I597">
        <v>0.20699999999999999</v>
      </c>
      <c r="J597">
        <v>0.25</v>
      </c>
      <c r="K597">
        <v>0.125</v>
      </c>
      <c r="L597">
        <v>12.8</v>
      </c>
      <c r="M597">
        <v>15.7</v>
      </c>
      <c r="N597">
        <v>14.3</v>
      </c>
      <c r="O597">
        <v>9</v>
      </c>
      <c r="P597">
        <v>1.1000000000000001</v>
      </c>
      <c r="Q597">
        <v>2.1</v>
      </c>
      <c r="R597">
        <v>5.6</v>
      </c>
      <c r="S597">
        <v>18.3</v>
      </c>
      <c r="T597" s="1" t="s">
        <v>707</v>
      </c>
      <c r="U597">
        <v>-0.2</v>
      </c>
      <c r="V597">
        <v>0</v>
      </c>
      <c r="W597">
        <v>-0.1</v>
      </c>
      <c r="X597">
        <v>-0.14699999999999999</v>
      </c>
      <c r="Y597" s="1" t="s">
        <v>707</v>
      </c>
      <c r="Z597">
        <v>-6.8</v>
      </c>
      <c r="AA597">
        <v>-3.6</v>
      </c>
      <c r="AB597">
        <v>-10.4</v>
      </c>
      <c r="AC597">
        <v>-0.1</v>
      </c>
    </row>
    <row r="598" spans="1:29" x14ac:dyDescent="0.35">
      <c r="A598">
        <v>597</v>
      </c>
      <c r="B598" s="1" t="s">
        <v>667</v>
      </c>
      <c r="C598" s="1" t="s">
        <v>41</v>
      </c>
      <c r="D598">
        <v>29</v>
      </c>
      <c r="E598" s="1" t="s">
        <v>80</v>
      </c>
      <c r="F598">
        <v>77</v>
      </c>
      <c r="G598">
        <v>1452</v>
      </c>
      <c r="H598">
        <v>13.8</v>
      </c>
      <c r="I598">
        <v>0.57599999999999996</v>
      </c>
      <c r="J598">
        <v>0.43099999999999999</v>
      </c>
      <c r="K598">
        <v>0.23400000000000001</v>
      </c>
      <c r="L598">
        <v>3.8</v>
      </c>
      <c r="M598">
        <v>12.7</v>
      </c>
      <c r="N598">
        <v>8.3000000000000007</v>
      </c>
      <c r="O598">
        <v>16.600000000000001</v>
      </c>
      <c r="P598">
        <v>3.1</v>
      </c>
      <c r="Q598">
        <v>1.2</v>
      </c>
      <c r="R598">
        <v>13.2</v>
      </c>
      <c r="S598">
        <v>10.3</v>
      </c>
      <c r="T598" s="1" t="s">
        <v>707</v>
      </c>
      <c r="U598">
        <v>2.2000000000000002</v>
      </c>
      <c r="V598">
        <v>1.5</v>
      </c>
      <c r="W598">
        <v>3.6</v>
      </c>
      <c r="X598">
        <v>0.121</v>
      </c>
      <c r="Y598" s="1" t="s">
        <v>707</v>
      </c>
      <c r="Z598">
        <v>-0.2</v>
      </c>
      <c r="AA598">
        <v>2.4</v>
      </c>
      <c r="AB598">
        <v>2.2000000000000002</v>
      </c>
      <c r="AC598">
        <v>1.6</v>
      </c>
    </row>
    <row r="599" spans="1:29" x14ac:dyDescent="0.35">
      <c r="A599">
        <v>598</v>
      </c>
      <c r="B599" s="1" t="s">
        <v>668</v>
      </c>
      <c r="C599" s="1" t="s">
        <v>48</v>
      </c>
      <c r="D599">
        <v>23</v>
      </c>
      <c r="E599" s="1" t="s">
        <v>99</v>
      </c>
      <c r="F599">
        <v>5</v>
      </c>
      <c r="G599">
        <v>19</v>
      </c>
      <c r="H599">
        <v>9.5</v>
      </c>
      <c r="I599">
        <v>0.83299999999999996</v>
      </c>
      <c r="J599">
        <v>0.66700000000000004</v>
      </c>
      <c r="K599">
        <v>0</v>
      </c>
      <c r="L599">
        <v>0</v>
      </c>
      <c r="M599">
        <v>0</v>
      </c>
      <c r="N599">
        <v>0</v>
      </c>
      <c r="O599">
        <v>20.9</v>
      </c>
      <c r="P599">
        <v>0</v>
      </c>
      <c r="Q599">
        <v>0</v>
      </c>
      <c r="R599">
        <v>25</v>
      </c>
      <c r="S599">
        <v>8.8000000000000007</v>
      </c>
      <c r="T599" s="1" t="s">
        <v>707</v>
      </c>
      <c r="U599">
        <v>0</v>
      </c>
      <c r="V599">
        <v>0</v>
      </c>
      <c r="W599">
        <v>0</v>
      </c>
      <c r="X599">
        <v>9.1999999999999998E-2</v>
      </c>
      <c r="Y599" s="1" t="s">
        <v>707</v>
      </c>
      <c r="Z599">
        <v>-1.4</v>
      </c>
      <c r="AA599">
        <v>-2.8</v>
      </c>
      <c r="AB599">
        <v>-4.2</v>
      </c>
      <c r="AC599">
        <v>0</v>
      </c>
    </row>
    <row r="600" spans="1:29" x14ac:dyDescent="0.35">
      <c r="A600">
        <v>599</v>
      </c>
      <c r="B600" s="1" t="s">
        <v>669</v>
      </c>
      <c r="C600" s="1" t="s">
        <v>28</v>
      </c>
      <c r="D600">
        <v>23</v>
      </c>
      <c r="E600" s="1" t="s">
        <v>42</v>
      </c>
      <c r="F600">
        <v>4</v>
      </c>
      <c r="G600">
        <v>14</v>
      </c>
      <c r="H600">
        <v>18.3</v>
      </c>
      <c r="I600">
        <v>0.47</v>
      </c>
      <c r="J600">
        <v>0.25</v>
      </c>
      <c r="K600">
        <v>0.75</v>
      </c>
      <c r="L600">
        <v>7.9</v>
      </c>
      <c r="M600">
        <v>15.9</v>
      </c>
      <c r="N600">
        <v>11.9</v>
      </c>
      <c r="O600">
        <v>16.8</v>
      </c>
      <c r="P600">
        <v>0</v>
      </c>
      <c r="Q600">
        <v>6.5</v>
      </c>
      <c r="R600">
        <v>0</v>
      </c>
      <c r="S600">
        <v>17.100000000000001</v>
      </c>
      <c r="T600" s="1" t="s">
        <v>707</v>
      </c>
      <c r="U600">
        <v>0</v>
      </c>
      <c r="V600">
        <v>0</v>
      </c>
      <c r="W600">
        <v>0.1</v>
      </c>
      <c r="X600">
        <v>0.18</v>
      </c>
      <c r="Y600" s="1" t="s">
        <v>707</v>
      </c>
      <c r="Z600">
        <v>1.1000000000000001</v>
      </c>
      <c r="AA600">
        <v>0.4</v>
      </c>
      <c r="AB600">
        <v>1.4</v>
      </c>
      <c r="AC600">
        <v>0</v>
      </c>
    </row>
    <row r="601" spans="1:29" x14ac:dyDescent="0.35">
      <c r="A601">
        <v>600</v>
      </c>
      <c r="B601" s="1" t="s">
        <v>670</v>
      </c>
      <c r="C601" s="1" t="s">
        <v>41</v>
      </c>
      <c r="D601">
        <v>28</v>
      </c>
      <c r="E601" s="1" t="s">
        <v>108</v>
      </c>
      <c r="F601">
        <v>2</v>
      </c>
      <c r="G601">
        <v>21</v>
      </c>
      <c r="H601">
        <v>12.7</v>
      </c>
      <c r="I601">
        <v>0.435</v>
      </c>
      <c r="J601">
        <v>0.85699999999999998</v>
      </c>
      <c r="K601">
        <v>0.71399999999999997</v>
      </c>
      <c r="L601">
        <v>0</v>
      </c>
      <c r="M601">
        <v>10.8</v>
      </c>
      <c r="N601">
        <v>5.3</v>
      </c>
      <c r="O601">
        <v>25.1</v>
      </c>
      <c r="P601">
        <v>4.7</v>
      </c>
      <c r="Q601">
        <v>4.0999999999999996</v>
      </c>
      <c r="R601">
        <v>9.8000000000000007</v>
      </c>
      <c r="S601">
        <v>20.8</v>
      </c>
      <c r="T601" s="1" t="s">
        <v>707</v>
      </c>
      <c r="U601">
        <v>0</v>
      </c>
      <c r="V601">
        <v>0</v>
      </c>
      <c r="W601">
        <v>0</v>
      </c>
      <c r="X601">
        <v>5.8999999999999997E-2</v>
      </c>
      <c r="Y601" s="1" t="s">
        <v>707</v>
      </c>
      <c r="Z601">
        <v>-3.7</v>
      </c>
      <c r="AA601">
        <v>2.2000000000000002</v>
      </c>
      <c r="AB601">
        <v>-1.5</v>
      </c>
      <c r="AC601">
        <v>0</v>
      </c>
    </row>
    <row r="602" spans="1:29" x14ac:dyDescent="0.35">
      <c r="A602">
        <v>601</v>
      </c>
      <c r="B602" s="1" t="s">
        <v>671</v>
      </c>
      <c r="C602" s="1" t="s">
        <v>28</v>
      </c>
      <c r="D602">
        <v>33</v>
      </c>
      <c r="E602" s="1" t="s">
        <v>42</v>
      </c>
      <c r="F602">
        <v>52</v>
      </c>
      <c r="G602">
        <v>845</v>
      </c>
      <c r="H602">
        <v>17</v>
      </c>
      <c r="I602">
        <v>0.54800000000000004</v>
      </c>
      <c r="J602">
        <v>0.17599999999999999</v>
      </c>
      <c r="K602">
        <v>0.18</v>
      </c>
      <c r="L602">
        <v>9.8000000000000007</v>
      </c>
      <c r="M602">
        <v>16.8</v>
      </c>
      <c r="N602">
        <v>13.1</v>
      </c>
      <c r="O602">
        <v>17.7</v>
      </c>
      <c r="P602">
        <v>3.1</v>
      </c>
      <c r="Q602">
        <v>2</v>
      </c>
      <c r="R602">
        <v>15</v>
      </c>
      <c r="S602">
        <v>17.399999999999999</v>
      </c>
      <c r="T602" s="1" t="s">
        <v>707</v>
      </c>
      <c r="U602">
        <v>0.9</v>
      </c>
      <c r="V602">
        <v>1.3</v>
      </c>
      <c r="W602">
        <v>2.2000000000000002</v>
      </c>
      <c r="X602">
        <v>0.126</v>
      </c>
      <c r="Y602" s="1" t="s">
        <v>707</v>
      </c>
      <c r="Z602">
        <v>0.1</v>
      </c>
      <c r="AA602">
        <v>2.1</v>
      </c>
      <c r="AB602">
        <v>2.2000000000000002</v>
      </c>
      <c r="AC602">
        <v>0.9</v>
      </c>
    </row>
    <row r="603" spans="1:29" x14ac:dyDescent="0.35">
      <c r="A603">
        <v>602</v>
      </c>
      <c r="B603" s="1" t="s">
        <v>672</v>
      </c>
      <c r="C603" s="1" t="s">
        <v>48</v>
      </c>
      <c r="D603">
        <v>23</v>
      </c>
      <c r="E603" s="1" t="s">
        <v>80</v>
      </c>
      <c r="F603">
        <v>76</v>
      </c>
      <c r="G603">
        <v>2652</v>
      </c>
      <c r="H603">
        <v>25.4</v>
      </c>
      <c r="I603">
        <v>0.60299999999999998</v>
      </c>
      <c r="J603">
        <v>0.39500000000000002</v>
      </c>
      <c r="K603">
        <v>0.35799999999999998</v>
      </c>
      <c r="L603">
        <v>2.1</v>
      </c>
      <c r="M603">
        <v>9.6</v>
      </c>
      <c r="N603">
        <v>5.9</v>
      </c>
      <c r="O603">
        <v>46.7</v>
      </c>
      <c r="P603">
        <v>1.3</v>
      </c>
      <c r="Q603">
        <v>0.2</v>
      </c>
      <c r="R603">
        <v>14.5</v>
      </c>
      <c r="S603">
        <v>34.4</v>
      </c>
      <c r="T603" s="1" t="s">
        <v>707</v>
      </c>
      <c r="U603">
        <v>9</v>
      </c>
      <c r="V603">
        <v>1</v>
      </c>
      <c r="W603">
        <v>10</v>
      </c>
      <c r="X603">
        <v>0.18099999999999999</v>
      </c>
      <c r="Y603" s="1" t="s">
        <v>707</v>
      </c>
      <c r="Z603">
        <v>7.1</v>
      </c>
      <c r="AA603">
        <v>-2</v>
      </c>
      <c r="AB603">
        <v>5.2</v>
      </c>
      <c r="AC603">
        <v>4.8</v>
      </c>
    </row>
    <row r="604" spans="1:29" x14ac:dyDescent="0.35">
      <c r="A604">
        <v>603</v>
      </c>
      <c r="B604" s="1" t="s">
        <v>673</v>
      </c>
      <c r="C604" s="1" t="s">
        <v>31</v>
      </c>
      <c r="D604">
        <v>23</v>
      </c>
      <c r="E604" s="1" t="s">
        <v>36</v>
      </c>
      <c r="F604">
        <v>56</v>
      </c>
      <c r="G604">
        <v>706</v>
      </c>
      <c r="H604">
        <v>17.399999999999999</v>
      </c>
      <c r="I604">
        <v>0.54600000000000004</v>
      </c>
      <c r="J604">
        <v>4.4999999999999998E-2</v>
      </c>
      <c r="K604">
        <v>0.247</v>
      </c>
      <c r="L604">
        <v>13.9</v>
      </c>
      <c r="M604">
        <v>33</v>
      </c>
      <c r="N604">
        <v>23.6</v>
      </c>
      <c r="O604">
        <v>11</v>
      </c>
      <c r="P604">
        <v>1.2</v>
      </c>
      <c r="Q604">
        <v>3</v>
      </c>
      <c r="R604">
        <v>13</v>
      </c>
      <c r="S604">
        <v>19.899999999999999</v>
      </c>
      <c r="T604" s="1" t="s">
        <v>707</v>
      </c>
      <c r="U604">
        <v>0.8</v>
      </c>
      <c r="V604">
        <v>1.4</v>
      </c>
      <c r="W604">
        <v>2.1</v>
      </c>
      <c r="X604">
        <v>0.14499999999999999</v>
      </c>
      <c r="Y604" s="1" t="s">
        <v>707</v>
      </c>
      <c r="Z604">
        <v>-1.4</v>
      </c>
      <c r="AA604">
        <v>0.4</v>
      </c>
      <c r="AB604">
        <v>-1</v>
      </c>
      <c r="AC604">
        <v>0.2</v>
      </c>
    </row>
    <row r="605" spans="1:29" x14ac:dyDescent="0.35">
      <c r="A605">
        <v>604</v>
      </c>
      <c r="B605" s="1" t="s">
        <v>674</v>
      </c>
      <c r="C605" s="1" t="s">
        <v>31</v>
      </c>
      <c r="D605">
        <v>29</v>
      </c>
      <c r="E605" s="1" t="s">
        <v>114</v>
      </c>
      <c r="F605">
        <v>27</v>
      </c>
      <c r="G605">
        <v>355</v>
      </c>
      <c r="H605">
        <v>17.2</v>
      </c>
      <c r="I605">
        <v>0.627</v>
      </c>
      <c r="J605">
        <v>4.3999999999999997E-2</v>
      </c>
      <c r="K605">
        <v>0.54400000000000004</v>
      </c>
      <c r="L605">
        <v>14.9</v>
      </c>
      <c r="M605">
        <v>24.1</v>
      </c>
      <c r="N605">
        <v>19.3</v>
      </c>
      <c r="O605">
        <v>9.4</v>
      </c>
      <c r="P605">
        <v>1.1000000000000001</v>
      </c>
      <c r="Q605">
        <v>1.7</v>
      </c>
      <c r="R605">
        <v>14.6</v>
      </c>
      <c r="S605">
        <v>15.9</v>
      </c>
      <c r="T605" s="1" t="s">
        <v>707</v>
      </c>
      <c r="U605">
        <v>0.9</v>
      </c>
      <c r="V605">
        <v>0.2</v>
      </c>
      <c r="W605">
        <v>1.1000000000000001</v>
      </c>
      <c r="X605">
        <v>0.14299999999999999</v>
      </c>
      <c r="Y605" s="1" t="s">
        <v>707</v>
      </c>
      <c r="Z605">
        <v>-1.2</v>
      </c>
      <c r="AA605">
        <v>-1</v>
      </c>
      <c r="AB605">
        <v>-2.2000000000000002</v>
      </c>
      <c r="AC605">
        <v>0</v>
      </c>
    </row>
    <row r="606" spans="1:29" x14ac:dyDescent="0.35">
      <c r="A606">
        <v>605</v>
      </c>
      <c r="B606" s="1" t="s">
        <v>675</v>
      </c>
      <c r="C606" s="1" t="s">
        <v>31</v>
      </c>
      <c r="D606">
        <v>24</v>
      </c>
      <c r="E606" s="1" t="s">
        <v>93</v>
      </c>
      <c r="F606">
        <v>76</v>
      </c>
      <c r="G606">
        <v>1852</v>
      </c>
      <c r="H606">
        <v>19.2</v>
      </c>
      <c r="I606">
        <v>0.66</v>
      </c>
      <c r="J606">
        <v>0</v>
      </c>
      <c r="K606">
        <v>0.45900000000000002</v>
      </c>
      <c r="L606">
        <v>12.8</v>
      </c>
      <c r="M606">
        <v>23.7</v>
      </c>
      <c r="N606">
        <v>18.399999999999999</v>
      </c>
      <c r="O606">
        <v>9.8000000000000007</v>
      </c>
      <c r="P606">
        <v>1</v>
      </c>
      <c r="Q606">
        <v>3.5</v>
      </c>
      <c r="R606">
        <v>16.100000000000001</v>
      </c>
      <c r="S606">
        <v>16.8</v>
      </c>
      <c r="T606" s="1" t="s">
        <v>707</v>
      </c>
      <c r="U606">
        <v>4.3</v>
      </c>
      <c r="V606">
        <v>2.9</v>
      </c>
      <c r="W606">
        <v>7.2</v>
      </c>
      <c r="X606">
        <v>0.187</v>
      </c>
      <c r="Y606" s="1" t="s">
        <v>707</v>
      </c>
      <c r="Z606">
        <v>-0.1</v>
      </c>
      <c r="AA606">
        <v>0.8</v>
      </c>
      <c r="AB606">
        <v>0.7</v>
      </c>
      <c r="AC606">
        <v>1.3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G p z X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G p z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c 1 1 Q m g K x K 7 g E A A O w H A A A T A B w A R m 9 y b X V s Y X M v U 2 V j d G l v b j E u b S C i G A A o o B Q A A A A A A A A A A A A A A A A A A A A A A A A A A A D t l F 1 v m z A U h u 8 j 5 T 9 Y r i Y l E m M J 6 a p 9 i A s C T T a t H S y 4 2 U U z T Q 6 c p a x g R 7 a J F k X 9 7 3 M T t l b h b L v p 5 b g B H t v P O U a 8 1 p C Z Q g q S H u 7 D t 9 1 O t 6 N v u I K c i C X 3 h p 5 H f F K C 6 X a I v V J Z q w w s C f X G j W R W V y B M b 1 K U 4 I Z S G P u i e z R 8 s 7 j S o P T i + 1 p I t Y h A 3 x q 5 X j Q 6 N 9 M b 2 n e u I y i L q j C g f O p Q h 4 S y r C u h / d H A I e c i k 3 k h V v 7 Z y 8 F g 6 J B P t T S Q m m 0 J / s O j + 1 E K + N J 3 D o 2 d 0 E T J y o 7 l 5 B 3 w 3 F a n t k v G l 3 Z i M 9 L w 3 m E P D r l u e F C W a c Z L r r R v V P 1 Y G d 5 w s b J G t l 3 D g 4 4 p L v Q 3 q a p D y / e D u o f U d 3 Y 7 O r u 1 W 3 s v z N m p e z / v z i E 7 m p R 8 C 8 p y Y w k x 8 M M c s N Q t F q y g v Z 5 V r X n T 9 q x p 2 m a X y a + V o q 6 W o P Z w M k V h g N J n C B 1 h 1 l G C C U Y J J v A w g Y c K P F Q A e G M T h k J 0 Z w w T x L M x Q i O U M p Q G K d Z D y i 4 Q O r 7 4 g H n j O U K T C Q Z Z e k T v + t 1 O I d D f + X H Q T 2 i T z e c 8 3 3 C R Q U 6 f O P S / x f 9 I v / f 6 f / q f I v 3 7 p B 9 X P p 9 h / 1 e K Z z p Q a E w w a m O C O S I c M x z b p G D Y R g X D N i u o O 5 5 j + C p F z 4 f W h 4 w / H w d o v w + U / g G + O H 2 F 8 K / D d q 1 x c o k V w z F O 5 / H s + O j 8 W + J / A l B L A Q I t A B Q A A g A I A B q c 1 1 Q K V H B p p A A A A P c A A A A S A A A A A A A A A A A A A A A A A A A A A A B D b 2 5 m a W c v U G F j a 2 F n Z S 5 4 b W x Q S w E C L Q A U A A I A C A A a n N d U D 8 r p q 6 Q A A A D p A A A A E w A A A A A A A A A A A A A A A A D w A A A A W 0 N v b n R l b n R f V H l w Z X N d L n h t b F B L A Q I t A B Q A A g A I A B q c 1 1 Q m g K x K 7 g E A A O w H A A A T A A A A A A A A A A A A A A A A A O E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I u A A A A A A A A 0 C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m E y M T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5 i Y T I x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z V D E 5 O j Q x O j Q x L j A y O D I x N z l a I i A v P j x F b n R y e S B U e X B l P S J G a W x s Q 2 9 s d W 1 u V H l w Z X M i I F Z h b H V l P S J z Q X d Z R 0 F 3 W U R B d 1 V G Q l F V R k J R V U Z C U V V G Q l F V R k J R V U Z C U V V G Q l F V R i I g L z 4 8 R W 5 0 c n k g V H l w Z T 0 i R m l s b E N v b H V t b k 5 h b W V z I i B W Y W x 1 Z T 0 i c 1 s m c X V v d D t S a y Z x d W 9 0 O y w m c X V v d D t Q b G F 5 Z X I m c X V v d D s s J n F 1 b 3 Q 7 U G 9 z J n F 1 b 3 Q 7 L C Z x d W 9 0 O 0 F n Z S Z x d W 9 0 O y w m c X V v d D t U b S Z x d W 9 0 O y w m c X V v d D t H J n F 1 b 3 Q 7 L C Z x d W 9 0 O 0 d T J n F 1 b 3 Q 7 L C Z x d W 9 0 O 0 1 Q J n F 1 b 3 Q 7 L C Z x d W 9 0 O 0 Z H J n F 1 b 3 Q 7 L C Z x d W 9 0 O 0 Z H Q S Z x d W 9 0 O y w m c X V v d D t G R y U m c X V v d D s s J n F 1 b 3 Q 7 M 1 A m c X V v d D s s J n F 1 b 3 Q 7 M 1 B B J n F 1 b 3 Q 7 L C Z x d W 9 0 O z N Q J S Z x d W 9 0 O y w m c X V v d D s y U C Z x d W 9 0 O y w m c X V v d D s y U E E m c X V v d D s s J n F 1 b 3 Q 7 M l A l J n F 1 b 3 Q 7 L C Z x d W 9 0 O 2 V G R y U m c X V v d D s s J n F 1 b 3 Q 7 R l Q m c X V v d D s s J n F 1 b 3 Q 7 R l R B J n F 1 b 3 Q 7 L C Z x d W 9 0 O 0 Z U J S Z x d W 9 0 O y w m c X V v d D t P U k I m c X V v d D s s J n F 1 b 3 Q 7 R F J C J n F 1 b 3 Q 7 L C Z x d W 9 0 O 1 R S Q i Z x d W 9 0 O y w m c X V v d D t B U 1 Q m c X V v d D s s J n F 1 b 3 Q 7 U 1 R M J n F 1 b 3 Q 7 L C Z x d W 9 0 O 0 J M S y Z x d W 9 0 O y w m c X V v d D t U T 1 Y m c X V v d D s s J n F 1 b 3 Q 7 U E Y m c X V v d D s s J n F 1 b 3 Q 7 U F R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i Y T I x M j I v Q X V 0 b 1 J l b W 9 2 Z W R D b 2 x 1 b W 5 z M S 5 7 U m s s M H 0 m c X V v d D s s J n F 1 b 3 Q 7 U 2 V j d G l v b j E v b m J h M j E y M i 9 B d X R v U m V t b 3 Z l Z E N v b H V t b n M x L n t Q b G F 5 Z X I s M X 0 m c X V v d D s s J n F 1 b 3 Q 7 U 2 V j d G l v b j E v b m J h M j E y M i 9 B d X R v U m V t b 3 Z l Z E N v b H V t b n M x L n t Q b 3 M s M n 0 m c X V v d D s s J n F 1 b 3 Q 7 U 2 V j d G l v b j E v b m J h M j E y M i 9 B d X R v U m V t b 3 Z l Z E N v b H V t b n M x L n t B Z 2 U s M 3 0 m c X V v d D s s J n F 1 b 3 Q 7 U 2 V j d G l v b j E v b m J h M j E y M i 9 B d X R v U m V t b 3 Z l Z E N v b H V t b n M x L n t U b S w 0 f S Z x d W 9 0 O y w m c X V v d D t T Z W N 0 a W 9 u M S 9 u Y m E y M T I y L 0 F 1 d G 9 S Z W 1 v d m V k Q 2 9 s d W 1 u c z E u e 0 c s N X 0 m c X V v d D s s J n F 1 b 3 Q 7 U 2 V j d G l v b j E v b m J h M j E y M i 9 B d X R v U m V t b 3 Z l Z E N v b H V t b n M x L n t H U y w 2 f S Z x d W 9 0 O y w m c X V v d D t T Z W N 0 a W 9 u M S 9 u Y m E y M T I y L 0 F 1 d G 9 S Z W 1 v d m V k Q 2 9 s d W 1 u c z E u e 0 1 Q L D d 9 J n F 1 b 3 Q 7 L C Z x d W 9 0 O 1 N l Y 3 R p b 2 4 x L 2 5 i Y T I x M j I v Q X V 0 b 1 J l b W 9 2 Z W R D b 2 x 1 b W 5 z M S 5 7 R k c s O H 0 m c X V v d D s s J n F 1 b 3 Q 7 U 2 V j d G l v b j E v b m J h M j E y M i 9 B d X R v U m V t b 3 Z l Z E N v b H V t b n M x L n t G R 0 E s O X 0 m c X V v d D s s J n F 1 b 3 Q 7 U 2 V j d G l v b j E v b m J h M j E y M i 9 B d X R v U m V t b 3 Z l Z E N v b H V t b n M x L n t G R y U s M T B 9 J n F 1 b 3 Q 7 L C Z x d W 9 0 O 1 N l Y 3 R p b 2 4 x L 2 5 i Y T I x M j I v Q X V 0 b 1 J l b W 9 2 Z W R D b 2 x 1 b W 5 z M S 5 7 M 1 A s M T F 9 J n F 1 b 3 Q 7 L C Z x d W 9 0 O 1 N l Y 3 R p b 2 4 x L 2 5 i Y T I x M j I v Q X V 0 b 1 J l b W 9 2 Z W R D b 2 x 1 b W 5 z M S 5 7 M 1 B B L D E y f S Z x d W 9 0 O y w m c X V v d D t T Z W N 0 a W 9 u M S 9 u Y m E y M T I y L 0 F 1 d G 9 S Z W 1 v d m V k Q 2 9 s d W 1 u c z E u e z N Q J S w x M 3 0 m c X V v d D s s J n F 1 b 3 Q 7 U 2 V j d G l v b j E v b m J h M j E y M i 9 B d X R v U m V t b 3 Z l Z E N v b H V t b n M x L n s y U C w x N H 0 m c X V v d D s s J n F 1 b 3 Q 7 U 2 V j d G l v b j E v b m J h M j E y M i 9 B d X R v U m V t b 3 Z l Z E N v b H V t b n M x L n s y U E E s M T V 9 J n F 1 b 3 Q 7 L C Z x d W 9 0 O 1 N l Y 3 R p b 2 4 x L 2 5 i Y T I x M j I v Q X V 0 b 1 J l b W 9 2 Z W R D b 2 x 1 b W 5 z M S 5 7 M l A l L D E 2 f S Z x d W 9 0 O y w m c X V v d D t T Z W N 0 a W 9 u M S 9 u Y m E y M T I y L 0 F 1 d G 9 S Z W 1 v d m V k Q 2 9 s d W 1 u c z E u e 2 V G R y U s M T d 9 J n F 1 b 3 Q 7 L C Z x d W 9 0 O 1 N l Y 3 R p b 2 4 x L 2 5 i Y T I x M j I v Q X V 0 b 1 J l b W 9 2 Z W R D b 2 x 1 b W 5 z M S 5 7 R l Q s M T h 9 J n F 1 b 3 Q 7 L C Z x d W 9 0 O 1 N l Y 3 R p b 2 4 x L 2 5 i Y T I x M j I v Q X V 0 b 1 J l b W 9 2 Z W R D b 2 x 1 b W 5 z M S 5 7 R l R B L D E 5 f S Z x d W 9 0 O y w m c X V v d D t T Z W N 0 a W 9 u M S 9 u Y m E y M T I y L 0 F 1 d G 9 S Z W 1 v d m V k Q 2 9 s d W 1 u c z E u e 0 Z U J S w y M H 0 m c X V v d D s s J n F 1 b 3 Q 7 U 2 V j d G l v b j E v b m J h M j E y M i 9 B d X R v U m V t b 3 Z l Z E N v b H V t b n M x L n t P U k I s M j F 9 J n F 1 b 3 Q 7 L C Z x d W 9 0 O 1 N l Y 3 R p b 2 4 x L 2 5 i Y T I x M j I v Q X V 0 b 1 J l b W 9 2 Z W R D b 2 x 1 b W 5 z M S 5 7 R F J C L D I y f S Z x d W 9 0 O y w m c X V v d D t T Z W N 0 a W 9 u M S 9 u Y m E y M T I y L 0 F 1 d G 9 S Z W 1 v d m V k Q 2 9 s d W 1 u c z E u e 1 R S Q i w y M 3 0 m c X V v d D s s J n F 1 b 3 Q 7 U 2 V j d G l v b j E v b m J h M j E y M i 9 B d X R v U m V t b 3 Z l Z E N v b H V t b n M x L n t B U 1 Q s M j R 9 J n F 1 b 3 Q 7 L C Z x d W 9 0 O 1 N l Y 3 R p b 2 4 x L 2 5 i Y T I x M j I v Q X V 0 b 1 J l b W 9 2 Z W R D b 2 x 1 b W 5 z M S 5 7 U 1 R M L D I 1 f S Z x d W 9 0 O y w m c X V v d D t T Z W N 0 a W 9 u M S 9 u Y m E y M T I y L 0 F 1 d G 9 S Z W 1 v d m V k Q 2 9 s d W 1 u c z E u e 0 J M S y w y N n 0 m c X V v d D s s J n F 1 b 3 Q 7 U 2 V j d G l v b j E v b m J h M j E y M i 9 B d X R v U m V t b 3 Z l Z E N v b H V t b n M x L n t U T 1 Y s M j d 9 J n F 1 b 3 Q 7 L C Z x d W 9 0 O 1 N l Y 3 R p b 2 4 x L 2 5 i Y T I x M j I v Q X V 0 b 1 J l b W 9 2 Z W R D b 2 x 1 b W 5 z M S 5 7 U E Y s M j h 9 J n F 1 b 3 Q 7 L C Z x d W 9 0 O 1 N l Y 3 R p b 2 4 x L 2 5 i Y T I x M j I v Q X V 0 b 1 J l b W 9 2 Z W R D b 2 x 1 b W 5 z M S 5 7 U F R T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b m J h M j E y M i 9 B d X R v U m V t b 3 Z l Z E N v b H V t b n M x L n t S a y w w f S Z x d W 9 0 O y w m c X V v d D t T Z W N 0 a W 9 u M S 9 u Y m E y M T I y L 0 F 1 d G 9 S Z W 1 v d m V k Q 2 9 s d W 1 u c z E u e 1 B s Y X l l c i w x f S Z x d W 9 0 O y w m c X V v d D t T Z W N 0 a W 9 u M S 9 u Y m E y M T I y L 0 F 1 d G 9 S Z W 1 v d m V k Q 2 9 s d W 1 u c z E u e 1 B v c y w y f S Z x d W 9 0 O y w m c X V v d D t T Z W N 0 a W 9 u M S 9 u Y m E y M T I y L 0 F 1 d G 9 S Z W 1 v d m V k Q 2 9 s d W 1 u c z E u e 0 F n Z S w z f S Z x d W 9 0 O y w m c X V v d D t T Z W N 0 a W 9 u M S 9 u Y m E y M T I y L 0 F 1 d G 9 S Z W 1 v d m V k Q 2 9 s d W 1 u c z E u e 1 R t L D R 9 J n F 1 b 3 Q 7 L C Z x d W 9 0 O 1 N l Y 3 R p b 2 4 x L 2 5 i Y T I x M j I v Q X V 0 b 1 J l b W 9 2 Z W R D b 2 x 1 b W 5 z M S 5 7 R y w 1 f S Z x d W 9 0 O y w m c X V v d D t T Z W N 0 a W 9 u M S 9 u Y m E y M T I y L 0 F 1 d G 9 S Z W 1 v d m V k Q 2 9 s d W 1 u c z E u e 0 d T L D Z 9 J n F 1 b 3 Q 7 L C Z x d W 9 0 O 1 N l Y 3 R p b 2 4 x L 2 5 i Y T I x M j I v Q X V 0 b 1 J l b W 9 2 Z W R D b 2 x 1 b W 5 z M S 5 7 T V A s N 3 0 m c X V v d D s s J n F 1 b 3 Q 7 U 2 V j d G l v b j E v b m J h M j E y M i 9 B d X R v U m V t b 3 Z l Z E N v b H V t b n M x L n t G R y w 4 f S Z x d W 9 0 O y w m c X V v d D t T Z W N 0 a W 9 u M S 9 u Y m E y M T I y L 0 F 1 d G 9 S Z W 1 v d m V k Q 2 9 s d W 1 u c z E u e 0 Z H Q S w 5 f S Z x d W 9 0 O y w m c X V v d D t T Z W N 0 a W 9 u M S 9 u Y m E y M T I y L 0 F 1 d G 9 S Z W 1 v d m V k Q 2 9 s d W 1 u c z E u e 0 Z H J S w x M H 0 m c X V v d D s s J n F 1 b 3 Q 7 U 2 V j d G l v b j E v b m J h M j E y M i 9 B d X R v U m V t b 3 Z l Z E N v b H V t b n M x L n s z U C w x M X 0 m c X V v d D s s J n F 1 b 3 Q 7 U 2 V j d G l v b j E v b m J h M j E y M i 9 B d X R v U m V t b 3 Z l Z E N v b H V t b n M x L n s z U E E s M T J 9 J n F 1 b 3 Q 7 L C Z x d W 9 0 O 1 N l Y 3 R p b 2 4 x L 2 5 i Y T I x M j I v Q X V 0 b 1 J l b W 9 2 Z W R D b 2 x 1 b W 5 z M S 5 7 M 1 A l L D E z f S Z x d W 9 0 O y w m c X V v d D t T Z W N 0 a W 9 u M S 9 u Y m E y M T I y L 0 F 1 d G 9 S Z W 1 v d m V k Q 2 9 s d W 1 u c z E u e z J Q L D E 0 f S Z x d W 9 0 O y w m c X V v d D t T Z W N 0 a W 9 u M S 9 u Y m E y M T I y L 0 F 1 d G 9 S Z W 1 v d m V k Q 2 9 s d W 1 u c z E u e z J Q Q S w x N X 0 m c X V v d D s s J n F 1 b 3 Q 7 U 2 V j d G l v b j E v b m J h M j E y M i 9 B d X R v U m V t b 3 Z l Z E N v b H V t b n M x L n s y U C U s M T Z 9 J n F 1 b 3 Q 7 L C Z x d W 9 0 O 1 N l Y 3 R p b 2 4 x L 2 5 i Y T I x M j I v Q X V 0 b 1 J l b W 9 2 Z W R D b 2 x 1 b W 5 z M S 5 7 Z U Z H J S w x N 3 0 m c X V v d D s s J n F 1 b 3 Q 7 U 2 V j d G l v b j E v b m J h M j E y M i 9 B d X R v U m V t b 3 Z l Z E N v b H V t b n M x L n t G V C w x O H 0 m c X V v d D s s J n F 1 b 3 Q 7 U 2 V j d G l v b j E v b m J h M j E y M i 9 B d X R v U m V t b 3 Z l Z E N v b H V t b n M x L n t G V E E s M T l 9 J n F 1 b 3 Q 7 L C Z x d W 9 0 O 1 N l Y 3 R p b 2 4 x L 2 5 i Y T I x M j I v Q X V 0 b 1 J l b W 9 2 Z W R D b 2 x 1 b W 5 z M S 5 7 R l Q l L D I w f S Z x d W 9 0 O y w m c X V v d D t T Z W N 0 a W 9 u M S 9 u Y m E y M T I y L 0 F 1 d G 9 S Z W 1 v d m V k Q 2 9 s d W 1 u c z E u e 0 9 S Q i w y M X 0 m c X V v d D s s J n F 1 b 3 Q 7 U 2 V j d G l v b j E v b m J h M j E y M i 9 B d X R v U m V t b 3 Z l Z E N v b H V t b n M x L n t E U k I s M j J 9 J n F 1 b 3 Q 7 L C Z x d W 9 0 O 1 N l Y 3 R p b 2 4 x L 2 5 i Y T I x M j I v Q X V 0 b 1 J l b W 9 2 Z W R D b 2 x 1 b W 5 z M S 5 7 V F J C L D I z f S Z x d W 9 0 O y w m c X V v d D t T Z W N 0 a W 9 u M S 9 u Y m E y M T I y L 0 F 1 d G 9 S Z W 1 v d m V k Q 2 9 s d W 1 u c z E u e 0 F T V C w y N H 0 m c X V v d D s s J n F 1 b 3 Q 7 U 2 V j d G l v b j E v b m J h M j E y M i 9 B d X R v U m V t b 3 Z l Z E N v b H V t b n M x L n t T V E w s M j V 9 J n F 1 b 3 Q 7 L C Z x d W 9 0 O 1 N l Y 3 R p b 2 4 x L 2 5 i Y T I x M j I v Q X V 0 b 1 J l b W 9 2 Z W R D b 2 x 1 b W 5 z M S 5 7 Q k x L L D I 2 f S Z x d W 9 0 O y w m c X V v d D t T Z W N 0 a W 9 u M S 9 u Y m E y M T I y L 0 F 1 d G 9 S Z W 1 v d m V k Q 2 9 s d W 1 u c z E u e 1 R P V i w y N 3 0 m c X V v d D s s J n F 1 b 3 Q 7 U 2 V j d G l v b j E v b m J h M j E y M i 9 B d X R v U m V t b 3 Z l Z E N v b H V t b n M x L n t Q R i w y O H 0 m c X V v d D s s J n F 1 b 3 Q 7 U 2 V j d G l v b j E v b m J h M j E y M i 9 B d X R v U m V t b 3 Z l Z E N v b H V t b n M x L n t Q V F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m E y M T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Y T I x M j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h M j E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Y T I x M j I t Y W R 2 Y W 5 j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m E y M T I y X 2 F k d m F u Y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1 Q y M z o z M j o 1 M y 4 z M j U 3 N D Y w W i I g L z 4 8 R W 5 0 c n k g V H l w Z T 0 i R m l s b E N v b H V t b l R 5 c G V z I i B W Y W x 1 Z T 0 i c 0 F 3 W U d B d 1 l E Q X d V R k J R V U Z C U V V G Q l F V R k J R W U Z C U V V G Q m d V R k J R V T 0 i I C 8 + P E V u d H J 5 I F R 5 c G U 9 I k Z p b G x D b 2 x 1 b W 5 O Y W 1 l c y I g V m F s d W U 9 I n N b J n F 1 b 3 Q 7 U m s m c X V v d D s s J n F 1 b 3 Q 7 U G x h e W V y J n F 1 b 3 Q 7 L C Z x d W 9 0 O 1 B v c y Z x d W 9 0 O y w m c X V v d D t B Z 2 U m c X V v d D s s J n F 1 b 3 Q 7 V G 0 m c X V v d D s s J n F 1 b 3 Q 7 R y Z x d W 9 0 O y w m c X V v d D t N U C Z x d W 9 0 O y w m c X V v d D t Q R V I m c X V v d D s s J n F 1 b 3 Q 7 V F M l J n F 1 b 3 Q 7 L C Z x d W 9 0 O z N Q Q X I m c X V v d D s s J n F 1 b 3 Q 7 R l R y J n F 1 b 3 Q 7 L C Z x d W 9 0 O 0 9 S Q i U m c X V v d D s s J n F 1 b 3 Q 7 R F J C J S Z x d W 9 0 O y w m c X V v d D t U U k I l J n F 1 b 3 Q 7 L C Z x d W 9 0 O 0 F T V C U m c X V v d D s s J n F 1 b 3 Q 7 U 1 R M J S Z x d W 9 0 O y w m c X V v d D t C T E s l J n F 1 b 3 Q 7 L C Z x d W 9 0 O 1 R P V i U m c X V v d D s s J n F 1 b 3 Q 7 V V N H J S Z x d W 9 0 O y w m c X V v d D t D b 2 x 1 b W 4 x J n F 1 b 3 Q 7 L C Z x d W 9 0 O 0 9 X U y Z x d W 9 0 O y w m c X V v d D t E V 1 M m c X V v d D s s J n F 1 b 3 Q 7 V 1 M m c X V v d D s s J n F 1 b 3 Q 7 V 1 M v N D g m c X V v d D s s J n F 1 b 3 Q 7 X z E m c X V v d D s s J n F 1 b 3 Q 7 T 0 J Q T S Z x d W 9 0 O y w m c X V v d D t E Q l B N J n F 1 b 3 Q 7 L C Z x d W 9 0 O 0 J Q T S Z x d W 9 0 O y w m c X V v d D t W T 1 J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i Y T I x M j I t Y W R 2 Y W 5 j Z W Q v Q X V 0 b 1 J l b W 9 2 Z W R D b 2 x 1 b W 5 z M S 5 7 U m s s M H 0 m c X V v d D s s J n F 1 b 3 Q 7 U 2 V j d G l v b j E v b m J h M j E y M i 1 h Z H Z h b m N l Z C 9 B d X R v U m V t b 3 Z l Z E N v b H V t b n M x L n t Q b G F 5 Z X I s M X 0 m c X V v d D s s J n F 1 b 3 Q 7 U 2 V j d G l v b j E v b m J h M j E y M i 1 h Z H Z h b m N l Z C 9 B d X R v U m V t b 3 Z l Z E N v b H V t b n M x L n t Q b 3 M s M n 0 m c X V v d D s s J n F 1 b 3 Q 7 U 2 V j d G l v b j E v b m J h M j E y M i 1 h Z H Z h b m N l Z C 9 B d X R v U m V t b 3 Z l Z E N v b H V t b n M x L n t B Z 2 U s M 3 0 m c X V v d D s s J n F 1 b 3 Q 7 U 2 V j d G l v b j E v b m J h M j E y M i 1 h Z H Z h b m N l Z C 9 B d X R v U m V t b 3 Z l Z E N v b H V t b n M x L n t U b S w 0 f S Z x d W 9 0 O y w m c X V v d D t T Z W N 0 a W 9 u M S 9 u Y m E y M T I y L W F k d m F u Y 2 V k L 0 F 1 d G 9 S Z W 1 v d m V k Q 2 9 s d W 1 u c z E u e 0 c s N X 0 m c X V v d D s s J n F 1 b 3 Q 7 U 2 V j d G l v b j E v b m J h M j E y M i 1 h Z H Z h b m N l Z C 9 B d X R v U m V t b 3 Z l Z E N v b H V t b n M x L n t N U C w 2 f S Z x d W 9 0 O y w m c X V v d D t T Z W N 0 a W 9 u M S 9 u Y m E y M T I y L W F k d m F u Y 2 V k L 0 F 1 d G 9 S Z W 1 v d m V k Q 2 9 s d W 1 u c z E u e 1 B F U i w 3 f S Z x d W 9 0 O y w m c X V v d D t T Z W N 0 a W 9 u M S 9 u Y m E y M T I y L W F k d m F u Y 2 V k L 0 F 1 d G 9 S Z W 1 v d m V k Q 2 9 s d W 1 u c z E u e 1 R T J S w 4 f S Z x d W 9 0 O y w m c X V v d D t T Z W N 0 a W 9 u M S 9 u Y m E y M T I y L W F k d m F u Y 2 V k L 0 F 1 d G 9 S Z W 1 v d m V k Q 2 9 s d W 1 u c z E u e z N Q Q X I s O X 0 m c X V v d D s s J n F 1 b 3 Q 7 U 2 V j d G l v b j E v b m J h M j E y M i 1 h Z H Z h b m N l Z C 9 B d X R v U m V t b 3 Z l Z E N v b H V t b n M x L n t G V H I s M T B 9 J n F 1 b 3 Q 7 L C Z x d W 9 0 O 1 N l Y 3 R p b 2 4 x L 2 5 i Y T I x M j I t Y W R 2 Y W 5 j Z W Q v Q X V 0 b 1 J l b W 9 2 Z W R D b 2 x 1 b W 5 z M S 5 7 T 1 J C J S w x M X 0 m c X V v d D s s J n F 1 b 3 Q 7 U 2 V j d G l v b j E v b m J h M j E y M i 1 h Z H Z h b m N l Z C 9 B d X R v U m V t b 3 Z l Z E N v b H V t b n M x L n t E U k I l L D E y f S Z x d W 9 0 O y w m c X V v d D t T Z W N 0 a W 9 u M S 9 u Y m E y M T I y L W F k d m F u Y 2 V k L 0 F 1 d G 9 S Z W 1 v d m V k Q 2 9 s d W 1 u c z E u e 1 R S Q i U s M T N 9 J n F 1 b 3 Q 7 L C Z x d W 9 0 O 1 N l Y 3 R p b 2 4 x L 2 5 i Y T I x M j I t Y W R 2 Y W 5 j Z W Q v Q X V 0 b 1 J l b W 9 2 Z W R D b 2 x 1 b W 5 z M S 5 7 Q V N U J S w x N H 0 m c X V v d D s s J n F 1 b 3 Q 7 U 2 V j d G l v b j E v b m J h M j E y M i 1 h Z H Z h b m N l Z C 9 B d X R v U m V t b 3 Z l Z E N v b H V t b n M x L n t T V E w l L D E 1 f S Z x d W 9 0 O y w m c X V v d D t T Z W N 0 a W 9 u M S 9 u Y m E y M T I y L W F k d m F u Y 2 V k L 0 F 1 d G 9 S Z W 1 v d m V k Q 2 9 s d W 1 u c z E u e 0 J M S y U s M T Z 9 J n F 1 b 3 Q 7 L C Z x d W 9 0 O 1 N l Y 3 R p b 2 4 x L 2 5 i Y T I x M j I t Y W R 2 Y W 5 j Z W Q v Q X V 0 b 1 J l b W 9 2 Z W R D b 2 x 1 b W 5 z M S 5 7 V E 9 W J S w x N 3 0 m c X V v d D s s J n F 1 b 3 Q 7 U 2 V j d G l v b j E v b m J h M j E y M i 1 h Z H Z h b m N l Z C 9 B d X R v U m V t b 3 Z l Z E N v b H V t b n M x L n t V U 0 c l L D E 4 f S Z x d W 9 0 O y w m c X V v d D t T Z W N 0 a W 9 u M S 9 u Y m E y M T I y L W F k d m F u Y 2 V k L 0 F 1 d G 9 S Z W 1 v d m V k Q 2 9 s d W 1 u c z E u e 0 N v b H V t b j E s M T l 9 J n F 1 b 3 Q 7 L C Z x d W 9 0 O 1 N l Y 3 R p b 2 4 x L 2 5 i Y T I x M j I t Y W R 2 Y W 5 j Z W Q v Q X V 0 b 1 J l b W 9 2 Z W R D b 2 x 1 b W 5 z M S 5 7 T 1 d T L D I w f S Z x d W 9 0 O y w m c X V v d D t T Z W N 0 a W 9 u M S 9 u Y m E y M T I y L W F k d m F u Y 2 V k L 0 F 1 d G 9 S Z W 1 v d m V k Q 2 9 s d W 1 u c z E u e 0 R X U y w y M X 0 m c X V v d D s s J n F 1 b 3 Q 7 U 2 V j d G l v b j E v b m J h M j E y M i 1 h Z H Z h b m N l Z C 9 B d X R v U m V t b 3 Z l Z E N v b H V t b n M x L n t X U y w y M n 0 m c X V v d D s s J n F 1 b 3 Q 7 U 2 V j d G l v b j E v b m J h M j E y M i 1 h Z H Z h b m N l Z C 9 B d X R v U m V t b 3 Z l Z E N v b H V t b n M x L n t X U y 8 0 O C w y M 3 0 m c X V v d D s s J n F 1 b 3 Q 7 U 2 V j d G l v b j E v b m J h M j E y M i 1 h Z H Z h b m N l Z C 9 B d X R v U m V t b 3 Z l Z E N v b H V t b n M x L n t f M S w y N H 0 m c X V v d D s s J n F 1 b 3 Q 7 U 2 V j d G l v b j E v b m J h M j E y M i 1 h Z H Z h b m N l Z C 9 B d X R v U m V t b 3 Z l Z E N v b H V t b n M x L n t P Q l B N L D I 1 f S Z x d W 9 0 O y w m c X V v d D t T Z W N 0 a W 9 u M S 9 u Y m E y M T I y L W F k d m F u Y 2 V k L 0 F 1 d G 9 S Z W 1 v d m V k Q 2 9 s d W 1 u c z E u e 0 R C U E 0 s M j Z 9 J n F 1 b 3 Q 7 L C Z x d W 9 0 O 1 N l Y 3 R p b 2 4 x L 2 5 i Y T I x M j I t Y W R 2 Y W 5 j Z W Q v Q X V 0 b 1 J l b W 9 2 Z W R D b 2 x 1 b W 5 z M S 5 7 Q l B N L D I 3 f S Z x d W 9 0 O y w m c X V v d D t T Z W N 0 a W 9 u M S 9 u Y m E y M T I y L W F k d m F u Y 2 V k L 0 F 1 d G 9 S Z W 1 v d m V k Q 2 9 s d W 1 u c z E u e 1 Z P U l A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u Y m E y M T I y L W F k d m F u Y 2 V k L 0 F 1 d G 9 S Z W 1 v d m V k Q 2 9 s d W 1 u c z E u e 1 J r L D B 9 J n F 1 b 3 Q 7 L C Z x d W 9 0 O 1 N l Y 3 R p b 2 4 x L 2 5 i Y T I x M j I t Y W R 2 Y W 5 j Z W Q v Q X V 0 b 1 J l b W 9 2 Z W R D b 2 x 1 b W 5 z M S 5 7 U G x h e W V y L D F 9 J n F 1 b 3 Q 7 L C Z x d W 9 0 O 1 N l Y 3 R p b 2 4 x L 2 5 i Y T I x M j I t Y W R 2 Y W 5 j Z W Q v Q X V 0 b 1 J l b W 9 2 Z W R D b 2 x 1 b W 5 z M S 5 7 U G 9 z L D J 9 J n F 1 b 3 Q 7 L C Z x d W 9 0 O 1 N l Y 3 R p b 2 4 x L 2 5 i Y T I x M j I t Y W R 2 Y W 5 j Z W Q v Q X V 0 b 1 J l b W 9 2 Z W R D b 2 x 1 b W 5 z M S 5 7 Q W d l L D N 9 J n F 1 b 3 Q 7 L C Z x d W 9 0 O 1 N l Y 3 R p b 2 4 x L 2 5 i Y T I x M j I t Y W R 2 Y W 5 j Z W Q v Q X V 0 b 1 J l b W 9 2 Z W R D b 2 x 1 b W 5 z M S 5 7 V G 0 s N H 0 m c X V v d D s s J n F 1 b 3 Q 7 U 2 V j d G l v b j E v b m J h M j E y M i 1 h Z H Z h b m N l Z C 9 B d X R v U m V t b 3 Z l Z E N v b H V t b n M x L n t H L D V 9 J n F 1 b 3 Q 7 L C Z x d W 9 0 O 1 N l Y 3 R p b 2 4 x L 2 5 i Y T I x M j I t Y W R 2 Y W 5 j Z W Q v Q X V 0 b 1 J l b W 9 2 Z W R D b 2 x 1 b W 5 z M S 5 7 T V A s N n 0 m c X V v d D s s J n F 1 b 3 Q 7 U 2 V j d G l v b j E v b m J h M j E y M i 1 h Z H Z h b m N l Z C 9 B d X R v U m V t b 3 Z l Z E N v b H V t b n M x L n t Q R V I s N 3 0 m c X V v d D s s J n F 1 b 3 Q 7 U 2 V j d G l v b j E v b m J h M j E y M i 1 h Z H Z h b m N l Z C 9 B d X R v U m V t b 3 Z l Z E N v b H V t b n M x L n t U U y U s O H 0 m c X V v d D s s J n F 1 b 3 Q 7 U 2 V j d G l v b j E v b m J h M j E y M i 1 h Z H Z h b m N l Z C 9 B d X R v U m V t b 3 Z l Z E N v b H V t b n M x L n s z U E F y L D l 9 J n F 1 b 3 Q 7 L C Z x d W 9 0 O 1 N l Y 3 R p b 2 4 x L 2 5 i Y T I x M j I t Y W R 2 Y W 5 j Z W Q v Q X V 0 b 1 J l b W 9 2 Z W R D b 2 x 1 b W 5 z M S 5 7 R l R y L D E w f S Z x d W 9 0 O y w m c X V v d D t T Z W N 0 a W 9 u M S 9 u Y m E y M T I y L W F k d m F u Y 2 V k L 0 F 1 d G 9 S Z W 1 v d m V k Q 2 9 s d W 1 u c z E u e 0 9 S Q i U s M T F 9 J n F 1 b 3 Q 7 L C Z x d W 9 0 O 1 N l Y 3 R p b 2 4 x L 2 5 i Y T I x M j I t Y W R 2 Y W 5 j Z W Q v Q X V 0 b 1 J l b W 9 2 Z W R D b 2 x 1 b W 5 z M S 5 7 R F J C J S w x M n 0 m c X V v d D s s J n F 1 b 3 Q 7 U 2 V j d G l v b j E v b m J h M j E y M i 1 h Z H Z h b m N l Z C 9 B d X R v U m V t b 3 Z l Z E N v b H V t b n M x L n t U U k I l L D E z f S Z x d W 9 0 O y w m c X V v d D t T Z W N 0 a W 9 u M S 9 u Y m E y M T I y L W F k d m F u Y 2 V k L 0 F 1 d G 9 S Z W 1 v d m V k Q 2 9 s d W 1 u c z E u e 0 F T V C U s M T R 9 J n F 1 b 3 Q 7 L C Z x d W 9 0 O 1 N l Y 3 R p b 2 4 x L 2 5 i Y T I x M j I t Y W R 2 Y W 5 j Z W Q v Q X V 0 b 1 J l b W 9 2 Z W R D b 2 x 1 b W 5 z M S 5 7 U 1 R M J S w x N X 0 m c X V v d D s s J n F 1 b 3 Q 7 U 2 V j d G l v b j E v b m J h M j E y M i 1 h Z H Z h b m N l Z C 9 B d X R v U m V t b 3 Z l Z E N v b H V t b n M x L n t C T E s l L D E 2 f S Z x d W 9 0 O y w m c X V v d D t T Z W N 0 a W 9 u M S 9 u Y m E y M T I y L W F k d m F u Y 2 V k L 0 F 1 d G 9 S Z W 1 v d m V k Q 2 9 s d W 1 u c z E u e 1 R P V i U s M T d 9 J n F 1 b 3 Q 7 L C Z x d W 9 0 O 1 N l Y 3 R p b 2 4 x L 2 5 i Y T I x M j I t Y W R 2 Y W 5 j Z W Q v Q X V 0 b 1 J l b W 9 2 Z W R D b 2 x 1 b W 5 z M S 5 7 V V N H J S w x O H 0 m c X V v d D s s J n F 1 b 3 Q 7 U 2 V j d G l v b j E v b m J h M j E y M i 1 h Z H Z h b m N l Z C 9 B d X R v U m V t b 3 Z l Z E N v b H V t b n M x L n t D b 2 x 1 b W 4 x L D E 5 f S Z x d W 9 0 O y w m c X V v d D t T Z W N 0 a W 9 u M S 9 u Y m E y M T I y L W F k d m F u Y 2 V k L 0 F 1 d G 9 S Z W 1 v d m V k Q 2 9 s d W 1 u c z E u e 0 9 X U y w y M H 0 m c X V v d D s s J n F 1 b 3 Q 7 U 2 V j d G l v b j E v b m J h M j E y M i 1 h Z H Z h b m N l Z C 9 B d X R v U m V t b 3 Z l Z E N v b H V t b n M x L n t E V 1 M s M j F 9 J n F 1 b 3 Q 7 L C Z x d W 9 0 O 1 N l Y 3 R p b 2 4 x L 2 5 i Y T I x M j I t Y W R 2 Y W 5 j Z W Q v Q X V 0 b 1 J l b W 9 2 Z W R D b 2 x 1 b W 5 z M S 5 7 V 1 M s M j J 9 J n F 1 b 3 Q 7 L C Z x d W 9 0 O 1 N l Y 3 R p b 2 4 x L 2 5 i Y T I x M j I t Y W R 2 Y W 5 j Z W Q v Q X V 0 b 1 J l b W 9 2 Z W R D b 2 x 1 b W 5 z M S 5 7 V 1 M v N D g s M j N 9 J n F 1 b 3 Q 7 L C Z x d W 9 0 O 1 N l Y 3 R p b 2 4 x L 2 5 i Y T I x M j I t Y W R 2 Y W 5 j Z W Q v Q X V 0 b 1 J l b W 9 2 Z W R D b 2 x 1 b W 5 z M S 5 7 X z E s M j R 9 J n F 1 b 3 Q 7 L C Z x d W 9 0 O 1 N l Y 3 R p b 2 4 x L 2 5 i Y T I x M j I t Y W R 2 Y W 5 j Z W Q v Q X V 0 b 1 J l b W 9 2 Z W R D b 2 x 1 b W 5 z M S 5 7 T 0 J Q T S w y N X 0 m c X V v d D s s J n F 1 b 3 Q 7 U 2 V j d G l v b j E v b m J h M j E y M i 1 h Z H Z h b m N l Z C 9 B d X R v U m V t b 3 Z l Z E N v b H V t b n M x L n t E Q l B N L D I 2 f S Z x d W 9 0 O y w m c X V v d D t T Z W N 0 a W 9 u M S 9 u Y m E y M T I y L W F k d m F u Y 2 V k L 0 F 1 d G 9 S Z W 1 v d m V k Q 2 9 s d W 1 u c z E u e 0 J Q T S w y N 3 0 m c X V v d D s s J n F 1 b 3 Q 7 U 2 V j d G l v b j E v b m J h M j E y M i 1 h Z H Z h b m N l Z C 9 B d X R v U m V t b 3 Z l Z E N v b H V t b n M x L n t W T 1 J Q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J h M j E y M i 1 h Z H Z h b m N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m E y M T I y L W F k d m F u Y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Y T I x M j I t Y W R 2 Y W 5 j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g B i H 6 G g Q E C t 0 8 W F E k V r b Q A A A A A C A A A A A A A Q Z g A A A A E A A C A A A A D y U k + 3 m U L D i H b V 8 u D T W M Q D G Q C J K M v n d n d / 0 Y l x h y 5 h 1 Q A A A A A O g A A A A A I A A C A A A A C 7 x 2 m i z s A t 7 t 4 U e b W W b 4 x h c I X F I p V n Y 0 N O K 0 6 I i u r h V l A A A A D t v w b H N s w k w p d Z G v F S E a i Z l X 0 c X C U 5 o e T u 5 Y j B 1 p d o S 2 5 5 O a / t u U d f X L y F T i l O A P S e S 1 M M 0 v X 7 J z T V k W 8 j s L / X S P H + W j m 5 w n Y 4 G r T w i W x I f E A A A A C O T A U h d h W z / M n F 2 2 n G 8 y m / Q O t y r x l P 7 w Z f / z 7 C Q a / G c + U m i W O P 9 W g K Y p r X i R I r d R G e m I b t P 7 e a 5 S j o / X v b E R e V < / D a t a M a s h u p > 
</file>

<file path=customXml/itemProps1.xml><?xml version="1.0" encoding="utf-8"?>
<ds:datastoreItem xmlns:ds="http://schemas.openxmlformats.org/officeDocument/2006/customXml" ds:itemID="{0E88B48D-ABDA-47BE-A8BC-416B14BA99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nba2122</vt:lpstr>
      <vt:lpstr>nba2122-advanced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Jaden Noronha</dc:creator>
  <cp:lastModifiedBy>Jaden Noronha</cp:lastModifiedBy>
  <dcterms:created xsi:type="dcterms:W3CDTF">2022-06-23T19:40:55Z</dcterms:created>
  <dcterms:modified xsi:type="dcterms:W3CDTF">2022-06-28T20:22:24Z</dcterms:modified>
</cp:coreProperties>
</file>