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camp\2020_2\Matematica financeira\atividades\"/>
    </mc:Choice>
  </mc:AlternateContent>
  <xr:revisionPtr revIDLastSave="0" documentId="13_ncr:1_{3D8D2863-9D61-4B5B-8C38-1E07833EF2EC}" xr6:coauthVersionLast="45" xr6:coauthVersionMax="45" xr10:uidLastSave="{00000000-0000-0000-0000-000000000000}"/>
  <bookViews>
    <workbookView xWindow="-120" yWindow="-120" windowWidth="19440" windowHeight="10440" activeTab="1" xr2:uid="{00000000-000D-0000-FFFF-FFFF00000000}"/>
  </bookViews>
  <sheets>
    <sheet name="Questão 1" sheetId="1" r:id="rId1"/>
    <sheet name="Questão 2" sheetId="2" r:id="rId2"/>
    <sheet name="Questão 3" sheetId="4" r:id="rId3"/>
    <sheet name="X" sheetId="5" state="hidden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4" l="1"/>
  <c r="H26" i="4"/>
  <c r="H27" i="4"/>
  <c r="H28" i="4"/>
  <c r="B27" i="4"/>
  <c r="B26" i="4"/>
  <c r="B28" i="4"/>
  <c r="B23" i="4"/>
  <c r="D24" i="4"/>
  <c r="C24" i="4"/>
  <c r="C16" i="4"/>
  <c r="B12" i="4"/>
  <c r="B13" i="4"/>
  <c r="B11" i="4"/>
  <c r="D7" i="4"/>
  <c r="C7" i="4"/>
  <c r="B6" i="4"/>
  <c r="N10" i="4"/>
  <c r="N9" i="4"/>
  <c r="B72" i="2"/>
  <c r="B68" i="2"/>
  <c r="B70" i="2"/>
  <c r="C11" i="1"/>
  <c r="B69" i="2"/>
  <c r="F63" i="2"/>
  <c r="F62" i="2"/>
  <c r="F61" i="2"/>
  <c r="B61" i="2"/>
  <c r="B50" i="2"/>
  <c r="B53" i="2"/>
  <c r="B51" i="2"/>
  <c r="F46" i="2"/>
  <c r="F45" i="2"/>
  <c r="F44" i="2"/>
  <c r="I23" i="2"/>
  <c r="I24" i="2"/>
  <c r="I25" i="2"/>
  <c r="B24" i="2"/>
  <c r="B23" i="2"/>
  <c r="B25" i="2"/>
  <c r="I15" i="2"/>
  <c r="I16" i="2"/>
  <c r="I17" i="2"/>
  <c r="B15" i="2"/>
  <c r="B16" i="2"/>
  <c r="B17" i="2"/>
  <c r="B7" i="2"/>
  <c r="B9" i="2"/>
  <c r="B8" i="2"/>
  <c r="O7" i="2"/>
  <c r="P6" i="2"/>
  <c r="O6" i="2"/>
  <c r="N6" i="2"/>
  <c r="N5" i="2"/>
  <c r="C5" i="1"/>
  <c r="C9" i="1"/>
  <c r="C3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L10" i="1"/>
  <c r="K10" i="1"/>
  <c r="J10" i="1"/>
  <c r="I10" i="1"/>
  <c r="H10" i="1"/>
  <c r="L9" i="1"/>
  <c r="K9" i="1"/>
  <c r="J9" i="1"/>
  <c r="I9" i="1"/>
  <c r="H9" i="1"/>
  <c r="G11" i="1"/>
  <c r="G12" i="1"/>
  <c r="G13" i="1"/>
  <c r="G14" i="1"/>
  <c r="G15" i="1"/>
  <c r="G16" i="1"/>
  <c r="G17" i="1"/>
  <c r="G18" i="1"/>
  <c r="G19" i="1"/>
  <c r="G20" i="1"/>
  <c r="G10" i="1"/>
  <c r="G9" i="1"/>
  <c r="L13" i="5"/>
  <c r="K13" i="5"/>
  <c r="K9" i="5"/>
  <c r="K7" i="5"/>
  <c r="B5" i="5"/>
  <c r="B7" i="5"/>
  <c r="B10" i="5"/>
  <c r="B12" i="5"/>
  <c r="C7" i="5"/>
  <c r="B9" i="5"/>
  <c r="A1" i="5"/>
  <c r="K1" i="5"/>
  <c r="H7" i="5"/>
  <c r="H9" i="5"/>
  <c r="I9" i="5"/>
  <c r="I11" i="5"/>
  <c r="H11" i="5"/>
  <c r="H19" i="5"/>
  <c r="H23" i="5"/>
  <c r="I23" i="5"/>
  <c r="H1" i="5"/>
  <c r="K25" i="5"/>
</calcChain>
</file>

<file path=xl/sharedStrings.xml><?xml version="1.0" encoding="utf-8"?>
<sst xmlns="http://schemas.openxmlformats.org/spreadsheetml/2006/main" count="157" uniqueCount="77">
  <si>
    <t>mês</t>
  </si>
  <si>
    <t>Inflação Acumulada</t>
  </si>
  <si>
    <t>Acum + Resíduos</t>
  </si>
  <si>
    <t>Reajuste</t>
  </si>
  <si>
    <t>Reajuste Acumulado</t>
  </si>
  <si>
    <t>Resíduo</t>
  </si>
  <si>
    <t>Perda</t>
  </si>
  <si>
    <t>Taxa de inflação (%)</t>
  </si>
  <si>
    <t>Respostas</t>
  </si>
  <si>
    <t>letra a)</t>
  </si>
  <si>
    <t>letra b)</t>
  </si>
  <si>
    <t>letra d)</t>
  </si>
  <si>
    <t>taxa</t>
  </si>
  <si>
    <t>Plano A</t>
  </si>
  <si>
    <t>Plano B</t>
  </si>
  <si>
    <t>Plano C</t>
  </si>
  <si>
    <t>A e C</t>
  </si>
  <si>
    <t>A e B</t>
  </si>
  <si>
    <t>B e C</t>
  </si>
  <si>
    <t>A</t>
  </si>
  <si>
    <t>B</t>
  </si>
  <si>
    <t>C</t>
  </si>
  <si>
    <t>dif</t>
  </si>
  <si>
    <t>Equação</t>
  </si>
  <si>
    <t>Melhor</t>
  </si>
  <si>
    <t>2°</t>
  </si>
  <si>
    <t>3°</t>
  </si>
  <si>
    <t>Comparação</t>
  </si>
  <si>
    <t>Equação 1</t>
  </si>
  <si>
    <t>Equação 2</t>
  </si>
  <si>
    <t>Diferença</t>
  </si>
  <si>
    <t>Desconto(%)</t>
  </si>
  <si>
    <t>Equação 3</t>
  </si>
  <si>
    <t>LETRA A)</t>
  </si>
  <si>
    <t>LETRA B)</t>
  </si>
  <si>
    <t>LETRA C)</t>
  </si>
  <si>
    <t>Poder de Compra</t>
  </si>
  <si>
    <t>Mês</t>
  </si>
  <si>
    <t>Alcool</t>
  </si>
  <si>
    <t>Gasolina</t>
  </si>
  <si>
    <t>Desconto</t>
  </si>
  <si>
    <t>Novo Preço da Gasolina</t>
  </si>
  <si>
    <t>Complete:</t>
  </si>
  <si>
    <t xml:space="preserve">do que </t>
  </si>
  <si>
    <t>Até</t>
  </si>
  <si>
    <t xml:space="preserve">é mais vantajoso usar </t>
  </si>
  <si>
    <t>Questão 1</t>
  </si>
  <si>
    <t>a)</t>
  </si>
  <si>
    <t>b)</t>
  </si>
  <si>
    <t>c)</t>
  </si>
  <si>
    <t>d)</t>
  </si>
  <si>
    <t>Questão 2</t>
  </si>
  <si>
    <t>Questão 3</t>
  </si>
  <si>
    <t>Aux</t>
  </si>
  <si>
    <t>TOTAL</t>
  </si>
  <si>
    <t>Tabela</t>
  </si>
  <si>
    <t>TAXA</t>
  </si>
  <si>
    <t>parcela</t>
  </si>
  <si>
    <t>entrada</t>
  </si>
  <si>
    <t>último disparo</t>
  </si>
  <si>
    <t>perda acumulada</t>
  </si>
  <si>
    <t>letra c)</t>
  </si>
  <si>
    <t>a</t>
  </si>
  <si>
    <t>b</t>
  </si>
  <si>
    <t>c</t>
  </si>
  <si>
    <t>i&lt;7,86%</t>
  </si>
  <si>
    <t>7,86%~8,7%</t>
  </si>
  <si>
    <t>i&gt;50%</t>
  </si>
  <si>
    <t>8,7%~50%</t>
  </si>
  <si>
    <t>PREÇO</t>
  </si>
  <si>
    <t>ALCOOL</t>
  </si>
  <si>
    <t>GASOLINA</t>
  </si>
  <si>
    <t>QUANTIDADE</t>
  </si>
  <si>
    <t>gasolina</t>
  </si>
  <si>
    <t>alcool</t>
  </si>
  <si>
    <t>8Km/L</t>
  </si>
  <si>
    <t>10Km/L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</si>
</sst>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00%"/>
    <numFmt numFmtId="168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197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10" fontId="0" fillId="0" borderId="0" xfId="1" applyNumberFormat="1" applyFont="1" applyBorder="1"/>
    <xf numFmtId="0" fontId="0" fillId="2" borderId="0" xfId="0" applyFill="1" applyBorder="1"/>
    <xf numFmtId="0" fontId="0" fillId="0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10" fontId="8" fillId="0" borderId="0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/>
    <xf numFmtId="9" fontId="2" fillId="0" borderId="2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/>
    <xf numFmtId="0" fontId="0" fillId="0" borderId="0" xfId="0" applyFont="1"/>
    <xf numFmtId="166" fontId="0" fillId="0" borderId="1" xfId="0" applyNumberFormat="1" applyFont="1" applyBorder="1"/>
    <xf numFmtId="165" fontId="0" fillId="0" borderId="1" xfId="0" applyNumberFormat="1" applyFont="1" applyBorder="1"/>
    <xf numFmtId="0" fontId="12" fillId="0" borderId="0" xfId="2" applyFont="1" applyBorder="1" applyAlignment="1">
      <alignment horizontal="center"/>
    </xf>
    <xf numFmtId="0" fontId="13" fillId="2" borderId="1" xfId="2" applyFont="1" applyFill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166" fontId="12" fillId="0" borderId="1" xfId="4" applyNumberFormat="1" applyFont="1" applyBorder="1" applyAlignment="1">
      <alignment horizontal="center"/>
    </xf>
    <xf numFmtId="0" fontId="13" fillId="2" borderId="2" xfId="2" applyFont="1" applyFill="1" applyBorder="1" applyAlignment="1">
      <alignment horizontal="center"/>
    </xf>
    <xf numFmtId="0" fontId="13" fillId="2" borderId="17" xfId="2" applyFont="1" applyFill="1" applyBorder="1" applyAlignment="1">
      <alignment horizontal="center"/>
    </xf>
    <xf numFmtId="0" fontId="13" fillId="2" borderId="14" xfId="2" applyFont="1" applyFill="1" applyBorder="1" applyAlignment="1">
      <alignment horizontal="center"/>
    </xf>
    <xf numFmtId="0" fontId="13" fillId="2" borderId="22" xfId="2" applyFont="1" applyFill="1" applyBorder="1" applyAlignment="1">
      <alignment horizontal="center"/>
    </xf>
    <xf numFmtId="1" fontId="12" fillId="0" borderId="1" xfId="5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43" fontId="12" fillId="0" borderId="1" xfId="5" applyFont="1" applyBorder="1" applyAlignment="1">
      <alignment horizontal="center"/>
    </xf>
    <xf numFmtId="0" fontId="0" fillId="0" borderId="27" xfId="0" applyFont="1" applyBorder="1"/>
    <xf numFmtId="0" fontId="0" fillId="0" borderId="26" xfId="0" applyFont="1" applyBorder="1"/>
    <xf numFmtId="0" fontId="0" fillId="0" borderId="20" xfId="0" applyFont="1" applyBorder="1"/>
    <xf numFmtId="0" fontId="0" fillId="0" borderId="7" xfId="0" applyFont="1" applyBorder="1"/>
    <xf numFmtId="0" fontId="0" fillId="0" borderId="8" xfId="0" applyFont="1" applyBorder="1"/>
    <xf numFmtId="0" fontId="12" fillId="0" borderId="0" xfId="2" applyFont="1" applyBorder="1"/>
    <xf numFmtId="0" fontId="0" fillId="0" borderId="0" xfId="0" applyFont="1" applyBorder="1"/>
    <xf numFmtId="166" fontId="12" fillId="0" borderId="0" xfId="2" applyNumberFormat="1" applyFont="1" applyBorder="1" applyAlignment="1">
      <alignment horizontal="center"/>
    </xf>
    <xf numFmtId="10" fontId="12" fillId="0" borderId="0" xfId="3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26" xfId="0" applyBorder="1"/>
    <xf numFmtId="0" fontId="0" fillId="0" borderId="2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6" xfId="0" applyFill="1" applyBorder="1" applyAlignment="1">
      <alignment horizontal="center"/>
    </xf>
    <xf numFmtId="10" fontId="3" fillId="0" borderId="10" xfId="1" applyNumberFormat="1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ont="1" applyFill="1" applyBorder="1"/>
    <xf numFmtId="43" fontId="0" fillId="0" borderId="1" xfId="0" applyNumberFormat="1" applyFont="1" applyFill="1" applyBorder="1"/>
    <xf numFmtId="43" fontId="0" fillId="3" borderId="1" xfId="5" applyNumberFormat="1" applyFont="1" applyFill="1" applyBorder="1"/>
    <xf numFmtId="166" fontId="0" fillId="0" borderId="1" xfId="0" applyNumberFormat="1" applyFont="1" applyFill="1" applyBorder="1" applyAlignment="1"/>
    <xf numFmtId="43" fontId="0" fillId="0" borderId="1" xfId="0" applyNumberFormat="1" applyFont="1" applyFill="1" applyBorder="1" applyAlignment="1"/>
    <xf numFmtId="165" fontId="0" fillId="0" borderId="1" xfId="0" applyNumberFormat="1" applyFont="1" applyFill="1" applyBorder="1" applyAlignment="1"/>
    <xf numFmtId="166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43" fontId="0" fillId="0" borderId="0" xfId="0" applyNumberFormat="1" applyFont="1" applyFill="1" applyBorder="1" applyAlignment="1"/>
    <xf numFmtId="10" fontId="0" fillId="0" borderId="0" xfId="1" applyNumberFormat="1" applyFont="1" applyFill="1" applyBorder="1" applyAlignment="1"/>
    <xf numFmtId="0" fontId="0" fillId="2" borderId="7" xfId="0" applyFont="1" applyFill="1" applyBorder="1"/>
    <xf numFmtId="0" fontId="0" fillId="2" borderId="0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2" fillId="2" borderId="14" xfId="0" applyFont="1" applyFill="1" applyBorder="1" applyAlignment="1">
      <alignment horizontal="center"/>
    </xf>
    <xf numFmtId="2" fontId="0" fillId="0" borderId="0" xfId="0" applyNumberFormat="1" applyFont="1" applyBorder="1"/>
    <xf numFmtId="0" fontId="13" fillId="0" borderId="7" xfId="2" applyFont="1" applyFill="1" applyBorder="1" applyAlignment="1">
      <alignment horizontal="center"/>
    </xf>
    <xf numFmtId="0" fontId="0" fillId="0" borderId="7" xfId="0" applyFont="1" applyFill="1" applyBorder="1"/>
    <xf numFmtId="0" fontId="0" fillId="2" borderId="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9" fontId="2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2" fontId="0" fillId="0" borderId="1" xfId="0" applyNumberFormat="1" applyBorder="1"/>
    <xf numFmtId="0" fontId="10" fillId="0" borderId="0" xfId="0" applyFont="1"/>
    <xf numFmtId="168" fontId="16" fillId="0" borderId="0" xfId="5" applyNumberFormat="1" applyFont="1" applyFill="1" applyBorder="1" applyAlignment="1">
      <alignment horizontal="center" vertical="center"/>
    </xf>
    <xf numFmtId="168" fontId="16" fillId="0" borderId="0" xfId="1" applyNumberFormat="1" applyFont="1" applyFill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7" fontId="12" fillId="3" borderId="1" xfId="1" applyNumberFormat="1" applyFont="1" applyFill="1" applyBorder="1" applyAlignment="1">
      <alignment horizontal="center"/>
    </xf>
    <xf numFmtId="167" fontId="0" fillId="3" borderId="1" xfId="1" applyNumberFormat="1" applyFont="1" applyFill="1" applyBorder="1"/>
    <xf numFmtId="168" fontId="0" fillId="3" borderId="1" xfId="1" applyNumberFormat="1" applyFont="1" applyFill="1" applyBorder="1"/>
    <xf numFmtId="168" fontId="0" fillId="3" borderId="1" xfId="1" applyNumberFormat="1" applyFont="1" applyFill="1" applyBorder="1" applyAlignment="1"/>
    <xf numFmtId="168" fontId="2" fillId="0" borderId="2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12" fillId="0" borderId="0" xfId="3" applyNumberFormat="1" applyFont="1" applyBorder="1" applyAlignment="1">
      <alignment horizontal="center"/>
    </xf>
    <xf numFmtId="17" fontId="0" fillId="0" borderId="28" xfId="0" applyNumberFormat="1" applyFill="1" applyBorder="1" applyAlignment="1">
      <alignment horizontal="center"/>
    </xf>
    <xf numFmtId="17" fontId="2" fillId="0" borderId="28" xfId="0" applyNumberFormat="1" applyFont="1" applyFill="1" applyBorder="1" applyAlignment="1">
      <alignment horizontal="center"/>
    </xf>
    <xf numFmtId="10" fontId="12" fillId="3" borderId="1" xfId="1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2" borderId="30" xfId="0" applyFont="1" applyFill="1" applyBorder="1"/>
    <xf numFmtId="43" fontId="0" fillId="0" borderId="1" xfId="0" applyNumberFormat="1" applyFont="1" applyBorder="1"/>
    <xf numFmtId="17" fontId="0" fillId="5" borderId="1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43" fontId="0" fillId="0" borderId="0" xfId="0" applyNumberFormat="1" applyFont="1"/>
    <xf numFmtId="43" fontId="0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3" fontId="16" fillId="0" borderId="0" xfId="5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 wrapText="1"/>
    </xf>
    <xf numFmtId="2" fontId="18" fillId="5" borderId="1" xfId="0" applyNumberFormat="1" applyFont="1" applyFill="1" applyBorder="1"/>
    <xf numFmtId="2" fontId="18" fillId="0" borderId="1" xfId="0" applyNumberFormat="1" applyFont="1" applyBorder="1"/>
    <xf numFmtId="0" fontId="0" fillId="5" borderId="0" xfId="0" applyFill="1"/>
    <xf numFmtId="0" fontId="18" fillId="5" borderId="0" xfId="0" applyFont="1" applyFill="1"/>
    <xf numFmtId="0" fontId="0" fillId="5" borderId="1" xfId="0" applyFill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2" fillId="0" borderId="12" xfId="2" applyFont="1" applyBorder="1" applyAlignment="1">
      <alignment horizontal="center"/>
    </xf>
    <xf numFmtId="0" fontId="12" fillId="0" borderId="13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0" fontId="12" fillId="0" borderId="16" xfId="2" applyFont="1" applyBorder="1" applyAlignment="1">
      <alignment horizontal="center"/>
    </xf>
    <xf numFmtId="0" fontId="13" fillId="2" borderId="4" xfId="2" applyFont="1" applyFill="1" applyBorder="1" applyAlignment="1">
      <alignment horizontal="center"/>
    </xf>
    <xf numFmtId="0" fontId="13" fillId="2" borderId="5" xfId="2" applyFont="1" applyFill="1" applyBorder="1" applyAlignment="1">
      <alignment horizontal="center"/>
    </xf>
    <xf numFmtId="0" fontId="13" fillId="2" borderId="6" xfId="2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/>
    </xf>
    <xf numFmtId="0" fontId="13" fillId="4" borderId="19" xfId="2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5" fillId="2" borderId="4" xfId="2" applyFont="1" applyFill="1" applyBorder="1" applyAlignment="1">
      <alignment horizontal="center"/>
    </xf>
    <xf numFmtId="0" fontId="15" fillId="2" borderId="5" xfId="2" applyFont="1" applyFill="1" applyBorder="1" applyAlignment="1">
      <alignment horizontal="center"/>
    </xf>
    <xf numFmtId="0" fontId="15" fillId="2" borderId="6" xfId="2" applyFont="1" applyFill="1" applyBorder="1" applyAlignment="1">
      <alignment horizontal="center"/>
    </xf>
    <xf numFmtId="0" fontId="13" fillId="2" borderId="12" xfId="2" applyFont="1" applyFill="1" applyBorder="1" applyAlignment="1">
      <alignment horizontal="center"/>
    </xf>
    <xf numFmtId="0" fontId="13" fillId="2" borderId="13" xfId="2" applyFont="1" applyFill="1" applyBorder="1" applyAlignment="1">
      <alignment horizontal="center"/>
    </xf>
    <xf numFmtId="0" fontId="13" fillId="4" borderId="20" xfId="2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43" fontId="17" fillId="0" borderId="27" xfId="0" applyNumberFormat="1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168" fontId="3" fillId="0" borderId="1" xfId="1" applyNumberFormat="1" applyFont="1" applyFill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168" fontId="0" fillId="0" borderId="28" xfId="0" applyNumberFormat="1" applyBorder="1" applyAlignment="1">
      <alignment horizontal="center"/>
    </xf>
    <xf numFmtId="168" fontId="0" fillId="0" borderId="20" xfId="0" applyNumberFormat="1" applyFill="1" applyBorder="1" applyAlignment="1">
      <alignment horizontal="center"/>
    </xf>
    <xf numFmtId="168" fontId="0" fillId="0" borderId="6" xfId="1" applyNumberFormat="1" applyFont="1" applyFill="1" applyBorder="1" applyAlignment="1">
      <alignment horizontal="center"/>
    </xf>
    <xf numFmtId="10" fontId="13" fillId="2" borderId="12" xfId="2" applyNumberFormat="1" applyFont="1" applyFill="1" applyBorder="1" applyAlignment="1">
      <alignment horizontal="center"/>
    </xf>
    <xf numFmtId="9" fontId="0" fillId="0" borderId="0" xfId="0" applyNumberFormat="1" applyFont="1" applyAlignment="1">
      <alignment horizontal="left"/>
    </xf>
  </cellXfs>
  <cellStyles count="7">
    <cellStyle name="Normal" xfId="0" builtinId="0"/>
    <cellStyle name="Normal 2" xfId="2" xr:uid="{00000000-0005-0000-0000-000001000000}"/>
    <cellStyle name="Normal 4" xfId="6" xr:uid="{00000000-0005-0000-0000-000002000000}"/>
    <cellStyle name="Percentagem" xfId="1" builtinId="5"/>
    <cellStyle name="Porcentagem 2" xfId="3" xr:uid="{00000000-0005-0000-0000-000004000000}"/>
    <cellStyle name="Vírgula" xfId="5" builtinId="3"/>
    <cellStyle name="Vírgula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110" zoomScaleNormal="110" workbookViewId="0">
      <selection activeCell="L9" sqref="L9"/>
    </sheetView>
  </sheetViews>
  <sheetFormatPr defaultRowHeight="15" x14ac:dyDescent="0.25"/>
  <cols>
    <col min="2" max="2" width="11.28515625" customWidth="1"/>
    <col min="3" max="4" width="14.42578125" customWidth="1"/>
    <col min="5" max="5" width="11.28515625" customWidth="1"/>
    <col min="6" max="6" width="12.42578125" customWidth="1"/>
    <col min="7" max="7" width="10.28515625" customWidth="1"/>
    <col min="8" max="8" width="10.85546875" customWidth="1"/>
    <col min="9" max="9" width="11.85546875" customWidth="1"/>
    <col min="10" max="10" width="10.42578125" customWidth="1"/>
  </cols>
  <sheetData>
    <row r="1" spans="1:16" ht="19.5" thickBot="1" x14ac:dyDescent="0.35">
      <c r="A1" s="119" t="s">
        <v>8</v>
      </c>
      <c r="B1" s="120"/>
      <c r="C1" s="121"/>
      <c r="D1" s="54"/>
      <c r="E1" s="47"/>
      <c r="F1" s="47"/>
      <c r="G1" s="47"/>
      <c r="H1" s="47"/>
      <c r="I1" s="47"/>
      <c r="J1" s="47"/>
      <c r="K1" s="47"/>
      <c r="L1" s="47"/>
      <c r="M1" s="48"/>
    </row>
    <row r="2" spans="1:16" ht="15.75" thickBot="1" x14ac:dyDescent="0.3">
      <c r="A2" s="6"/>
      <c r="B2" s="4"/>
      <c r="C2" s="7"/>
      <c r="D2" s="5"/>
      <c r="E2" s="12"/>
      <c r="F2" s="12"/>
      <c r="G2" s="12"/>
      <c r="H2" s="12"/>
      <c r="I2" s="12"/>
      <c r="J2" s="12"/>
      <c r="K2" s="12"/>
      <c r="L2" s="12"/>
      <c r="M2" s="50"/>
    </row>
    <row r="3" spans="1:16" ht="15.75" thickBot="1" x14ac:dyDescent="0.3">
      <c r="A3" s="122" t="s">
        <v>9</v>
      </c>
      <c r="B3" s="123"/>
      <c r="C3" s="194">
        <f>(1+G20)/(1+G13)-1</f>
        <v>4.9592693191818471E-2</v>
      </c>
      <c r="D3" s="5"/>
      <c r="E3" s="3"/>
      <c r="F3" s="12"/>
      <c r="G3" s="12"/>
      <c r="H3" s="12"/>
      <c r="I3" s="12"/>
      <c r="J3" s="12"/>
      <c r="K3" s="12"/>
      <c r="L3" s="12"/>
      <c r="M3" s="50"/>
    </row>
    <row r="4" spans="1:16" ht="15.75" thickBot="1" x14ac:dyDescent="0.3">
      <c r="A4" s="130" t="s">
        <v>10</v>
      </c>
      <c r="B4" s="131"/>
      <c r="C4" s="132"/>
      <c r="D4" s="5"/>
      <c r="E4" s="12"/>
      <c r="F4" s="12"/>
      <c r="G4" s="12"/>
      <c r="H4" s="12"/>
      <c r="I4" s="12"/>
      <c r="J4" s="12"/>
      <c r="K4" s="12"/>
      <c r="L4" s="12"/>
      <c r="M4" s="50"/>
    </row>
    <row r="5" spans="1:16" x14ac:dyDescent="0.25">
      <c r="A5" s="128" t="s">
        <v>60</v>
      </c>
      <c r="B5" s="133"/>
      <c r="C5" s="193">
        <f>L13</f>
        <v>5.5604254445559276E-3</v>
      </c>
      <c r="D5" s="5"/>
      <c r="E5" s="12"/>
      <c r="F5" s="12"/>
      <c r="G5" s="12"/>
      <c r="H5" s="12"/>
      <c r="I5" s="12"/>
      <c r="J5" s="12"/>
      <c r="K5" s="12"/>
      <c r="L5" s="12"/>
      <c r="M5" s="50"/>
    </row>
    <row r="6" spans="1:16" x14ac:dyDescent="0.25">
      <c r="A6" s="128" t="s">
        <v>59</v>
      </c>
      <c r="B6" s="129"/>
      <c r="C6" s="102">
        <v>42491</v>
      </c>
      <c r="D6" s="5"/>
      <c r="E6" s="12"/>
      <c r="F6" s="12"/>
      <c r="G6" s="12"/>
      <c r="H6" s="12"/>
      <c r="I6" s="12"/>
      <c r="J6" s="12"/>
      <c r="K6" s="12"/>
      <c r="L6" s="12"/>
      <c r="M6" s="50"/>
    </row>
    <row r="7" spans="1:16" ht="16.149999999999999" customHeight="1" thickBot="1" x14ac:dyDescent="0.3">
      <c r="A7" s="125" t="s">
        <v>61</v>
      </c>
      <c r="B7" s="126"/>
      <c r="C7" s="127"/>
      <c r="D7" s="5"/>
      <c r="E7" s="117" t="s">
        <v>0</v>
      </c>
      <c r="F7" s="117" t="s">
        <v>7</v>
      </c>
      <c r="G7" s="115" t="s">
        <v>1</v>
      </c>
      <c r="H7" s="115" t="s">
        <v>2</v>
      </c>
      <c r="I7" s="115" t="s">
        <v>3</v>
      </c>
      <c r="J7" s="115" t="s">
        <v>4</v>
      </c>
      <c r="K7" s="115" t="s">
        <v>5</v>
      </c>
      <c r="L7" s="115" t="s">
        <v>6</v>
      </c>
      <c r="M7" s="50"/>
    </row>
    <row r="8" spans="1:16" ht="17.45" customHeight="1" thickBot="1" x14ac:dyDescent="0.3">
      <c r="A8" s="122" t="s">
        <v>37</v>
      </c>
      <c r="B8" s="124"/>
      <c r="C8" s="96">
        <v>42491</v>
      </c>
      <c r="D8" s="5"/>
      <c r="E8" s="118"/>
      <c r="F8" s="118"/>
      <c r="G8" s="116"/>
      <c r="H8" s="116"/>
      <c r="I8" s="116"/>
      <c r="J8" s="116"/>
      <c r="K8" s="116"/>
      <c r="L8" s="116"/>
      <c r="M8" s="50"/>
    </row>
    <row r="9" spans="1:16" ht="15.75" thickBot="1" x14ac:dyDescent="0.3">
      <c r="A9" s="122" t="s">
        <v>36</v>
      </c>
      <c r="B9" s="124"/>
      <c r="C9" s="192">
        <f>1-L18</f>
        <v>0.99936833318529716</v>
      </c>
      <c r="D9" s="5"/>
      <c r="E9" s="2">
        <v>42217</v>
      </c>
      <c r="F9" s="14">
        <v>2.2000000000000001E-3</v>
      </c>
      <c r="G9" s="189">
        <f>F9</f>
        <v>2.2000000000000001E-3</v>
      </c>
      <c r="H9" s="190">
        <f>G9</f>
        <v>2.2000000000000001E-3</v>
      </c>
      <c r="I9" s="190">
        <f>IF(H9&gt;=1.5%,1.5%,0%)</f>
        <v>0</v>
      </c>
      <c r="J9" s="190">
        <f>I9</f>
        <v>0</v>
      </c>
      <c r="K9" s="190">
        <f>(1+H9)/(1+I9)-1</f>
        <v>2.1999999999999797E-3</v>
      </c>
      <c r="L9" s="190">
        <f>1-(1+I9)/(1+H9)</f>
        <v>2.1951706246258196E-3</v>
      </c>
      <c r="M9" s="50"/>
      <c r="O9" s="1"/>
      <c r="P9" s="3"/>
    </row>
    <row r="10" spans="1:16" ht="15.75" thickBot="1" x14ac:dyDescent="0.3">
      <c r="A10" s="6"/>
      <c r="B10" s="4"/>
      <c r="C10" s="7"/>
      <c r="D10" s="5"/>
      <c r="E10" s="2">
        <v>42248</v>
      </c>
      <c r="F10" s="14">
        <v>5.4000000000000003E-3</v>
      </c>
      <c r="G10" s="190">
        <f>(1+F10)*(1+G9)-1</f>
        <v>7.6118800000000153E-3</v>
      </c>
      <c r="H10" s="190">
        <f>(1+K9)*(1+F10)-1</f>
        <v>7.6118800000000153E-3</v>
      </c>
      <c r="I10" s="190">
        <f>IF(H10&gt;=1.5%,1.5%,0%)</f>
        <v>0</v>
      </c>
      <c r="J10" s="190">
        <f>(1+I10)*(1+J9)-1</f>
        <v>0</v>
      </c>
      <c r="K10" s="190">
        <f>(1+H10)/(1+I10)-1</f>
        <v>7.6118800000000153E-3</v>
      </c>
      <c r="L10" s="190">
        <f>1-(1+I10)/(1+H10)</f>
        <v>7.5543769888858359E-3</v>
      </c>
      <c r="M10" s="50"/>
      <c r="O10" s="1"/>
      <c r="P10" s="3"/>
    </row>
    <row r="11" spans="1:16" ht="15.75" thickBot="1" x14ac:dyDescent="0.3">
      <c r="A11" s="122" t="s">
        <v>11</v>
      </c>
      <c r="B11" s="123"/>
      <c r="C11" s="191">
        <f>K19</f>
        <v>4.1342783011082407E-3</v>
      </c>
      <c r="D11" s="5"/>
      <c r="E11" s="2">
        <v>42278</v>
      </c>
      <c r="F11" s="14">
        <v>8.2000000000000007E-3</v>
      </c>
      <c r="G11" s="190">
        <f t="shared" ref="G11:G20" si="0">(1+F11)*(1+G10)-1</f>
        <v>1.5874297415999994E-2</v>
      </c>
      <c r="H11" s="190">
        <f t="shared" ref="H11:H20" si="1">(1+K10)*(1+F11)-1</f>
        <v>1.5874297415999994E-2</v>
      </c>
      <c r="I11" s="190">
        <f t="shared" ref="I11:I20" si="2">IF(H11&gt;=1.5%,1.5%,0%)</f>
        <v>1.4999999999999999E-2</v>
      </c>
      <c r="J11" s="190">
        <f t="shared" ref="J11:J20" si="3">(1+I11)*(1+J10)-1</f>
        <v>1.4999999999999902E-2</v>
      </c>
      <c r="K11" s="190">
        <f t="shared" ref="K11:K20" si="4">(1+H11)/(1+I11)-1</f>
        <v>8.6137676453201806E-4</v>
      </c>
      <c r="L11" s="190">
        <f t="shared" ref="L11:L20" si="5">1-(1+I11)/(1+H11)</f>
        <v>8.6063543316727831E-4</v>
      </c>
      <c r="M11" s="50"/>
      <c r="O11" s="1"/>
      <c r="P11" s="3"/>
    </row>
    <row r="12" spans="1:16" ht="15.75" thickBot="1" x14ac:dyDescent="0.3">
      <c r="A12" s="8"/>
      <c r="B12" s="9"/>
      <c r="C12" s="10"/>
      <c r="D12" s="5"/>
      <c r="E12" s="2">
        <v>42309</v>
      </c>
      <c r="F12" s="14">
        <v>1.01E-2</v>
      </c>
      <c r="G12" s="190">
        <f t="shared" si="0"/>
        <v>2.6134627819901501E-2</v>
      </c>
      <c r="H12" s="190">
        <f t="shared" si="1"/>
        <v>1.0970076669853723E-2</v>
      </c>
      <c r="I12" s="190">
        <f t="shared" si="2"/>
        <v>0</v>
      </c>
      <c r="J12" s="190">
        <f t="shared" si="3"/>
        <v>1.4999999999999902E-2</v>
      </c>
      <c r="K12" s="190">
        <f t="shared" si="4"/>
        <v>1.0970076669853723E-2</v>
      </c>
      <c r="L12" s="190">
        <f t="shared" si="5"/>
        <v>1.085103992987535E-2</v>
      </c>
      <c r="M12" s="50"/>
      <c r="O12" s="1"/>
      <c r="P12" s="3"/>
    </row>
    <row r="13" spans="1:16" x14ac:dyDescent="0.25">
      <c r="A13" s="49"/>
      <c r="B13" s="12"/>
      <c r="C13" s="12"/>
      <c r="D13" s="12"/>
      <c r="E13" s="2">
        <v>42339</v>
      </c>
      <c r="F13" s="14">
        <v>9.5999999999999992E-3</v>
      </c>
      <c r="G13" s="190">
        <f t="shared" si="0"/>
        <v>3.5985520246972547E-2</v>
      </c>
      <c r="H13" s="190">
        <f t="shared" si="1"/>
        <v>2.0675389405884426E-2</v>
      </c>
      <c r="I13" s="190">
        <f t="shared" si="2"/>
        <v>1.4999999999999999E-2</v>
      </c>
      <c r="J13" s="190">
        <f t="shared" si="3"/>
        <v>3.0224999999999724E-2</v>
      </c>
      <c r="K13" s="190">
        <f t="shared" si="4"/>
        <v>5.591516656043849E-3</v>
      </c>
      <c r="L13" s="190">
        <f t="shared" si="5"/>
        <v>5.5604254445559276E-3</v>
      </c>
      <c r="M13" s="50"/>
      <c r="O13" s="1"/>
      <c r="P13" s="3"/>
    </row>
    <row r="14" spans="1:16" x14ac:dyDescent="0.25">
      <c r="A14" s="49"/>
      <c r="B14" s="12"/>
      <c r="C14" s="12"/>
      <c r="D14" s="12"/>
      <c r="E14" s="2">
        <v>42370</v>
      </c>
      <c r="F14" s="14">
        <v>1.2699999999999999E-2</v>
      </c>
      <c r="G14" s="190">
        <f t="shared" si="0"/>
        <v>4.9142536354108923E-2</v>
      </c>
      <c r="H14" s="190">
        <f t="shared" si="1"/>
        <v>1.8362528917575505E-2</v>
      </c>
      <c r="I14" s="190">
        <f t="shared" si="2"/>
        <v>1.4999999999999999E-2</v>
      </c>
      <c r="J14" s="190">
        <f t="shared" si="3"/>
        <v>4.5678374999999605E-2</v>
      </c>
      <c r="K14" s="190">
        <f t="shared" si="4"/>
        <v>3.3128363719956422E-3</v>
      </c>
      <c r="L14" s="190">
        <f t="shared" si="5"/>
        <v>3.3018977251152437E-3</v>
      </c>
      <c r="M14" s="50"/>
      <c r="O14" s="1"/>
      <c r="P14" s="3"/>
    </row>
    <row r="15" spans="1:16" x14ac:dyDescent="0.25">
      <c r="A15" s="49"/>
      <c r="B15" s="12"/>
      <c r="C15" s="12"/>
      <c r="D15" s="12"/>
      <c r="E15" s="2">
        <v>42401</v>
      </c>
      <c r="F15" s="14">
        <v>8.9999999999999993E-3</v>
      </c>
      <c r="G15" s="190">
        <f t="shared" si="0"/>
        <v>5.8584819181295877E-2</v>
      </c>
      <c r="H15" s="190">
        <f t="shared" si="1"/>
        <v>1.2342651899343471E-2</v>
      </c>
      <c r="I15" s="190">
        <f t="shared" si="2"/>
        <v>0</v>
      </c>
      <c r="J15" s="190">
        <f t="shared" si="3"/>
        <v>4.5678374999999605E-2</v>
      </c>
      <c r="K15" s="190">
        <f t="shared" si="4"/>
        <v>1.2342651899343471E-2</v>
      </c>
      <c r="L15" s="190">
        <f t="shared" si="5"/>
        <v>1.2192168211214161E-2</v>
      </c>
      <c r="M15" s="50"/>
      <c r="O15" s="1"/>
      <c r="P15" s="3"/>
    </row>
    <row r="16" spans="1:16" x14ac:dyDescent="0.25">
      <c r="A16" s="49"/>
      <c r="B16" s="12"/>
      <c r="C16" s="12"/>
      <c r="D16" s="12"/>
      <c r="E16" s="2">
        <v>42430</v>
      </c>
      <c r="F16" s="14">
        <v>4.3E-3</v>
      </c>
      <c r="G16" s="190">
        <f t="shared" si="0"/>
        <v>6.3136733903775388E-2</v>
      </c>
      <c r="H16" s="190">
        <f t="shared" si="1"/>
        <v>1.6695725302510622E-2</v>
      </c>
      <c r="I16" s="190">
        <f t="shared" si="2"/>
        <v>1.4999999999999999E-2</v>
      </c>
      <c r="J16" s="190">
        <f t="shared" si="3"/>
        <v>6.136355062499943E-2</v>
      </c>
      <c r="K16" s="190">
        <f t="shared" si="4"/>
        <v>1.6706653226705726E-3</v>
      </c>
      <c r="L16" s="190">
        <f t="shared" si="5"/>
        <v>1.6678788553047275E-3</v>
      </c>
      <c r="M16" s="50"/>
      <c r="O16" s="1"/>
      <c r="P16" s="3"/>
    </row>
    <row r="17" spans="1:16" x14ac:dyDescent="0.25">
      <c r="A17" s="49"/>
      <c r="B17" s="12"/>
      <c r="C17" s="12"/>
      <c r="D17" s="12"/>
      <c r="E17" s="2">
        <v>42461</v>
      </c>
      <c r="F17" s="14">
        <v>6.1000000000000004E-3</v>
      </c>
      <c r="G17" s="190">
        <f t="shared" si="0"/>
        <v>6.9621867980588448E-2</v>
      </c>
      <c r="H17" s="190">
        <f t="shared" si="1"/>
        <v>7.7808563811387899E-3</v>
      </c>
      <c r="I17" s="190">
        <f t="shared" si="2"/>
        <v>0</v>
      </c>
      <c r="J17" s="190">
        <f t="shared" si="3"/>
        <v>6.136355062499943E-2</v>
      </c>
      <c r="K17" s="190">
        <f t="shared" si="4"/>
        <v>7.7808563811387899E-3</v>
      </c>
      <c r="L17" s="190">
        <f t="shared" si="5"/>
        <v>7.7207820845884845E-3</v>
      </c>
      <c r="M17" s="50"/>
      <c r="O17" s="1"/>
      <c r="P17" s="3"/>
    </row>
    <row r="18" spans="1:16" x14ac:dyDescent="0.25">
      <c r="A18" s="49"/>
      <c r="B18" s="12"/>
      <c r="C18" s="12"/>
      <c r="D18" s="12"/>
      <c r="E18" s="2">
        <v>42491</v>
      </c>
      <c r="F18" s="14">
        <v>7.7999999999999996E-3</v>
      </c>
      <c r="G18" s="190">
        <f t="shared" si="0"/>
        <v>7.7964918550837092E-2</v>
      </c>
      <c r="H18" s="190">
        <f t="shared" si="1"/>
        <v>1.5641547060911698E-2</v>
      </c>
      <c r="I18" s="190">
        <f t="shared" si="2"/>
        <v>1.4999999999999999E-2</v>
      </c>
      <c r="J18" s="190">
        <f t="shared" si="3"/>
        <v>7.7284003884374286E-2</v>
      </c>
      <c r="K18" s="190">
        <f t="shared" si="4"/>
        <v>6.3206606986376812E-4</v>
      </c>
      <c r="L18" s="190">
        <f t="shared" si="5"/>
        <v>6.3166681470283592E-4</v>
      </c>
      <c r="M18" s="50"/>
      <c r="O18" s="1"/>
      <c r="P18" s="3"/>
    </row>
    <row r="19" spans="1:16" x14ac:dyDescent="0.25">
      <c r="A19" s="49"/>
      <c r="B19" s="12"/>
      <c r="C19" s="12"/>
      <c r="D19" s="12"/>
      <c r="E19" s="2">
        <v>42522</v>
      </c>
      <c r="F19" s="14">
        <v>3.5000000000000001E-3</v>
      </c>
      <c r="G19" s="190">
        <f t="shared" si="0"/>
        <v>8.1737795765765009E-2</v>
      </c>
      <c r="H19" s="190">
        <f t="shared" si="1"/>
        <v>4.1342783011082407E-3</v>
      </c>
      <c r="I19" s="190">
        <f t="shared" si="2"/>
        <v>0</v>
      </c>
      <c r="J19" s="190">
        <f t="shared" si="3"/>
        <v>7.7284003884374286E-2</v>
      </c>
      <c r="K19" s="190">
        <f t="shared" si="4"/>
        <v>4.1342783011082407E-3</v>
      </c>
      <c r="L19" s="190">
        <f t="shared" si="5"/>
        <v>4.1172564172423654E-3</v>
      </c>
      <c r="M19" s="50"/>
      <c r="O19" s="1"/>
      <c r="P19" s="3"/>
    </row>
    <row r="20" spans="1:16" x14ac:dyDescent="0.25">
      <c r="A20" s="49"/>
      <c r="B20" s="12"/>
      <c r="C20" s="12"/>
      <c r="D20" s="12"/>
      <c r="E20" s="2">
        <v>42552</v>
      </c>
      <c r="F20" s="14">
        <v>5.1999999999999998E-3</v>
      </c>
      <c r="G20" s="190">
        <f t="shared" si="0"/>
        <v>8.7362832303747195E-2</v>
      </c>
      <c r="H20" s="190">
        <f t="shared" si="1"/>
        <v>9.3557765482741306E-3</v>
      </c>
      <c r="I20" s="190">
        <f t="shared" si="2"/>
        <v>0</v>
      </c>
      <c r="J20" s="190">
        <f t="shared" si="3"/>
        <v>7.7284003884374286E-2</v>
      </c>
      <c r="K20" s="190">
        <f t="shared" si="4"/>
        <v>9.3557765482741306E-3</v>
      </c>
      <c r="L20" s="190">
        <f t="shared" si="5"/>
        <v>9.2690573191827053E-3</v>
      </c>
      <c r="M20" s="50"/>
      <c r="O20" s="1"/>
      <c r="P20" s="3"/>
    </row>
    <row r="21" spans="1:16" x14ac:dyDescent="0.25">
      <c r="A21" s="4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50"/>
    </row>
    <row r="22" spans="1:16" ht="15.75" thickBot="1" x14ac:dyDescent="0.3">
      <c r="A22" s="51"/>
      <c r="B22" s="52"/>
      <c r="C22" s="52"/>
      <c r="D22" s="52"/>
      <c r="E22" s="52"/>
      <c r="F22" s="52"/>
      <c r="G22" s="52"/>
      <c r="H22" s="52"/>
      <c r="I22" s="52"/>
      <c r="J22" s="55"/>
      <c r="K22" s="52"/>
      <c r="L22" s="52"/>
      <c r="M22" s="53"/>
    </row>
    <row r="23" spans="1:16" x14ac:dyDescent="0.25">
      <c r="E23" s="12"/>
      <c r="F23" s="13"/>
      <c r="G23" s="12"/>
    </row>
    <row r="24" spans="1:16" x14ac:dyDescent="0.25">
      <c r="E24" s="12"/>
      <c r="F24" s="13"/>
      <c r="G24" s="12"/>
    </row>
    <row r="25" spans="1:16" x14ac:dyDescent="0.25">
      <c r="E25" s="12"/>
      <c r="F25" s="13"/>
      <c r="G25" s="12"/>
    </row>
    <row r="26" spans="1:16" x14ac:dyDescent="0.25">
      <c r="E26" s="12"/>
      <c r="F26" s="13"/>
      <c r="G26" s="12"/>
    </row>
    <row r="27" spans="1:16" x14ac:dyDescent="0.25">
      <c r="E27" s="12"/>
      <c r="F27" s="13"/>
      <c r="G27" s="12"/>
    </row>
    <row r="28" spans="1:16" x14ac:dyDescent="0.25">
      <c r="E28" s="12"/>
      <c r="F28" s="13"/>
      <c r="G28" s="12"/>
    </row>
    <row r="29" spans="1:16" x14ac:dyDescent="0.25">
      <c r="E29" s="12"/>
      <c r="F29" s="13"/>
      <c r="G29" s="12"/>
    </row>
    <row r="30" spans="1:16" x14ac:dyDescent="0.25">
      <c r="E30" s="12"/>
      <c r="F30" s="13"/>
      <c r="G30" s="12"/>
    </row>
    <row r="31" spans="1:16" x14ac:dyDescent="0.25">
      <c r="E31" s="12"/>
      <c r="F31" s="13"/>
      <c r="G31" s="12"/>
    </row>
    <row r="32" spans="1:16" x14ac:dyDescent="0.25">
      <c r="E32" s="12"/>
      <c r="F32" s="13"/>
      <c r="G32" s="12"/>
    </row>
    <row r="33" spans="5:7" x14ac:dyDescent="0.25">
      <c r="E33" s="12"/>
      <c r="F33" s="13"/>
      <c r="G33" s="12"/>
    </row>
    <row r="34" spans="5:7" x14ac:dyDescent="0.25">
      <c r="E34" s="12"/>
      <c r="F34" s="13"/>
      <c r="G34" s="12"/>
    </row>
  </sheetData>
  <mergeCells count="17">
    <mergeCell ref="A1:C1"/>
    <mergeCell ref="A11:B11"/>
    <mergeCell ref="A3:B3"/>
    <mergeCell ref="A9:B9"/>
    <mergeCell ref="A8:B8"/>
    <mergeCell ref="A7:C7"/>
    <mergeCell ref="A6:B6"/>
    <mergeCell ref="A4:C4"/>
    <mergeCell ref="A5:B5"/>
    <mergeCell ref="L7:L8"/>
    <mergeCell ref="K7:K8"/>
    <mergeCell ref="F7:F8"/>
    <mergeCell ref="E7:E8"/>
    <mergeCell ref="J7:J8"/>
    <mergeCell ref="I7:I8"/>
    <mergeCell ref="H7:H8"/>
    <mergeCell ref="G7:G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3"/>
  <sheetViews>
    <sheetView tabSelected="1" topLeftCell="A37" workbookViewId="0">
      <selection activeCell="B68" sqref="B68"/>
    </sheetView>
  </sheetViews>
  <sheetFormatPr defaultColWidth="9" defaultRowHeight="15" x14ac:dyDescent="0.25"/>
  <cols>
    <col min="1" max="1" width="11.5703125" style="20" customWidth="1"/>
    <col min="2" max="2" width="11" style="20" customWidth="1"/>
    <col min="3" max="3" width="9.5703125" style="20" bestFit="1" customWidth="1"/>
    <col min="4" max="5" width="9" style="20"/>
    <col min="6" max="7" width="9.42578125" style="20" bestFit="1" customWidth="1"/>
    <col min="8" max="8" width="9" style="20"/>
    <col min="9" max="9" width="12" style="20" customWidth="1"/>
    <col min="10" max="16384" width="9" style="20"/>
  </cols>
  <sheetData>
    <row r="1" spans="1:17" ht="15.75" thickBo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7" x14ac:dyDescent="0.25">
      <c r="A2" s="145" t="s">
        <v>33</v>
      </c>
      <c r="B2" s="146"/>
      <c r="C2" s="146"/>
      <c r="D2" s="146"/>
      <c r="E2" s="146"/>
      <c r="F2" s="146"/>
      <c r="G2" s="146"/>
      <c r="H2" s="146"/>
      <c r="I2" s="146"/>
      <c r="J2" s="146"/>
      <c r="K2" s="147"/>
      <c r="L2" s="39"/>
    </row>
    <row r="3" spans="1:17" ht="15.75" thickBot="1" x14ac:dyDescent="0.3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50"/>
      <c r="L3" s="39"/>
    </row>
    <row r="4" spans="1:17" ht="15.75" thickBo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39"/>
      <c r="M4" s="57"/>
      <c r="N4" s="57">
        <v>0</v>
      </c>
      <c r="O4" s="57">
        <v>30</v>
      </c>
      <c r="P4" s="57">
        <v>60</v>
      </c>
      <c r="Q4" s="57"/>
    </row>
    <row r="5" spans="1:17" ht="19.5" thickBot="1" x14ac:dyDescent="0.35">
      <c r="A5" s="155" t="s">
        <v>16</v>
      </c>
      <c r="B5" s="156"/>
      <c r="C5" s="156"/>
      <c r="D5" s="156"/>
      <c r="E5" s="156"/>
      <c r="F5" s="156"/>
      <c r="G5" s="156"/>
      <c r="H5" s="156"/>
      <c r="I5" s="156"/>
      <c r="J5" s="156"/>
      <c r="K5" s="157"/>
      <c r="L5" s="39"/>
      <c r="M5" s="57" t="s">
        <v>62</v>
      </c>
      <c r="N5" s="57">
        <f>2000*(1-8%)</f>
        <v>1840</v>
      </c>
      <c r="O5" s="57"/>
      <c r="P5" s="57"/>
      <c r="Q5" s="57"/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39"/>
      <c r="M6" s="57" t="s">
        <v>63</v>
      </c>
      <c r="N6" s="57">
        <f>25%*2000</f>
        <v>500</v>
      </c>
      <c r="O6" s="57">
        <f>(2000-N6)/2</f>
        <v>750</v>
      </c>
      <c r="P6" s="57">
        <f>O6</f>
        <v>750</v>
      </c>
      <c r="Q6" s="57"/>
    </row>
    <row r="7" spans="1:17" x14ac:dyDescent="0.25">
      <c r="A7" s="24" t="s">
        <v>19</v>
      </c>
      <c r="B7" s="25">
        <f>N5*(1+B10)</f>
        <v>2000.0000000000007</v>
      </c>
      <c r="C7" s="41"/>
      <c r="D7" s="23"/>
      <c r="E7" s="41"/>
      <c r="F7" s="41"/>
      <c r="G7" s="41"/>
      <c r="H7" s="24" t="s">
        <v>19</v>
      </c>
      <c r="I7" s="25"/>
      <c r="J7" s="41"/>
      <c r="K7" s="41"/>
      <c r="L7" s="39"/>
      <c r="M7" s="57" t="s">
        <v>64</v>
      </c>
      <c r="N7" s="57"/>
      <c r="O7" s="57">
        <f>2000</f>
        <v>2000</v>
      </c>
      <c r="P7" s="57"/>
    </row>
    <row r="8" spans="1:17" x14ac:dyDescent="0.25">
      <c r="A8" s="24" t="s">
        <v>21</v>
      </c>
      <c r="B8" s="25">
        <f>O7</f>
        <v>2000</v>
      </c>
      <c r="C8" s="41"/>
      <c r="D8" s="23"/>
      <c r="E8" s="41"/>
      <c r="F8" s="41"/>
      <c r="G8" s="41"/>
      <c r="H8" s="24" t="s">
        <v>21</v>
      </c>
      <c r="I8" s="25"/>
      <c r="J8" s="41"/>
      <c r="K8" s="41"/>
      <c r="L8" s="39"/>
    </row>
    <row r="9" spans="1:17" x14ac:dyDescent="0.25">
      <c r="A9" s="24" t="s">
        <v>22</v>
      </c>
      <c r="B9" s="25">
        <f>B7-B8</f>
        <v>0</v>
      </c>
      <c r="C9" s="41"/>
      <c r="D9" s="23"/>
      <c r="E9" s="41"/>
      <c r="F9" s="41"/>
      <c r="G9" s="41"/>
      <c r="H9" s="24" t="s">
        <v>22</v>
      </c>
      <c r="I9" s="25"/>
      <c r="J9" s="41"/>
      <c r="K9" s="41"/>
      <c r="L9" s="39"/>
    </row>
    <row r="10" spans="1:17" x14ac:dyDescent="0.25">
      <c r="A10" s="24" t="s">
        <v>12</v>
      </c>
      <c r="B10" s="98">
        <v>8.695652173913089E-2</v>
      </c>
      <c r="C10" s="41"/>
      <c r="D10" s="23"/>
      <c r="E10" s="41"/>
      <c r="F10" s="41"/>
      <c r="G10" s="41"/>
      <c r="H10" s="24" t="s">
        <v>12</v>
      </c>
      <c r="I10" s="89"/>
      <c r="J10" s="41"/>
      <c r="K10" s="41"/>
      <c r="L10" s="39"/>
    </row>
    <row r="11" spans="1:17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39"/>
    </row>
    <row r="12" spans="1:17" ht="15.75" thickBot="1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39"/>
    </row>
    <row r="13" spans="1:17" ht="19.5" thickBot="1" x14ac:dyDescent="0.35">
      <c r="A13" s="155" t="s">
        <v>17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7"/>
      <c r="L13" s="39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39"/>
    </row>
    <row r="15" spans="1:17" x14ac:dyDescent="0.25">
      <c r="A15" s="24" t="s">
        <v>19</v>
      </c>
      <c r="B15" s="25">
        <f>$N$5*(1+B18)^2</f>
        <v>2140.6590821918785</v>
      </c>
      <c r="C15" s="42"/>
      <c r="D15" s="41"/>
      <c r="E15" s="41"/>
      <c r="F15" s="40"/>
      <c r="G15" s="40"/>
      <c r="H15" s="24" t="s">
        <v>19</v>
      </c>
      <c r="I15" s="25">
        <f>$N$5*(1+I18)^2</f>
        <v>495.45140933938967</v>
      </c>
      <c r="J15" s="40"/>
      <c r="K15" s="40"/>
      <c r="L15" s="39"/>
    </row>
    <row r="16" spans="1:17" x14ac:dyDescent="0.25">
      <c r="A16" s="24" t="s">
        <v>20</v>
      </c>
      <c r="B16" s="25">
        <f>$N$6*(1+B18)^2+$O$6*(1+B18)+$P$6</f>
        <v>2140.6590826094234</v>
      </c>
      <c r="C16" s="42"/>
      <c r="D16" s="41"/>
      <c r="E16" s="41"/>
      <c r="F16" s="40"/>
      <c r="G16" s="40"/>
      <c r="H16" s="24" t="s">
        <v>20</v>
      </c>
      <c r="I16" s="25">
        <f>$N$6*(1+I18)^2+$O$6*(1+I18)+$P$6</f>
        <v>495.45140934954372</v>
      </c>
      <c r="J16" s="40"/>
      <c r="K16" s="40"/>
      <c r="L16" s="39"/>
    </row>
    <row r="17" spans="1:12" x14ac:dyDescent="0.25">
      <c r="A17" s="24" t="s">
        <v>22</v>
      </c>
      <c r="B17" s="25">
        <f>B15-B16</f>
        <v>-4.1754492485779338E-7</v>
      </c>
      <c r="C17" s="42"/>
      <c r="D17" s="41"/>
      <c r="E17" s="41"/>
      <c r="F17" s="40"/>
      <c r="G17" s="40"/>
      <c r="H17" s="24" t="s">
        <v>22</v>
      </c>
      <c r="I17" s="25">
        <f>(I15-I16)/(I18-B18)</f>
        <v>6.3561335413710921E-9</v>
      </c>
      <c r="J17" s="40"/>
      <c r="K17" s="40"/>
      <c r="L17" s="39"/>
    </row>
    <row r="18" spans="1:12" x14ac:dyDescent="0.25">
      <c r="A18" s="24" t="s">
        <v>12</v>
      </c>
      <c r="B18" s="98">
        <v>7.8610993409710159E-2</v>
      </c>
      <c r="C18" s="95"/>
      <c r="D18" s="41"/>
      <c r="E18" s="41"/>
      <c r="F18" s="40"/>
      <c r="G18" s="40"/>
      <c r="H18" s="24" t="s">
        <v>12</v>
      </c>
      <c r="I18" s="98">
        <v>-1.5189095010627061</v>
      </c>
      <c r="J18" s="40"/>
      <c r="K18" s="40"/>
      <c r="L18" s="39"/>
    </row>
    <row r="19" spans="1:12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39"/>
    </row>
    <row r="20" spans="1:12" ht="15.75" thickBo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39"/>
    </row>
    <row r="21" spans="1:12" ht="19.5" thickBot="1" x14ac:dyDescent="0.35">
      <c r="A21" s="155" t="s">
        <v>18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7"/>
      <c r="L21" s="39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39"/>
    </row>
    <row r="23" spans="1:12" x14ac:dyDescent="0.25">
      <c r="A23" s="24" t="s">
        <v>20</v>
      </c>
      <c r="B23" s="25">
        <f>$N$6*(1+B26)^2+$O$6*(1+B26)+$P$6</f>
        <v>2000</v>
      </c>
      <c r="C23" s="41"/>
      <c r="D23" s="41"/>
      <c r="E23" s="41"/>
      <c r="F23" s="41"/>
      <c r="G23" s="41"/>
      <c r="H23" s="24" t="s">
        <v>20</v>
      </c>
      <c r="I23" s="25">
        <f>$N$6*(1+I26)^2+$O$6*(1+I26)+$P$6</f>
        <v>2999.9999999999986</v>
      </c>
      <c r="J23" s="41"/>
      <c r="K23" s="41"/>
      <c r="L23" s="39"/>
    </row>
    <row r="24" spans="1:12" x14ac:dyDescent="0.25">
      <c r="A24" s="24" t="s">
        <v>21</v>
      </c>
      <c r="B24" s="25">
        <f>$O$7*(1+B26)</f>
        <v>2000</v>
      </c>
      <c r="C24" s="41"/>
      <c r="D24" s="41"/>
      <c r="E24" s="41"/>
      <c r="F24" s="41"/>
      <c r="G24" s="41"/>
      <c r="H24" s="24" t="s">
        <v>21</v>
      </c>
      <c r="I24" s="25">
        <f>$O$7*(1+I26)</f>
        <v>2999.9999999999986</v>
      </c>
      <c r="J24" s="41"/>
      <c r="K24" s="41"/>
      <c r="L24" s="39"/>
    </row>
    <row r="25" spans="1:12" x14ac:dyDescent="0.25">
      <c r="A25" s="24" t="s">
        <v>22</v>
      </c>
      <c r="B25" s="26">
        <f>B23-B24</f>
        <v>0</v>
      </c>
      <c r="C25" s="41"/>
      <c r="D25" s="41"/>
      <c r="E25" s="41"/>
      <c r="F25" s="41"/>
      <c r="G25" s="41"/>
      <c r="H25" s="24" t="s">
        <v>22</v>
      </c>
      <c r="I25" s="26">
        <f>(I23-I24)/(I26-B26)</f>
        <v>0</v>
      </c>
      <c r="J25" s="41"/>
      <c r="K25" s="41"/>
      <c r="L25" s="39"/>
    </row>
    <row r="26" spans="1:12" x14ac:dyDescent="0.25">
      <c r="A26" s="24" t="s">
        <v>12</v>
      </c>
      <c r="B26" s="89">
        <v>0</v>
      </c>
      <c r="C26" s="41"/>
      <c r="D26" s="41"/>
      <c r="E26" s="41"/>
      <c r="F26" s="41"/>
      <c r="G26" s="41"/>
      <c r="H26" s="24" t="s">
        <v>12</v>
      </c>
      <c r="I26" s="89">
        <v>0.49999999999999933</v>
      </c>
      <c r="J26" s="41"/>
      <c r="K26" s="41"/>
      <c r="L26" s="39"/>
    </row>
    <row r="27" spans="1:12" x14ac:dyDescent="0.25">
      <c r="A27" s="23"/>
      <c r="B27" s="43"/>
      <c r="C27" s="43"/>
      <c r="D27" s="41"/>
      <c r="E27" s="41"/>
      <c r="F27" s="41"/>
      <c r="G27" s="41"/>
      <c r="H27" s="41"/>
      <c r="I27" s="41"/>
      <c r="J27" s="41"/>
      <c r="K27" s="41"/>
      <c r="L27" s="39"/>
    </row>
    <row r="28" spans="1:12" x14ac:dyDescent="0.25">
      <c r="A28" s="23"/>
      <c r="B28" s="43"/>
      <c r="C28" s="43"/>
      <c r="D28" s="41"/>
      <c r="E28" s="41"/>
      <c r="F28" s="41"/>
      <c r="G28" s="41"/>
      <c r="H28" s="41"/>
      <c r="I28" s="41"/>
      <c r="J28" s="41"/>
      <c r="K28" s="41"/>
      <c r="L28" s="39"/>
    </row>
    <row r="29" spans="1:12" x14ac:dyDescent="0.25">
      <c r="A29" s="23"/>
      <c r="B29" s="43"/>
      <c r="C29" s="43"/>
      <c r="D29" s="41"/>
      <c r="E29" s="41"/>
      <c r="F29" s="41"/>
      <c r="G29" s="41"/>
      <c r="H29" s="41"/>
      <c r="I29" s="41"/>
      <c r="J29" s="41"/>
      <c r="K29" s="41"/>
      <c r="L29" s="39"/>
    </row>
    <row r="30" spans="1:12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39"/>
    </row>
    <row r="31" spans="1:12" x14ac:dyDescent="0.25">
      <c r="A31" s="24"/>
      <c r="B31" s="195" t="s">
        <v>65</v>
      </c>
      <c r="C31" s="159"/>
      <c r="D31" s="158" t="s">
        <v>66</v>
      </c>
      <c r="E31" s="159"/>
      <c r="F31" s="158" t="s">
        <v>68</v>
      </c>
      <c r="G31" s="159"/>
      <c r="H31" s="158" t="s">
        <v>67</v>
      </c>
      <c r="I31" s="159"/>
      <c r="J31" s="41"/>
      <c r="K31" s="41"/>
      <c r="L31" s="39"/>
    </row>
    <row r="32" spans="1:12" x14ac:dyDescent="0.25">
      <c r="A32" s="24" t="s">
        <v>16</v>
      </c>
      <c r="B32" s="138" t="s">
        <v>19</v>
      </c>
      <c r="C32" s="139"/>
      <c r="D32" s="138" t="s">
        <v>19</v>
      </c>
      <c r="E32" s="139"/>
      <c r="F32" s="138" t="s">
        <v>21</v>
      </c>
      <c r="G32" s="139"/>
      <c r="H32" s="138" t="s">
        <v>21</v>
      </c>
      <c r="I32" s="139"/>
      <c r="J32" s="41"/>
      <c r="K32" s="41"/>
      <c r="L32" s="39"/>
    </row>
    <row r="33" spans="1:12" x14ac:dyDescent="0.25">
      <c r="A33" s="24" t="s">
        <v>17</v>
      </c>
      <c r="B33" s="138" t="s">
        <v>19</v>
      </c>
      <c r="C33" s="139"/>
      <c r="D33" s="138" t="s">
        <v>20</v>
      </c>
      <c r="E33" s="139"/>
      <c r="F33" s="138" t="s">
        <v>20</v>
      </c>
      <c r="G33" s="139"/>
      <c r="H33" s="138" t="s">
        <v>20</v>
      </c>
      <c r="I33" s="139"/>
      <c r="J33" s="41"/>
      <c r="K33" s="41"/>
      <c r="L33" s="39"/>
    </row>
    <row r="34" spans="1:12" ht="15.75" thickBot="1" x14ac:dyDescent="0.3">
      <c r="A34" s="27" t="s">
        <v>18</v>
      </c>
      <c r="B34" s="140" t="s">
        <v>20</v>
      </c>
      <c r="C34" s="141"/>
      <c r="D34" s="140" t="s">
        <v>20</v>
      </c>
      <c r="E34" s="141"/>
      <c r="F34" s="140" t="s">
        <v>20</v>
      </c>
      <c r="G34" s="141"/>
      <c r="H34" s="140" t="s">
        <v>21</v>
      </c>
      <c r="I34" s="141"/>
      <c r="J34" s="41"/>
      <c r="K34" s="41"/>
      <c r="L34" s="39"/>
    </row>
    <row r="35" spans="1:12" x14ac:dyDescent="0.25">
      <c r="A35" s="28" t="s">
        <v>24</v>
      </c>
      <c r="B35" s="151" t="s">
        <v>19</v>
      </c>
      <c r="C35" s="152"/>
      <c r="D35" s="151" t="s">
        <v>20</v>
      </c>
      <c r="E35" s="152"/>
      <c r="F35" s="151" t="s">
        <v>20</v>
      </c>
      <c r="G35" s="152"/>
      <c r="H35" s="151" t="s">
        <v>21</v>
      </c>
      <c r="I35" s="160"/>
      <c r="J35" s="41"/>
      <c r="K35" s="41"/>
      <c r="L35" s="39"/>
    </row>
    <row r="36" spans="1:12" x14ac:dyDescent="0.25">
      <c r="A36" s="29" t="s">
        <v>25</v>
      </c>
      <c r="B36" s="136" t="s">
        <v>20</v>
      </c>
      <c r="C36" s="137"/>
      <c r="D36" s="136" t="s">
        <v>19</v>
      </c>
      <c r="E36" s="137"/>
      <c r="F36" s="136" t="s">
        <v>21</v>
      </c>
      <c r="G36" s="137"/>
      <c r="H36" s="136" t="s">
        <v>20</v>
      </c>
      <c r="I36" s="154"/>
      <c r="J36" s="41"/>
      <c r="K36" s="41"/>
      <c r="L36" s="39"/>
    </row>
    <row r="37" spans="1:12" ht="15.75" thickBot="1" x14ac:dyDescent="0.3">
      <c r="A37" s="30" t="s">
        <v>26</v>
      </c>
      <c r="B37" s="134" t="s">
        <v>21</v>
      </c>
      <c r="C37" s="135"/>
      <c r="D37" s="134" t="s">
        <v>21</v>
      </c>
      <c r="E37" s="135"/>
      <c r="F37" s="134" t="s">
        <v>19</v>
      </c>
      <c r="G37" s="135"/>
      <c r="H37" s="134" t="s">
        <v>19</v>
      </c>
      <c r="I37" s="153"/>
      <c r="J37" s="41"/>
      <c r="K37" s="41"/>
      <c r="L37" s="39"/>
    </row>
    <row r="38" spans="1:12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39"/>
    </row>
    <row r="39" spans="1:12" ht="15.75" thickBot="1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39"/>
    </row>
    <row r="40" spans="1:12" ht="14.45" customHeight="1" x14ac:dyDescent="0.25">
      <c r="A40" s="145" t="s">
        <v>34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7"/>
      <c r="L40" s="39"/>
    </row>
    <row r="41" spans="1:12" ht="15" customHeight="1" thickBot="1" x14ac:dyDescent="0.3">
      <c r="A41" s="148"/>
      <c r="B41" s="149"/>
      <c r="C41" s="149"/>
      <c r="D41" s="149"/>
      <c r="E41" s="149"/>
      <c r="F41" s="149"/>
      <c r="G41" s="149"/>
      <c r="H41" s="149"/>
      <c r="I41" s="149"/>
      <c r="J41" s="149"/>
      <c r="K41" s="150"/>
      <c r="L41" s="39"/>
    </row>
    <row r="42" spans="1:12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39"/>
    </row>
    <row r="43" spans="1:12" x14ac:dyDescent="0.25">
      <c r="A43" s="24"/>
      <c r="B43" s="24">
        <v>0</v>
      </c>
      <c r="C43" s="24">
        <v>30</v>
      </c>
      <c r="D43" s="24">
        <v>60</v>
      </c>
      <c r="E43" s="41"/>
      <c r="F43" s="24" t="s">
        <v>23</v>
      </c>
      <c r="G43" s="41"/>
      <c r="H43" s="24" t="s">
        <v>56</v>
      </c>
      <c r="I43" s="99">
        <v>7.0000000000000007E-2</v>
      </c>
      <c r="J43" s="41"/>
      <c r="K43" s="41"/>
      <c r="L43" s="39"/>
    </row>
    <row r="44" spans="1:12" x14ac:dyDescent="0.25">
      <c r="A44" s="24" t="s">
        <v>13</v>
      </c>
      <c r="B44" s="31">
        <v>2000</v>
      </c>
      <c r="C44" s="32"/>
      <c r="D44" s="32"/>
      <c r="E44" s="41"/>
      <c r="F44" s="33">
        <f>B44*(1+I43)^2</f>
        <v>2289.8000000000002</v>
      </c>
      <c r="G44" s="41"/>
      <c r="H44" s="41"/>
      <c r="I44" s="41"/>
      <c r="J44" s="41"/>
      <c r="K44" s="41"/>
      <c r="L44" s="39"/>
    </row>
    <row r="45" spans="1:12" x14ac:dyDescent="0.25">
      <c r="A45" s="24" t="s">
        <v>14</v>
      </c>
      <c r="B45" s="32">
        <v>500</v>
      </c>
      <c r="C45" s="32">
        <v>750</v>
      </c>
      <c r="D45" s="32">
        <v>750</v>
      </c>
      <c r="E45" s="41"/>
      <c r="F45" s="33">
        <f>B45*(1+I43)^2+C45*(1+I43)+D45</f>
        <v>2124.9499999999998</v>
      </c>
      <c r="G45" s="41"/>
      <c r="H45" s="41"/>
      <c r="I45" s="41"/>
      <c r="J45" s="41"/>
      <c r="K45" s="41"/>
      <c r="L45" s="39"/>
    </row>
    <row r="46" spans="1:12" x14ac:dyDescent="0.25">
      <c r="A46" s="24" t="s">
        <v>15</v>
      </c>
      <c r="B46" s="32"/>
      <c r="C46" s="32">
        <v>2000</v>
      </c>
      <c r="D46" s="32"/>
      <c r="E46" s="41"/>
      <c r="F46" s="33">
        <f>C46*(1+I43)</f>
        <v>2140</v>
      </c>
      <c r="G46" s="41"/>
      <c r="H46" s="41"/>
      <c r="I46" s="41"/>
      <c r="J46" s="41"/>
      <c r="K46" s="41"/>
      <c r="L46" s="39"/>
    </row>
    <row r="47" spans="1:12" ht="15.75" thickBot="1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39"/>
    </row>
    <row r="48" spans="1:12" ht="15.75" thickBot="1" x14ac:dyDescent="0.3">
      <c r="A48" s="142" t="s">
        <v>27</v>
      </c>
      <c r="B48" s="143"/>
      <c r="C48" s="144"/>
      <c r="D48" s="41"/>
      <c r="E48" s="41"/>
      <c r="F48" s="41"/>
      <c r="G48" s="41"/>
      <c r="H48" s="41"/>
      <c r="I48" s="41"/>
      <c r="J48" s="41"/>
      <c r="K48" s="41"/>
      <c r="L48" s="39"/>
    </row>
    <row r="49" spans="1:12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39"/>
    </row>
    <row r="50" spans="1:12" x14ac:dyDescent="0.25">
      <c r="A50" s="16" t="s">
        <v>28</v>
      </c>
      <c r="B50" s="21">
        <f>F44*(1-B54)</f>
        <v>2124.9500000000007</v>
      </c>
      <c r="C50" s="41"/>
      <c r="D50" s="41"/>
      <c r="E50" s="41"/>
      <c r="F50" s="41"/>
      <c r="G50" s="41"/>
      <c r="H50" s="41"/>
      <c r="I50" s="41"/>
      <c r="J50" s="41"/>
      <c r="K50" s="41"/>
      <c r="L50" s="39"/>
    </row>
    <row r="51" spans="1:12" x14ac:dyDescent="0.25">
      <c r="A51" s="16" t="s">
        <v>29</v>
      </c>
      <c r="B51" s="21">
        <f>F45</f>
        <v>2124.9499999999998</v>
      </c>
      <c r="C51" s="41"/>
      <c r="D51" s="41"/>
      <c r="E51" s="41"/>
      <c r="F51" s="41"/>
      <c r="G51" s="41"/>
      <c r="H51" s="41"/>
      <c r="I51" s="41"/>
      <c r="J51" s="41"/>
      <c r="K51" s="41"/>
      <c r="L51" s="39"/>
    </row>
    <row r="52" spans="1:12" x14ac:dyDescent="0.25">
      <c r="A52" s="16" t="s">
        <v>32</v>
      </c>
      <c r="B52" s="21"/>
      <c r="C52" s="41"/>
      <c r="D52" s="41"/>
      <c r="E52" s="41"/>
      <c r="F52" s="41"/>
      <c r="G52" s="41"/>
      <c r="H52" s="41"/>
      <c r="I52" s="41"/>
      <c r="J52" s="41"/>
      <c r="K52" s="41"/>
      <c r="L52" s="39"/>
    </row>
    <row r="53" spans="1:12" x14ac:dyDescent="0.25">
      <c r="A53" s="16" t="s">
        <v>30</v>
      </c>
      <c r="B53" s="21">
        <f>B50-B51</f>
        <v>0</v>
      </c>
      <c r="C53" s="41"/>
      <c r="D53" s="41"/>
      <c r="E53" s="41"/>
      <c r="F53" s="41"/>
      <c r="G53" s="41"/>
      <c r="H53" s="41"/>
      <c r="I53" s="41"/>
      <c r="J53" s="41"/>
      <c r="K53" s="41"/>
      <c r="L53" s="39"/>
    </row>
    <row r="54" spans="1:12" x14ac:dyDescent="0.25">
      <c r="A54" s="16" t="s">
        <v>31</v>
      </c>
      <c r="B54" s="90">
        <v>7.1993187177919193E-2</v>
      </c>
      <c r="C54" s="41"/>
      <c r="D54" s="41"/>
      <c r="E54" s="41"/>
      <c r="F54" s="41"/>
      <c r="G54" s="41"/>
      <c r="H54" s="41"/>
      <c r="I54" s="41"/>
      <c r="J54" s="41"/>
      <c r="K54" s="41"/>
      <c r="L54" s="39"/>
    </row>
    <row r="55" spans="1:12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9"/>
    </row>
    <row r="56" spans="1:12" ht="15.75" thickBot="1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39"/>
    </row>
    <row r="57" spans="1:12" x14ac:dyDescent="0.25">
      <c r="A57" s="145" t="s">
        <v>35</v>
      </c>
      <c r="B57" s="146"/>
      <c r="C57" s="146"/>
      <c r="D57" s="146"/>
      <c r="E57" s="146"/>
      <c r="F57" s="146"/>
      <c r="G57" s="146"/>
      <c r="H57" s="146"/>
      <c r="I57" s="146"/>
      <c r="J57" s="146"/>
      <c r="K57" s="147"/>
      <c r="L57" s="39"/>
    </row>
    <row r="58" spans="1:12" ht="15.75" thickBot="1" x14ac:dyDescent="0.3">
      <c r="A58" s="148"/>
      <c r="B58" s="149"/>
      <c r="C58" s="149"/>
      <c r="D58" s="149"/>
      <c r="E58" s="149"/>
      <c r="F58" s="149"/>
      <c r="G58" s="149"/>
      <c r="H58" s="149"/>
      <c r="I58" s="149"/>
      <c r="J58" s="149"/>
      <c r="K58" s="150"/>
      <c r="L58" s="39"/>
    </row>
    <row r="59" spans="1:12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39"/>
    </row>
    <row r="60" spans="1:12" ht="15.75" thickBot="1" x14ac:dyDescent="0.3">
      <c r="A60" s="24"/>
      <c r="B60" s="24">
        <v>0</v>
      </c>
      <c r="C60" s="24">
        <v>30</v>
      </c>
      <c r="D60" s="24">
        <v>60</v>
      </c>
      <c r="E60" s="41"/>
      <c r="F60" s="24" t="s">
        <v>23</v>
      </c>
      <c r="G60" s="41"/>
      <c r="H60" s="41"/>
      <c r="I60" s="41"/>
      <c r="J60" s="41"/>
      <c r="K60" s="41"/>
      <c r="L60" s="39"/>
    </row>
    <row r="61" spans="1:12" ht="15.75" thickBot="1" x14ac:dyDescent="0.3">
      <c r="A61" s="24" t="s">
        <v>13</v>
      </c>
      <c r="B61" s="34">
        <f>1840</f>
        <v>1840</v>
      </c>
      <c r="C61" s="34"/>
      <c r="D61" s="34"/>
      <c r="E61" s="41"/>
      <c r="F61" s="33">
        <f>B61*(1+I61)^2</f>
        <v>2106.616</v>
      </c>
      <c r="G61" s="41"/>
      <c r="H61" s="41"/>
      <c r="I61" s="17">
        <v>7.0000000000000007E-2</v>
      </c>
      <c r="J61" s="41"/>
      <c r="K61" s="41"/>
      <c r="L61" s="39"/>
    </row>
    <row r="62" spans="1:12" x14ac:dyDescent="0.25">
      <c r="A62" s="24" t="s">
        <v>14</v>
      </c>
      <c r="B62" s="34">
        <v>500</v>
      </c>
      <c r="C62" s="34">
        <v>750</v>
      </c>
      <c r="D62" s="34">
        <v>750</v>
      </c>
      <c r="E62" s="41"/>
      <c r="F62" s="33">
        <f>B62*(1+I61)^2+C62*(1+I61)+D62</f>
        <v>2124.9499999999998</v>
      </c>
      <c r="G62" s="41"/>
      <c r="H62" s="41"/>
      <c r="I62" s="41"/>
      <c r="J62" s="41"/>
      <c r="K62" s="41"/>
      <c r="L62" s="39"/>
    </row>
    <row r="63" spans="1:12" x14ac:dyDescent="0.25">
      <c r="A63" s="24" t="s">
        <v>15</v>
      </c>
      <c r="B63" s="34"/>
      <c r="C63" s="34">
        <v>2000</v>
      </c>
      <c r="D63" s="34"/>
      <c r="E63" s="41"/>
      <c r="F63" s="33">
        <f>C63*(1+I61)</f>
        <v>2140</v>
      </c>
      <c r="G63" s="41"/>
      <c r="H63" s="41"/>
      <c r="I63" s="41"/>
      <c r="J63" s="41"/>
      <c r="K63" s="41"/>
      <c r="L63" s="39"/>
    </row>
    <row r="64" spans="1:12" ht="15.75" thickBot="1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39"/>
    </row>
    <row r="65" spans="1:12" ht="15.75" thickBot="1" x14ac:dyDescent="0.3">
      <c r="A65" s="142" t="s">
        <v>27</v>
      </c>
      <c r="B65" s="143"/>
      <c r="C65" s="144"/>
      <c r="D65" s="41"/>
      <c r="E65" s="41"/>
      <c r="F65" s="41"/>
      <c r="G65" s="41"/>
      <c r="H65" s="41"/>
      <c r="I65" s="41"/>
      <c r="J65" s="41"/>
      <c r="K65" s="41"/>
      <c r="L65" s="39"/>
    </row>
    <row r="66" spans="1:12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39"/>
    </row>
    <row r="67" spans="1:12" x14ac:dyDescent="0.25">
      <c r="A67" s="16" t="s">
        <v>28</v>
      </c>
      <c r="B67" s="22"/>
      <c r="C67" s="41"/>
      <c r="D67" s="41"/>
      <c r="E67" s="41"/>
      <c r="F67" s="41"/>
      <c r="G67" s="41"/>
      <c r="H67" s="41"/>
      <c r="I67" s="41"/>
      <c r="J67" s="41"/>
      <c r="K67" s="41"/>
      <c r="L67" s="39"/>
    </row>
    <row r="68" spans="1:12" x14ac:dyDescent="0.25">
      <c r="A68" s="16" t="s">
        <v>29</v>
      </c>
      <c r="B68" s="22">
        <f>(2000-2*B71)*(1+I61)^2+B71*(1+I61)+B71</f>
        <v>2140</v>
      </c>
      <c r="C68" s="41"/>
      <c r="D68" s="41"/>
      <c r="E68" s="41"/>
      <c r="F68" s="41"/>
      <c r="G68" s="41"/>
      <c r="H68" s="41"/>
      <c r="I68" s="41"/>
      <c r="J68" s="41"/>
      <c r="K68" s="41"/>
      <c r="L68" s="39"/>
    </row>
    <row r="69" spans="1:12" x14ac:dyDescent="0.25">
      <c r="A69" s="16" t="s">
        <v>32</v>
      </c>
      <c r="B69" s="22">
        <f>F63</f>
        <v>2140</v>
      </c>
      <c r="C69" s="41"/>
      <c r="D69" s="41"/>
      <c r="E69" s="41"/>
      <c r="F69" s="41"/>
      <c r="G69" s="41"/>
      <c r="H69" s="41"/>
      <c r="I69" s="41"/>
      <c r="J69" s="41"/>
      <c r="K69" s="41"/>
      <c r="L69" s="39"/>
    </row>
    <row r="70" spans="1:12" x14ac:dyDescent="0.25">
      <c r="A70" s="16" t="s">
        <v>30</v>
      </c>
      <c r="B70" s="22">
        <f>B68-B69</f>
        <v>0</v>
      </c>
      <c r="C70" s="41"/>
      <c r="D70" s="41"/>
      <c r="E70" s="41"/>
      <c r="F70" s="41"/>
      <c r="G70" s="41"/>
      <c r="H70" s="41"/>
      <c r="I70" s="41"/>
      <c r="J70" s="41"/>
      <c r="K70" s="41"/>
      <c r="L70" s="39"/>
    </row>
    <row r="71" spans="1:12" x14ac:dyDescent="0.25">
      <c r="A71" s="16" t="s">
        <v>57</v>
      </c>
      <c r="B71" s="61">
        <v>681.52866242038363</v>
      </c>
      <c r="C71" s="41"/>
      <c r="D71" s="41"/>
      <c r="E71" s="41"/>
      <c r="F71" s="41"/>
      <c r="G71" s="41"/>
      <c r="H71" s="41"/>
      <c r="I71" s="41"/>
      <c r="J71" s="41"/>
      <c r="K71" s="41"/>
      <c r="L71" s="39"/>
    </row>
    <row r="72" spans="1:12" x14ac:dyDescent="0.25">
      <c r="A72" s="100" t="s">
        <v>58</v>
      </c>
      <c r="B72" s="101">
        <f>2000-2*B71</f>
        <v>636.94267515923275</v>
      </c>
      <c r="C72" s="41"/>
      <c r="D72" s="41"/>
      <c r="E72" s="41"/>
      <c r="F72" s="41"/>
      <c r="G72" s="41"/>
      <c r="H72" s="41"/>
      <c r="I72" s="41"/>
      <c r="J72" s="41"/>
      <c r="K72" s="41"/>
      <c r="L72" s="39"/>
    </row>
    <row r="73" spans="1:12" ht="15.75" thickBo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6"/>
    </row>
  </sheetData>
  <mergeCells count="36">
    <mergeCell ref="A5:K5"/>
    <mergeCell ref="B36:C36"/>
    <mergeCell ref="B31:C31"/>
    <mergeCell ref="D31:E31"/>
    <mergeCell ref="F31:G31"/>
    <mergeCell ref="H31:I31"/>
    <mergeCell ref="H35:I35"/>
    <mergeCell ref="H34:I34"/>
    <mergeCell ref="H33:I33"/>
    <mergeCell ref="H32:I32"/>
    <mergeCell ref="F35:G35"/>
    <mergeCell ref="F34:G34"/>
    <mergeCell ref="F33:G33"/>
    <mergeCell ref="D35:E35"/>
    <mergeCell ref="A65:C65"/>
    <mergeCell ref="D32:E32"/>
    <mergeCell ref="A2:K3"/>
    <mergeCell ref="A40:K41"/>
    <mergeCell ref="A48:C48"/>
    <mergeCell ref="A57:K58"/>
    <mergeCell ref="B35:C35"/>
    <mergeCell ref="B34:C34"/>
    <mergeCell ref="B33:C33"/>
    <mergeCell ref="B32:C32"/>
    <mergeCell ref="H37:I37"/>
    <mergeCell ref="H36:I36"/>
    <mergeCell ref="F37:G37"/>
    <mergeCell ref="F36:G36"/>
    <mergeCell ref="A21:K21"/>
    <mergeCell ref="A13:K13"/>
    <mergeCell ref="D37:E37"/>
    <mergeCell ref="D36:E36"/>
    <mergeCell ref="B37:C37"/>
    <mergeCell ref="F32:G32"/>
    <mergeCell ref="D34:E34"/>
    <mergeCell ref="D33:E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topLeftCell="A4" workbookViewId="0">
      <selection activeCell="N11" sqref="N11"/>
    </sheetView>
  </sheetViews>
  <sheetFormatPr defaultColWidth="9" defaultRowHeight="15" x14ac:dyDescent="0.25"/>
  <cols>
    <col min="1" max="1" width="11.42578125" style="20" customWidth="1"/>
    <col min="2" max="2" width="10.28515625" style="20" customWidth="1"/>
    <col min="3" max="3" width="10.42578125" style="20" bestFit="1" customWidth="1"/>
    <col min="4" max="5" width="9" style="20"/>
    <col min="6" max="6" width="10.42578125" style="20" bestFit="1" customWidth="1"/>
    <col min="7" max="7" width="10.28515625" style="20" customWidth="1"/>
    <col min="8" max="8" width="11.140625" style="20" customWidth="1"/>
    <col min="9" max="12" width="9" style="20"/>
    <col min="13" max="13" width="10.140625" style="20" bestFit="1" customWidth="1"/>
    <col min="14" max="14" width="12.85546875" style="20" bestFit="1" customWidth="1"/>
    <col min="15" max="16384" width="9" style="20"/>
  </cols>
  <sheetData>
    <row r="1" spans="1:15" ht="15.75" thickBot="1" x14ac:dyDescent="0.3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5" x14ac:dyDescent="0.25">
      <c r="A2" s="163" t="s">
        <v>33</v>
      </c>
      <c r="B2" s="164"/>
      <c r="C2" s="164"/>
      <c r="D2" s="164"/>
      <c r="E2" s="164"/>
      <c r="F2" s="164"/>
      <c r="G2" s="164"/>
      <c r="H2" s="164"/>
      <c r="I2" s="164"/>
      <c r="J2" s="164"/>
      <c r="K2" s="165"/>
      <c r="L2" s="39"/>
    </row>
    <row r="3" spans="1:15" ht="15.75" thickBot="1" x14ac:dyDescent="0.3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8"/>
      <c r="L3" s="39"/>
    </row>
    <row r="4" spans="1:15" x14ac:dyDescent="0.25">
      <c r="A4" s="38"/>
      <c r="B4" s="41"/>
      <c r="C4" s="41"/>
      <c r="D4" s="41"/>
      <c r="E4" s="41"/>
      <c r="F4" s="41"/>
      <c r="G4" s="41"/>
      <c r="H4" s="41"/>
      <c r="I4" s="41"/>
      <c r="J4" s="41"/>
      <c r="K4" s="41"/>
      <c r="L4" s="39"/>
      <c r="N4" s="20" t="s">
        <v>69</v>
      </c>
    </row>
    <row r="5" spans="1:15" x14ac:dyDescent="0.25">
      <c r="A5" s="75"/>
      <c r="B5" s="11">
        <v>0</v>
      </c>
      <c r="C5" s="11">
        <v>30</v>
      </c>
      <c r="D5" s="11">
        <v>60</v>
      </c>
      <c r="E5" s="41"/>
      <c r="F5" s="41"/>
      <c r="G5" s="41"/>
      <c r="H5" s="41"/>
      <c r="I5" s="41"/>
      <c r="J5" s="41"/>
      <c r="K5" s="41"/>
      <c r="L5" s="39"/>
      <c r="M5" s="20" t="s">
        <v>70</v>
      </c>
      <c r="N5" s="20">
        <v>2.5</v>
      </c>
    </row>
    <row r="6" spans="1:15" x14ac:dyDescent="0.25">
      <c r="A6" s="75" t="s">
        <v>38</v>
      </c>
      <c r="B6" s="58">
        <f>2000/8*2.5</f>
        <v>625</v>
      </c>
      <c r="C6" s="58"/>
      <c r="D6" s="58"/>
      <c r="E6" s="41"/>
      <c r="F6" s="41"/>
      <c r="G6" s="41"/>
      <c r="H6" s="41"/>
      <c r="I6" s="41"/>
      <c r="J6" s="41"/>
      <c r="K6" s="41"/>
      <c r="L6" s="39"/>
      <c r="M6" s="20" t="s">
        <v>71</v>
      </c>
      <c r="N6" s="20">
        <v>3.99</v>
      </c>
    </row>
    <row r="7" spans="1:15" x14ac:dyDescent="0.25">
      <c r="A7" s="75" t="s">
        <v>39</v>
      </c>
      <c r="B7" s="58"/>
      <c r="C7" s="58">
        <f>2000/20*3.99</f>
        <v>399</v>
      </c>
      <c r="D7" s="58">
        <f>C7</f>
        <v>399</v>
      </c>
      <c r="E7" s="41"/>
      <c r="F7" s="41"/>
      <c r="G7" s="41"/>
      <c r="H7" s="41"/>
      <c r="I7" s="41"/>
      <c r="J7" s="41"/>
      <c r="K7" s="41"/>
      <c r="L7" s="39"/>
    </row>
    <row r="8" spans="1:15" ht="15.75" thickBot="1" x14ac:dyDescent="0.3">
      <c r="A8" s="38"/>
      <c r="B8" s="41"/>
      <c r="C8" s="41"/>
      <c r="D8" s="41"/>
      <c r="E8" s="41"/>
      <c r="F8" s="41"/>
      <c r="G8" s="41"/>
      <c r="H8" s="41"/>
      <c r="I8" s="41"/>
      <c r="J8" s="41"/>
      <c r="K8" s="41"/>
      <c r="L8" s="39"/>
      <c r="N8" s="20" t="s">
        <v>72</v>
      </c>
    </row>
    <row r="9" spans="1:15" ht="15.75" thickBot="1" x14ac:dyDescent="0.3">
      <c r="A9" s="142" t="s">
        <v>27</v>
      </c>
      <c r="B9" s="143"/>
      <c r="C9" s="144"/>
      <c r="D9" s="76"/>
      <c r="E9" s="41"/>
      <c r="F9" s="41"/>
      <c r="G9" s="41"/>
      <c r="H9" s="41"/>
      <c r="I9" s="41"/>
      <c r="J9" s="41"/>
      <c r="K9" s="41"/>
      <c r="L9" s="39"/>
      <c r="M9" s="57" t="s">
        <v>70</v>
      </c>
      <c r="N9" s="103">
        <f>2000/8</f>
        <v>250</v>
      </c>
      <c r="O9" s="20" t="s">
        <v>75</v>
      </c>
    </row>
    <row r="10" spans="1:15" x14ac:dyDescent="0.25">
      <c r="A10" s="77"/>
      <c r="B10" s="56"/>
      <c r="C10" s="56"/>
      <c r="D10" s="76"/>
      <c r="E10" s="41"/>
      <c r="F10" s="41"/>
      <c r="G10" s="41"/>
      <c r="H10" s="41"/>
      <c r="I10" s="41"/>
      <c r="J10" s="41"/>
      <c r="K10" s="41"/>
      <c r="L10" s="39"/>
      <c r="M10" s="57" t="s">
        <v>71</v>
      </c>
      <c r="N10" s="103">
        <f>2000/10</f>
        <v>200</v>
      </c>
      <c r="O10" s="20" t="s">
        <v>76</v>
      </c>
    </row>
    <row r="11" spans="1:15" x14ac:dyDescent="0.25">
      <c r="A11" s="75" t="s">
        <v>38</v>
      </c>
      <c r="B11" s="59">
        <f>B6*(1+12%)^2</f>
        <v>784.00000000000011</v>
      </c>
      <c r="C11" s="41"/>
      <c r="D11" s="41"/>
      <c r="E11" s="41"/>
      <c r="F11" s="41"/>
      <c r="G11" s="41"/>
      <c r="H11" s="41"/>
      <c r="I11" s="41"/>
      <c r="J11" s="41"/>
      <c r="K11" s="41"/>
      <c r="L11" s="39"/>
      <c r="M11" s="18"/>
      <c r="N11" s="103"/>
    </row>
    <row r="12" spans="1:15" x14ac:dyDescent="0.25">
      <c r="A12" s="75" t="s">
        <v>39</v>
      </c>
      <c r="B12" s="59">
        <f>(C7*(1+12%)+D7)*(1-B14)</f>
        <v>784.00000000000011</v>
      </c>
      <c r="C12" s="41"/>
      <c r="D12" s="41"/>
      <c r="E12" s="41"/>
      <c r="F12" s="41"/>
      <c r="G12" s="41"/>
      <c r="H12" s="41"/>
      <c r="I12" s="41"/>
      <c r="J12" s="41"/>
      <c r="K12" s="41"/>
      <c r="L12" s="39"/>
      <c r="M12" s="20" t="s">
        <v>56</v>
      </c>
      <c r="N12" s="196">
        <v>0.12</v>
      </c>
      <c r="O12" s="104"/>
    </row>
    <row r="13" spans="1:15" x14ac:dyDescent="0.25">
      <c r="A13" s="75" t="s">
        <v>30</v>
      </c>
      <c r="B13" s="60">
        <f>B11-B12</f>
        <v>0</v>
      </c>
      <c r="C13" s="41"/>
      <c r="D13" s="41"/>
      <c r="E13" s="41"/>
      <c r="F13" s="41"/>
      <c r="G13" s="41"/>
      <c r="H13" s="41"/>
      <c r="I13" s="41"/>
      <c r="J13" s="41"/>
      <c r="K13" s="41"/>
      <c r="L13" s="39"/>
    </row>
    <row r="14" spans="1:15" x14ac:dyDescent="0.25">
      <c r="A14" s="75" t="s">
        <v>40</v>
      </c>
      <c r="B14" s="91">
        <v>7.3154584574644174E-2</v>
      </c>
      <c r="C14" s="41"/>
      <c r="D14" s="41"/>
      <c r="E14" s="41"/>
      <c r="F14" s="41"/>
      <c r="G14" s="41"/>
      <c r="H14" s="41"/>
      <c r="I14" s="41"/>
      <c r="J14" s="41"/>
      <c r="K14" s="41"/>
      <c r="L14" s="39"/>
    </row>
    <row r="15" spans="1:15" x14ac:dyDescent="0.25">
      <c r="A15" s="38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39"/>
    </row>
    <row r="16" spans="1:15" x14ac:dyDescent="0.25">
      <c r="A16" s="169" t="s">
        <v>41</v>
      </c>
      <c r="B16" s="170"/>
      <c r="C16" s="61">
        <f>3.99*(1-B14)</f>
        <v>3.6981132075471699</v>
      </c>
      <c r="D16" s="41"/>
      <c r="E16" s="41"/>
      <c r="F16" s="41"/>
      <c r="G16" s="41"/>
      <c r="H16" s="41"/>
      <c r="I16" s="41"/>
      <c r="J16" s="41"/>
      <c r="K16" s="41"/>
      <c r="L16" s="39"/>
    </row>
    <row r="17" spans="1:12" ht="15.75" thickBot="1" x14ac:dyDescent="0.3">
      <c r="A17" s="3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39"/>
    </row>
    <row r="18" spans="1:12" x14ac:dyDescent="0.25">
      <c r="A18" s="163" t="s">
        <v>34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5"/>
      <c r="L18" s="39"/>
    </row>
    <row r="19" spans="1:12" ht="15.75" thickBot="1" x14ac:dyDescent="0.3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8"/>
      <c r="L19" s="39"/>
    </row>
    <row r="20" spans="1:12" x14ac:dyDescent="0.25">
      <c r="A20" s="38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39"/>
    </row>
    <row r="21" spans="1:12" x14ac:dyDescent="0.25">
      <c r="A21" s="78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39"/>
    </row>
    <row r="22" spans="1:12" x14ac:dyDescent="0.25">
      <c r="A22" s="75"/>
      <c r="B22" s="11">
        <v>0</v>
      </c>
      <c r="C22" s="11">
        <v>30</v>
      </c>
      <c r="D22" s="11">
        <v>60</v>
      </c>
      <c r="E22" s="41"/>
      <c r="F22" s="106"/>
      <c r="G22" s="41"/>
      <c r="H22" s="41"/>
      <c r="I22" s="41"/>
      <c r="J22" s="41"/>
      <c r="K22" s="41"/>
      <c r="L22" s="39"/>
    </row>
    <row r="23" spans="1:12" x14ac:dyDescent="0.25">
      <c r="A23" s="75" t="s">
        <v>38</v>
      </c>
      <c r="B23" s="58">
        <f>B6</f>
        <v>625</v>
      </c>
      <c r="C23" s="58"/>
      <c r="D23" s="58"/>
      <c r="E23" s="41"/>
      <c r="F23" s="107"/>
      <c r="G23" s="41"/>
      <c r="H23" s="41"/>
      <c r="I23" s="41"/>
      <c r="J23" s="41"/>
      <c r="K23" s="41"/>
      <c r="L23" s="39"/>
    </row>
    <row r="24" spans="1:12" x14ac:dyDescent="0.25">
      <c r="A24" s="75" t="s">
        <v>39</v>
      </c>
      <c r="B24" s="58"/>
      <c r="C24" s="105">
        <f>2000/20*C16</f>
        <v>369.81132075471697</v>
      </c>
      <c r="D24" s="105">
        <f>C24</f>
        <v>369.81132075471697</v>
      </c>
      <c r="E24" s="41"/>
      <c r="F24" s="107"/>
      <c r="G24" s="41"/>
      <c r="H24" s="41"/>
      <c r="I24" s="41"/>
      <c r="J24" s="41"/>
      <c r="K24" s="41"/>
      <c r="L24" s="39"/>
    </row>
    <row r="25" spans="1:12" x14ac:dyDescent="0.25">
      <c r="A25" s="38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9"/>
    </row>
    <row r="26" spans="1:12" x14ac:dyDescent="0.25">
      <c r="A26" s="75" t="s">
        <v>38</v>
      </c>
      <c r="B26" s="62">
        <f>$B$23*(1+B29)^2</f>
        <v>783.99999731660193</v>
      </c>
      <c r="C26" s="65"/>
      <c r="D26" s="65"/>
      <c r="E26" s="65"/>
      <c r="F26" s="65"/>
      <c r="G26" s="11" t="s">
        <v>38</v>
      </c>
      <c r="H26" s="62">
        <f>$B$23*(1+H29)^2</f>
        <v>174.4393012235582</v>
      </c>
      <c r="I26" s="41"/>
      <c r="J26" s="41"/>
      <c r="K26" s="41"/>
      <c r="L26" s="39"/>
    </row>
    <row r="27" spans="1:12" x14ac:dyDescent="0.25">
      <c r="A27" s="75" t="s">
        <v>39</v>
      </c>
      <c r="B27" s="64">
        <f>$C$24*(1+B29)+$D$24</f>
        <v>783.9999992911778</v>
      </c>
      <c r="C27" s="66"/>
      <c r="D27" s="66"/>
      <c r="E27" s="66"/>
      <c r="F27" s="66"/>
      <c r="G27" s="11" t="s">
        <v>39</v>
      </c>
      <c r="H27" s="64">
        <f>$C$24*(1+H29)+$D$24</f>
        <v>174.43930281356143</v>
      </c>
      <c r="I27" s="41"/>
      <c r="J27" s="41"/>
      <c r="K27" s="41"/>
      <c r="L27" s="39"/>
    </row>
    <row r="28" spans="1:12" x14ac:dyDescent="0.25">
      <c r="A28" s="75" t="s">
        <v>30</v>
      </c>
      <c r="B28" s="63">
        <f>B26-B27</f>
        <v>-1.9745758663702873E-6</v>
      </c>
      <c r="C28" s="67"/>
      <c r="D28" s="67"/>
      <c r="E28" s="67"/>
      <c r="F28" s="67"/>
      <c r="G28" s="11" t="s">
        <v>30</v>
      </c>
      <c r="H28" s="63">
        <f>(H26-H27)/(H29-B29)</f>
        <v>9.6463107789673898E-7</v>
      </c>
      <c r="I28" s="41"/>
      <c r="J28" s="41"/>
      <c r="K28" s="41"/>
      <c r="L28" s="39"/>
    </row>
    <row r="29" spans="1:12" x14ac:dyDescent="0.25">
      <c r="A29" s="75" t="s">
        <v>12</v>
      </c>
      <c r="B29" s="92">
        <v>0.119999998083287</v>
      </c>
      <c r="C29" s="68"/>
      <c r="D29" s="68"/>
      <c r="E29" s="68"/>
      <c r="F29" s="68"/>
      <c r="G29" s="11" t="s">
        <v>12</v>
      </c>
      <c r="H29" s="92">
        <v>-1.5283018852490431</v>
      </c>
      <c r="I29" s="41"/>
      <c r="J29" s="41"/>
      <c r="K29" s="41"/>
      <c r="L29" s="39"/>
    </row>
    <row r="30" spans="1:12" x14ac:dyDescent="0.25">
      <c r="A30" s="38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39"/>
    </row>
    <row r="31" spans="1:12" ht="15.75" thickBot="1" x14ac:dyDescent="0.3">
      <c r="A31" s="3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39"/>
    </row>
    <row r="32" spans="1:12" ht="15.75" thickBot="1" x14ac:dyDescent="0.3">
      <c r="A32" s="171" t="s">
        <v>42</v>
      </c>
      <c r="B32" s="172"/>
      <c r="C32" s="172"/>
      <c r="D32" s="172"/>
      <c r="E32" s="173"/>
      <c r="F32" s="41"/>
      <c r="G32" s="41"/>
      <c r="H32" s="41"/>
      <c r="I32" s="41"/>
      <c r="J32" s="41"/>
      <c r="K32" s="41"/>
      <c r="L32" s="39"/>
    </row>
    <row r="33" spans="1:12" ht="15.75" thickBot="1" x14ac:dyDescent="0.3">
      <c r="A33" s="69"/>
      <c r="B33" s="70"/>
      <c r="C33" s="70"/>
      <c r="D33" s="70"/>
      <c r="E33" s="71"/>
      <c r="F33" s="41"/>
      <c r="G33" s="41"/>
      <c r="H33" s="41"/>
      <c r="I33" s="41"/>
      <c r="J33" s="41"/>
      <c r="K33" s="41"/>
      <c r="L33" s="39"/>
    </row>
    <row r="34" spans="1:12" ht="15.75" thickBot="1" x14ac:dyDescent="0.3">
      <c r="A34" s="79" t="s">
        <v>44</v>
      </c>
      <c r="B34" s="93">
        <f>B29</f>
        <v>0.119999998083287</v>
      </c>
      <c r="C34" s="161" t="s">
        <v>45</v>
      </c>
      <c r="D34" s="162"/>
      <c r="E34" s="80" t="s">
        <v>74</v>
      </c>
      <c r="F34" s="41"/>
      <c r="G34" s="41"/>
      <c r="H34" s="41"/>
      <c r="I34" s="41"/>
      <c r="J34" s="41"/>
      <c r="K34" s="41"/>
      <c r="L34" s="39"/>
    </row>
    <row r="35" spans="1:12" ht="15.75" thickBot="1" x14ac:dyDescent="0.3">
      <c r="A35" s="79" t="s">
        <v>43</v>
      </c>
      <c r="B35" s="80" t="s">
        <v>73</v>
      </c>
      <c r="C35" s="70"/>
      <c r="D35" s="70"/>
      <c r="E35" s="71"/>
      <c r="F35" s="41"/>
      <c r="G35" s="41"/>
      <c r="H35" s="41"/>
      <c r="I35" s="41"/>
      <c r="J35" s="41"/>
      <c r="K35" s="41"/>
      <c r="L35" s="39"/>
    </row>
    <row r="36" spans="1:12" ht="15.75" thickBot="1" x14ac:dyDescent="0.3">
      <c r="A36" s="72"/>
      <c r="B36" s="73"/>
      <c r="C36" s="73"/>
      <c r="D36" s="73"/>
      <c r="E36" s="74"/>
      <c r="F36" s="41"/>
      <c r="G36" s="41"/>
      <c r="H36" s="41"/>
      <c r="I36" s="41"/>
      <c r="J36" s="41"/>
      <c r="K36" s="41"/>
      <c r="L36" s="39"/>
    </row>
    <row r="37" spans="1:12" ht="15.75" thickBot="1" x14ac:dyDescent="0.3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</sheetData>
  <mergeCells count="6">
    <mergeCell ref="C34:D34"/>
    <mergeCell ref="A2:K3"/>
    <mergeCell ref="A18:K19"/>
    <mergeCell ref="A9:C9"/>
    <mergeCell ref="A16:B16"/>
    <mergeCell ref="A32:E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workbookViewId="0">
      <selection activeCell="H7" sqref="H7"/>
    </sheetView>
  </sheetViews>
  <sheetFormatPr defaultRowHeight="15" x14ac:dyDescent="0.25"/>
  <sheetData>
    <row r="1" spans="1:16" ht="15.75" thickBot="1" x14ac:dyDescent="0.3">
      <c r="A1" s="174">
        <f>B5+B7+B9+B10+B12+C7</f>
        <v>3.6</v>
      </c>
      <c r="B1" s="175"/>
      <c r="D1" s="176"/>
      <c r="E1" s="176"/>
      <c r="F1" s="176"/>
      <c r="H1" s="174">
        <f>H7+I9+H9+H11+I11+H15+H19+H23+I23</f>
        <v>2.4</v>
      </c>
      <c r="I1" s="175"/>
      <c r="K1" s="174">
        <f>K7+K9+K13+L13+K17</f>
        <v>2.4</v>
      </c>
      <c r="L1" s="175"/>
    </row>
    <row r="2" spans="1:16" ht="15.75" thickBot="1" x14ac:dyDescent="0.3">
      <c r="D2" s="5"/>
      <c r="E2" s="5"/>
      <c r="F2" s="5"/>
    </row>
    <row r="3" spans="1:16" ht="15.75" thickBot="1" x14ac:dyDescent="0.3">
      <c r="A3" s="171" t="s">
        <v>46</v>
      </c>
      <c r="B3" s="173"/>
      <c r="D3" s="188"/>
      <c r="E3" s="188"/>
      <c r="F3" s="188"/>
      <c r="H3" s="171" t="s">
        <v>51</v>
      </c>
      <c r="I3" s="173"/>
      <c r="K3" s="171" t="s">
        <v>52</v>
      </c>
      <c r="L3" s="173"/>
      <c r="P3" s="88" t="s">
        <v>53</v>
      </c>
    </row>
    <row r="4" spans="1:16" ht="15.75" thickBot="1" x14ac:dyDescent="0.3">
      <c r="D4" s="5"/>
      <c r="E4" s="5"/>
      <c r="F4" s="5"/>
      <c r="P4" s="97">
        <v>42491</v>
      </c>
    </row>
    <row r="5" spans="1:16" ht="15.75" thickBot="1" x14ac:dyDescent="0.3">
      <c r="A5" s="16" t="s">
        <v>47</v>
      </c>
      <c r="B5" s="110">
        <f>IF(ABS('Questão 1'!C3-4.959%)&lt;=0.005%,0.6,0)</f>
        <v>0.6</v>
      </c>
      <c r="D5" s="109"/>
      <c r="E5" s="108"/>
      <c r="F5" s="108"/>
      <c r="H5" s="171" t="s">
        <v>47</v>
      </c>
      <c r="I5" s="173"/>
      <c r="K5" s="171" t="s">
        <v>47</v>
      </c>
      <c r="L5" s="173"/>
      <c r="P5" s="94"/>
    </row>
    <row r="6" spans="1:16" x14ac:dyDescent="0.25">
      <c r="B6" s="19"/>
      <c r="D6" s="109"/>
      <c r="E6" s="108"/>
      <c r="F6" s="108"/>
      <c r="P6" s="94"/>
    </row>
    <row r="7" spans="1:16" x14ac:dyDescent="0.25">
      <c r="A7" s="16" t="s">
        <v>48</v>
      </c>
      <c r="B7" s="111">
        <f>IF(ABS('Questão 1'!C5-0.56%)&lt;=0.005%,0.6,0)</f>
        <v>0.6</v>
      </c>
      <c r="C7" s="111">
        <f>IF(ABS('Questão 1'!C6=P4),0.6,0)</f>
        <v>0.6</v>
      </c>
      <c r="H7" s="110">
        <f>IF(ABS('Questão 2'!B10-8.7%)&lt;=0.005%,0.4,0)</f>
        <v>0.4</v>
      </c>
      <c r="I7" s="113"/>
      <c r="K7" s="114">
        <f>IF(ABS('Questão 3'!B14-7.3155%)&lt;=0.005%,0.6,0)</f>
        <v>0.6</v>
      </c>
    </row>
    <row r="8" spans="1:16" x14ac:dyDescent="0.25">
      <c r="B8" s="19"/>
      <c r="D8" s="81"/>
      <c r="E8" s="82"/>
      <c r="F8" s="82"/>
      <c r="H8" s="113"/>
      <c r="I8" s="113"/>
      <c r="K8" s="112"/>
    </row>
    <row r="9" spans="1:16" x14ac:dyDescent="0.25">
      <c r="A9" s="187" t="s">
        <v>49</v>
      </c>
      <c r="B9" s="110">
        <f>IF(ABS('Questão 1'!C8=P4),0.6,0)</f>
        <v>0.6</v>
      </c>
      <c r="E9" s="85"/>
      <c r="F9" s="86"/>
      <c r="H9" s="110">
        <f>IF(ABS('Questão 2'!B18-3.73%)&lt;=0.005%,0.4,0)</f>
        <v>0</v>
      </c>
      <c r="I9" s="110">
        <f>IF(ABS('Questão 2'!I18+150.92%)&lt;=0.005%,0.4,0)</f>
        <v>0</v>
      </c>
      <c r="K9" s="114">
        <f>IF(ABS('Questão 3'!C16-3.7)&lt;=0.01,0.6,0)</f>
        <v>0.6</v>
      </c>
    </row>
    <row r="10" spans="1:16" ht="15.75" thickBot="1" x14ac:dyDescent="0.3">
      <c r="A10" s="187"/>
      <c r="B10" s="110">
        <f>IF(ABS('Questão 1'!C9-99.937%)&lt;=0.005%,0.6,0)</f>
        <v>0.6</v>
      </c>
      <c r="E10" s="87"/>
      <c r="F10" s="87"/>
      <c r="H10" s="113"/>
      <c r="I10" s="113"/>
    </row>
    <row r="11" spans="1:16" ht="15.75" thickBot="1" x14ac:dyDescent="0.3">
      <c r="B11" s="19"/>
      <c r="H11" s="110">
        <f>IF(ABS('Questão 2'!B26-0.0001%)&lt;=0.005%,0.4,0)</f>
        <v>0.4</v>
      </c>
      <c r="I11" s="110">
        <f>IF(ABS('Questão 2'!I26-50%)&lt;=0.005%,0.4,0)</f>
        <v>0.4</v>
      </c>
      <c r="K11" s="171" t="s">
        <v>48</v>
      </c>
      <c r="L11" s="173"/>
    </row>
    <row r="12" spans="1:16" ht="15.75" thickBot="1" x14ac:dyDescent="0.3">
      <c r="A12" s="16" t="s">
        <v>50</v>
      </c>
      <c r="B12" s="111">
        <f>IF(ABS('Questão 1'!C11-0.413%)&lt;=0.005%,0.6,0)</f>
        <v>0.6</v>
      </c>
    </row>
    <row r="13" spans="1:16" ht="15.75" thickBot="1" x14ac:dyDescent="0.3">
      <c r="H13" s="171" t="s">
        <v>55</v>
      </c>
      <c r="I13" s="173"/>
      <c r="K13" s="110">
        <f>IF(ABS('Questão 3'!B29-12%)&lt;=0.005%,0.6,0)</f>
        <v>0.6</v>
      </c>
      <c r="L13" s="110">
        <f>IF(ABS('Questão 3'!H29+152.8302%)&lt;=0.005%%,0.6,0)</f>
        <v>0.6</v>
      </c>
    </row>
    <row r="14" spans="1:16" ht="15.75" thickBot="1" x14ac:dyDescent="0.3"/>
    <row r="15" spans="1:16" ht="15.75" thickBot="1" x14ac:dyDescent="0.3">
      <c r="H15" s="83"/>
      <c r="K15" s="171" t="s">
        <v>55</v>
      </c>
      <c r="L15" s="173"/>
    </row>
    <row r="16" spans="1:16" ht="15.75" thickBot="1" x14ac:dyDescent="0.3"/>
    <row r="17" spans="1:12" ht="15.75" thickBot="1" x14ac:dyDescent="0.3">
      <c r="H17" s="171" t="s">
        <v>48</v>
      </c>
      <c r="I17" s="173"/>
      <c r="K17" s="15"/>
    </row>
    <row r="19" spans="1:12" x14ac:dyDescent="0.25">
      <c r="H19" s="110">
        <f>IF(ABS('Questão 2'!B54-7.1993%)&lt;=0.005%,0.4,0)</f>
        <v>0.4</v>
      </c>
    </row>
    <row r="20" spans="1:12" ht="15.75" thickBot="1" x14ac:dyDescent="0.3">
      <c r="B20" s="84"/>
    </row>
    <row r="21" spans="1:12" ht="15" customHeight="1" thickBot="1" x14ac:dyDescent="0.3">
      <c r="H21" s="171" t="s">
        <v>49</v>
      </c>
      <c r="I21" s="173"/>
    </row>
    <row r="22" spans="1:12" ht="15" customHeight="1" x14ac:dyDescent="0.25"/>
    <row r="23" spans="1:12" ht="15" customHeight="1" x14ac:dyDescent="0.25">
      <c r="H23" s="111">
        <f>IF(ABS('Questão 2'!B71-681.53)&lt;=0.005,0.4,0)</f>
        <v>0.4</v>
      </c>
      <c r="I23" s="111">
        <f>IF(ABS('Questão 2'!B72-636.94)&lt;=0.005,0.4,0)</f>
        <v>0.4</v>
      </c>
    </row>
    <row r="24" spans="1:12" ht="15.75" thickBot="1" x14ac:dyDescent="0.3"/>
    <row r="25" spans="1:12" x14ac:dyDescent="0.25">
      <c r="A25" s="177" t="s">
        <v>54</v>
      </c>
      <c r="B25" s="178"/>
      <c r="C25" s="178"/>
      <c r="D25" s="178"/>
      <c r="E25" s="178"/>
      <c r="F25" s="178"/>
      <c r="G25" s="178"/>
      <c r="H25" s="178"/>
      <c r="I25" s="178"/>
      <c r="J25" s="179"/>
      <c r="K25" s="183">
        <f>A1+H1+K1</f>
        <v>8.4</v>
      </c>
      <c r="L25" s="184"/>
    </row>
    <row r="26" spans="1:12" ht="15.75" thickBot="1" x14ac:dyDescent="0.3">
      <c r="A26" s="180"/>
      <c r="B26" s="181"/>
      <c r="C26" s="181"/>
      <c r="D26" s="181"/>
      <c r="E26" s="181"/>
      <c r="F26" s="181"/>
      <c r="G26" s="181"/>
      <c r="H26" s="181"/>
      <c r="I26" s="181"/>
      <c r="J26" s="182"/>
      <c r="K26" s="185"/>
      <c r="L26" s="186"/>
    </row>
  </sheetData>
  <sheetProtection algorithmName="SHA-512" hashValue="g7+EFsBg2lEUfR0A8BSH4Tj4tV5xFx5gmvA0aUbLU4sBOWChtF2YGAodUhuk2tsMZvjmqE2qADHElgpOt1+eew==" saltValue="yy6S/DsJGUX3A9PeCy0tQA==" spinCount="100000" sheet="1" objects="1" scenarios="1"/>
  <mergeCells count="18">
    <mergeCell ref="A25:J26"/>
    <mergeCell ref="K25:L26"/>
    <mergeCell ref="H21:I21"/>
    <mergeCell ref="K15:L15"/>
    <mergeCell ref="H3:I3"/>
    <mergeCell ref="H5:I5"/>
    <mergeCell ref="H13:I13"/>
    <mergeCell ref="A9:A10"/>
    <mergeCell ref="A3:B3"/>
    <mergeCell ref="D3:F3"/>
    <mergeCell ref="K1:L1"/>
    <mergeCell ref="H1:I1"/>
    <mergeCell ref="D1:F1"/>
    <mergeCell ref="A1:B1"/>
    <mergeCell ref="H17:I17"/>
    <mergeCell ref="K3:L3"/>
    <mergeCell ref="K5:L5"/>
    <mergeCell ref="K11:L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Questão 1</vt:lpstr>
      <vt:lpstr>Questão 2</vt:lpstr>
      <vt:lpstr>Questão 3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vendite</dc:creator>
  <cp:lastModifiedBy>marcelo sandolin</cp:lastModifiedBy>
  <dcterms:created xsi:type="dcterms:W3CDTF">2016-10-06T19:24:27Z</dcterms:created>
  <dcterms:modified xsi:type="dcterms:W3CDTF">2020-10-20T21:00:11Z</dcterms:modified>
</cp:coreProperties>
</file>