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camp\2020_2\Matematica financeira\atividades\"/>
    </mc:Choice>
  </mc:AlternateContent>
  <xr:revisionPtr revIDLastSave="0" documentId="13_ncr:1_{BB67ECD3-F5D0-4353-A99E-A1C752E2E3BF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Questão 1" sheetId="1" r:id="rId1"/>
    <sheet name="Questão 2" sheetId="2" r:id="rId2"/>
    <sheet name="Questão 3" sheetId="3" r:id="rId3"/>
    <sheet name="Nota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F15" i="3" l="1"/>
  <c r="B15" i="3"/>
  <c r="H25" i="3"/>
  <c r="I25" i="3"/>
  <c r="G25" i="3"/>
  <c r="F25" i="3"/>
  <c r="I24" i="3"/>
  <c r="H24" i="3"/>
  <c r="E7" i="3"/>
  <c r="E8" i="3"/>
  <c r="E10" i="3"/>
  <c r="G10" i="3"/>
  <c r="E9" i="3"/>
  <c r="G9" i="3"/>
  <c r="H9" i="3"/>
  <c r="F10" i="3"/>
  <c r="F9" i="3"/>
  <c r="F7" i="3"/>
  <c r="B8" i="3"/>
  <c r="B6" i="3"/>
  <c r="I16" i="2"/>
  <c r="I15" i="2"/>
  <c r="I17" i="2" s="1"/>
  <c r="B13" i="2" s="1"/>
  <c r="I14" i="2"/>
  <c r="I12" i="2"/>
  <c r="B9" i="2"/>
  <c r="B6" i="2"/>
  <c r="F18" i="2"/>
  <c r="F17" i="2"/>
  <c r="F16" i="2"/>
  <c r="F15" i="2"/>
  <c r="F14" i="2"/>
  <c r="F12" i="2"/>
  <c r="F10" i="2"/>
  <c r="F8" i="2"/>
  <c r="G80" i="1"/>
  <c r="H80" i="1"/>
  <c r="I80" i="1"/>
  <c r="H70" i="1"/>
  <c r="I70" i="1"/>
  <c r="J70" i="1" s="1"/>
  <c r="J69" i="1"/>
  <c r="I69" i="1"/>
  <c r="H69" i="1"/>
  <c r="F17" i="3"/>
  <c r="F5" i="3"/>
  <c r="F6" i="3"/>
  <c r="E6" i="3" s="1"/>
  <c r="F8" i="3"/>
  <c r="H7" i="3"/>
  <c r="F16" i="3"/>
  <c r="F13" i="3"/>
  <c r="G6" i="3"/>
  <c r="H5" i="3"/>
  <c r="J68" i="1"/>
  <c r="H33" i="1"/>
  <c r="I33" i="1"/>
  <c r="J33" i="1" s="1"/>
  <c r="H32" i="1"/>
  <c r="I32" i="1" s="1"/>
  <c r="J32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33" i="1"/>
  <c r="G32" i="1"/>
  <c r="J31" i="1"/>
  <c r="J27" i="1"/>
  <c r="I27" i="1"/>
  <c r="H27" i="1"/>
  <c r="G27" i="1"/>
  <c r="H7" i="1"/>
  <c r="I7" i="1" s="1"/>
  <c r="J7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7" i="1"/>
  <c r="J6" i="1"/>
  <c r="H6" i="1"/>
  <c r="I6" i="1" s="1"/>
  <c r="G6" i="1"/>
  <c r="J5" i="1"/>
  <c r="B3" i="1"/>
  <c r="B2" i="1"/>
  <c r="G36" i="3" l="1"/>
  <c r="H36" i="3" s="1"/>
  <c r="F36" i="3"/>
  <c r="F26" i="3"/>
  <c r="G26" i="3" s="1"/>
  <c r="H26" i="3" s="1"/>
  <c r="I26" i="3" s="1"/>
  <c r="F27" i="3" s="1"/>
  <c r="G27" i="3" s="1"/>
  <c r="H27" i="3" s="1"/>
  <c r="I27" i="3" s="1"/>
  <c r="F28" i="3" s="1"/>
  <c r="G28" i="3" s="1"/>
  <c r="H28" i="3" s="1"/>
  <c r="I28" i="3" s="1"/>
  <c r="H71" i="1"/>
  <c r="I71" i="1" s="1"/>
  <c r="J71" i="1" s="1"/>
  <c r="H34" i="1"/>
  <c r="I34" i="1" s="1"/>
  <c r="J34" i="1"/>
  <c r="H8" i="1"/>
  <c r="I8" i="1" s="1"/>
  <c r="J8" i="1" s="1"/>
  <c r="F4" i="4"/>
  <c r="E36" i="3" l="1"/>
  <c r="F29" i="3"/>
  <c r="G29" i="3" s="1"/>
  <c r="H29" i="3" s="1"/>
  <c r="I29" i="3" s="1"/>
  <c r="H72" i="1"/>
  <c r="I72" i="1" s="1"/>
  <c r="J72" i="1" s="1"/>
  <c r="H35" i="1"/>
  <c r="I35" i="1" s="1"/>
  <c r="J35" i="1" s="1"/>
  <c r="J9" i="1"/>
  <c r="H9" i="1"/>
  <c r="I9" i="1" s="1"/>
  <c r="F8" i="4"/>
  <c r="F30" i="3" l="1"/>
  <c r="G30" i="3" s="1"/>
  <c r="H30" i="3"/>
  <c r="B11" i="3" s="1"/>
  <c r="F6" i="4" s="1"/>
  <c r="H73" i="1"/>
  <c r="I73" i="1" s="1"/>
  <c r="J73" i="1"/>
  <c r="H36" i="1"/>
  <c r="I36" i="1" s="1"/>
  <c r="J36" i="1"/>
  <c r="H10" i="1"/>
  <c r="I10" i="1" s="1"/>
  <c r="J10" i="1"/>
  <c r="D8" i="4"/>
  <c r="D6" i="4"/>
  <c r="D4" i="4"/>
  <c r="J74" i="1" l="1"/>
  <c r="H74" i="1"/>
  <c r="I74" i="1" s="1"/>
  <c r="H37" i="1"/>
  <c r="I37" i="1" s="1"/>
  <c r="J37" i="1"/>
  <c r="H11" i="1"/>
  <c r="I11" i="1" s="1"/>
  <c r="J11" i="1"/>
  <c r="F14" i="4"/>
  <c r="D14" i="4"/>
  <c r="J75" i="1" l="1"/>
  <c r="H75" i="1"/>
  <c r="I75" i="1" s="1"/>
  <c r="H38" i="1"/>
  <c r="I38" i="1" s="1"/>
  <c r="J38" i="1" s="1"/>
  <c r="H12" i="1"/>
  <c r="I12" i="1" s="1"/>
  <c r="J12" i="1" s="1"/>
  <c r="B4" i="4"/>
  <c r="H76" i="1" l="1"/>
  <c r="I76" i="1" s="1"/>
  <c r="J76" i="1" s="1"/>
  <c r="H39" i="1"/>
  <c r="I39" i="1" s="1"/>
  <c r="J39" i="1" s="1"/>
  <c r="H13" i="1"/>
  <c r="I13" i="1" s="1"/>
  <c r="J13" i="1"/>
  <c r="H77" i="1" l="1"/>
  <c r="I77" i="1" s="1"/>
  <c r="J77" i="1" s="1"/>
  <c r="H40" i="1"/>
  <c r="I40" i="1" s="1"/>
  <c r="J40" i="1" s="1"/>
  <c r="B6" i="4"/>
  <c r="H14" i="1"/>
  <c r="I14" i="1" s="1"/>
  <c r="J14" i="1"/>
  <c r="H78" i="1" l="1"/>
  <c r="I78" i="1" s="1"/>
  <c r="J78" i="1" s="1"/>
  <c r="H41" i="1"/>
  <c r="I41" i="1" s="1"/>
  <c r="J41" i="1"/>
  <c r="H15" i="1"/>
  <c r="I15" i="1" s="1"/>
  <c r="J15" i="1"/>
  <c r="J79" i="1" l="1"/>
  <c r="H79" i="1"/>
  <c r="I79" i="1" s="1"/>
  <c r="H42" i="1"/>
  <c r="I42" i="1" s="1"/>
  <c r="J42" i="1"/>
  <c r="H16" i="1"/>
  <c r="I16" i="1" s="1"/>
  <c r="J16" i="1" s="1"/>
  <c r="H43" i="1" l="1"/>
  <c r="I43" i="1" s="1"/>
  <c r="J43" i="1" s="1"/>
  <c r="J17" i="1"/>
  <c r="H17" i="1"/>
  <c r="I17" i="1" s="1"/>
  <c r="J80" i="1" l="1"/>
  <c r="H44" i="1"/>
  <c r="I44" i="1" s="1"/>
  <c r="J44" i="1"/>
  <c r="H18" i="1"/>
  <c r="I18" i="1" s="1"/>
  <c r="J18" i="1" s="1"/>
  <c r="B8" i="4" l="1"/>
  <c r="B14" i="4" s="1"/>
  <c r="D18" i="4" s="1"/>
  <c r="H45" i="1"/>
  <c r="I45" i="1" s="1"/>
  <c r="J45" i="1"/>
  <c r="H19" i="1"/>
  <c r="I19" i="1" s="1"/>
  <c r="J19" i="1" s="1"/>
  <c r="H46" i="1" l="1"/>
  <c r="I46" i="1" s="1"/>
  <c r="J46" i="1" s="1"/>
  <c r="H20" i="1"/>
  <c r="I20" i="1" s="1"/>
  <c r="J20" i="1" s="1"/>
  <c r="H47" i="1" l="1"/>
  <c r="I47" i="1" s="1"/>
  <c r="J47" i="1"/>
  <c r="H21" i="1"/>
  <c r="I21" i="1" s="1"/>
  <c r="J21" i="1" s="1"/>
  <c r="H48" i="1" l="1"/>
  <c r="I48" i="1" s="1"/>
  <c r="J48" i="1" s="1"/>
  <c r="H22" i="1"/>
  <c r="I22" i="1" s="1"/>
  <c r="J22" i="1" s="1"/>
  <c r="H49" i="1" l="1"/>
  <c r="I49" i="1" s="1"/>
  <c r="J49" i="1"/>
  <c r="H23" i="1"/>
  <c r="I23" i="1" s="1"/>
  <c r="J23" i="1"/>
  <c r="H50" i="1" l="1"/>
  <c r="I50" i="1" s="1"/>
  <c r="J50" i="1"/>
  <c r="H51" i="1" l="1"/>
  <c r="I51" i="1" s="1"/>
  <c r="J51" i="1" s="1"/>
  <c r="H52" i="1" l="1"/>
  <c r="I52" i="1" s="1"/>
  <c r="J52" i="1"/>
  <c r="H53" i="1" l="1"/>
  <c r="I53" i="1" s="1"/>
  <c r="J53" i="1" s="1"/>
  <c r="H54" i="1" l="1"/>
  <c r="I54" i="1" s="1"/>
  <c r="J54" i="1" l="1"/>
  <c r="H55" i="1" l="1"/>
  <c r="I55" i="1" s="1"/>
  <c r="I56" i="1" s="1"/>
  <c r="J55" i="1" l="1"/>
</calcChain>
</file>

<file path=xl/sharedStrings.xml><?xml version="1.0" encoding="utf-8"?>
<sst xmlns="http://schemas.openxmlformats.org/spreadsheetml/2006/main" count="86" uniqueCount="57">
  <si>
    <t>Vencimento</t>
  </si>
  <si>
    <t xml:space="preserve">Parcela </t>
  </si>
  <si>
    <t xml:space="preserve">Juros </t>
  </si>
  <si>
    <t>Amortização</t>
  </si>
  <si>
    <t>Saldo Devedor</t>
  </si>
  <si>
    <t>Juros</t>
  </si>
  <si>
    <t>Valor do Carro</t>
  </si>
  <si>
    <t>Parcela(0%)</t>
  </si>
  <si>
    <t>Economia Total</t>
  </si>
  <si>
    <t>ITEM A)</t>
  </si>
  <si>
    <t>ITEM B)</t>
  </si>
  <si>
    <t>Entrada</t>
  </si>
  <si>
    <t>n</t>
  </si>
  <si>
    <t>Saldo</t>
  </si>
  <si>
    <t>Saldo Corr.</t>
  </si>
  <si>
    <t>Item a)</t>
  </si>
  <si>
    <t>item b)</t>
  </si>
  <si>
    <t>Respostas</t>
  </si>
  <si>
    <t>Valor Real do Carro ?</t>
  </si>
  <si>
    <t>Item b)</t>
  </si>
  <si>
    <t>Qual a Economia Total ?</t>
  </si>
  <si>
    <t>Q 1</t>
  </si>
  <si>
    <t>Q 2</t>
  </si>
  <si>
    <t>Q 3</t>
  </si>
  <si>
    <t>NOTA</t>
  </si>
  <si>
    <t>Juros cobrado pelos dias na mudança do financiamento</t>
  </si>
  <si>
    <t>Valor</t>
  </si>
  <si>
    <t>Valor Financiado</t>
  </si>
  <si>
    <t>Taxa de Juros</t>
  </si>
  <si>
    <t>Item c)</t>
  </si>
  <si>
    <t>Qual o Saldo Devedor?</t>
  </si>
  <si>
    <t>item a)</t>
  </si>
  <si>
    <t>Economia Mensal 30d</t>
  </si>
  <si>
    <t>Economia Total 0d</t>
  </si>
  <si>
    <t>Valor Real do carro</t>
  </si>
  <si>
    <t>Taxa de desconto</t>
  </si>
  <si>
    <t xml:space="preserve">Parcela 0% </t>
  </si>
  <si>
    <t>Economia Mensal</t>
  </si>
  <si>
    <t>item c)</t>
  </si>
  <si>
    <t>Entrada (60%)</t>
  </si>
  <si>
    <t>taxa</t>
  </si>
  <si>
    <t>Taxa Itáu</t>
  </si>
  <si>
    <t>Taxa de Juros Itaú</t>
  </si>
  <si>
    <t>Parcela Itaú</t>
  </si>
  <si>
    <t>Qual a taxa de desconto?</t>
  </si>
  <si>
    <t>Entrada disponível (%)</t>
  </si>
  <si>
    <t>Entrada restante (R$)</t>
  </si>
  <si>
    <t>parcela Itaú (60%)</t>
  </si>
  <si>
    <t>Parcela Itaú restante (1,19%)</t>
  </si>
  <si>
    <t>valor de J1</t>
  </si>
  <si>
    <t>equação de S3</t>
  </si>
  <si>
    <t>valor de p</t>
  </si>
  <si>
    <t>equação de S4</t>
  </si>
  <si>
    <t>valor de a</t>
  </si>
  <si>
    <t>correção</t>
  </si>
  <si>
    <t xml:space="preserve">taxa de juros </t>
  </si>
  <si>
    <t>Valor da 6ª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</si>
</sst>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3" formatCode="_-* #,##0.00_-;\-* #,##0.00_-;_-* &quot;-&quot;??_-;_-@_-"/>
    <numFmt numFmtId="164" formatCode="#,##0.00_ ;[Red]\-#,##0.00\ "/>
    <numFmt numFmtId="165" formatCode="#,##0.00_ ;\-#,##0.00\ 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22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2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43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0" fillId="0" borderId="1" xfId="1" applyFont="1" applyBorder="1"/>
    <xf numFmtId="1" fontId="2" fillId="2" borderId="1" xfId="1" applyNumberFormat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7" xfId="0" applyFont="1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4" xfId="0" applyFill="1" applyBorder="1"/>
    <xf numFmtId="43" fontId="0" fillId="0" borderId="2" xfId="0" applyNumberFormat="1" applyFill="1" applyBorder="1"/>
    <xf numFmtId="43" fontId="0" fillId="0" borderId="0" xfId="1" applyFont="1" applyBorder="1"/>
    <xf numFmtId="9" fontId="0" fillId="0" borderId="0" xfId="0" applyNumberFormat="1" applyAlignment="1">
      <alignment horizontal="center"/>
    </xf>
    <xf numFmtId="0" fontId="0" fillId="0" borderId="0" xfId="0" applyFont="1"/>
    <xf numFmtId="0" fontId="3" fillId="3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" xfId="0" applyFont="1" applyFill="1" applyBorder="1"/>
    <xf numFmtId="10" fontId="0" fillId="0" borderId="1" xfId="0" applyNumberFormat="1" applyBorder="1"/>
    <xf numFmtId="8" fontId="0" fillId="0" borderId="1" xfId="1" applyNumberFormat="1" applyFont="1" applyBorder="1"/>
    <xf numFmtId="14" fontId="0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0" fillId="2" borderId="7" xfId="0" applyFont="1" applyFill="1" applyBorder="1"/>
    <xf numFmtId="43" fontId="0" fillId="0" borderId="2" xfId="1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2" fontId="0" fillId="0" borderId="0" xfId="0" applyNumberFormat="1"/>
    <xf numFmtId="164" fontId="0" fillId="0" borderId="0" xfId="1" applyNumberFormat="1" applyFont="1"/>
    <xf numFmtId="43" fontId="0" fillId="0" borderId="0" xfId="0" applyNumberFormat="1" applyAlignment="1">
      <alignment horizontal="center"/>
    </xf>
    <xf numFmtId="164" fontId="0" fillId="0" borderId="0" xfId="1" applyNumberFormat="1" applyFont="1" applyFill="1" applyBorder="1"/>
    <xf numFmtId="43" fontId="0" fillId="0" borderId="1" xfId="0" applyNumberFormat="1" applyBorder="1"/>
    <xf numFmtId="43" fontId="0" fillId="0" borderId="0" xfId="1" applyFont="1" applyAlignment="1"/>
    <xf numFmtId="10" fontId="0" fillId="0" borderId="0" xfId="1" applyNumberFormat="1" applyFont="1" applyAlignmen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0" xfId="0" applyFont="1" applyFill="1"/>
    <xf numFmtId="43" fontId="0" fillId="0" borderId="0" xfId="0" applyNumberFormat="1" applyFill="1"/>
    <xf numFmtId="8" fontId="0" fillId="0" borderId="0" xfId="1" applyNumberFormat="1" applyFont="1" applyFill="1"/>
    <xf numFmtId="10" fontId="0" fillId="0" borderId="0" xfId="2" applyNumberFormat="1" applyFont="1" applyFill="1"/>
    <xf numFmtId="2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" fontId="0" fillId="0" borderId="2" xfId="0" applyNumberFormat="1" applyFill="1" applyBorder="1"/>
    <xf numFmtId="166" fontId="0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1" xfId="1" applyFont="1" applyFill="1" applyBorder="1"/>
    <xf numFmtId="164" fontId="0" fillId="0" borderId="1" xfId="1" applyNumberFormat="1" applyFont="1" applyFill="1" applyBorder="1"/>
    <xf numFmtId="2" fontId="0" fillId="0" borderId="1" xfId="0" applyNumberFormat="1" applyFill="1" applyBorder="1"/>
    <xf numFmtId="0" fontId="2" fillId="0" borderId="1" xfId="0" applyFont="1" applyBorder="1"/>
    <xf numFmtId="2" fontId="9" fillId="0" borderId="0" xfId="0" applyNumberFormat="1" applyFont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3" fontId="0" fillId="4" borderId="1" xfId="1" applyFont="1" applyFill="1" applyBorder="1"/>
    <xf numFmtId="9" fontId="0" fillId="0" borderId="0" xfId="2" applyFont="1"/>
    <xf numFmtId="164" fontId="2" fillId="0" borderId="0" xfId="0" applyNumberFormat="1" applyFont="1" applyFill="1"/>
    <xf numFmtId="164" fontId="0" fillId="0" borderId="0" xfId="0" applyNumberFormat="1"/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200021</xdr:colOff>
      <xdr:row>27</xdr:row>
      <xdr:rowOff>0</xdr:rowOff>
    </xdr:from>
    <xdr:to>
      <xdr:col>7</xdr:col>
      <xdr:colOff>561974</xdr:colOff>
      <xdr:row>28</xdr:row>
      <xdr:rowOff>114300</xdr:rowOff>
    </xdr:to>
    <xdr:sp macro="" textlink="">
      <xdr:nvSpPr>
        <xdr:cNvPr id="4" name="Bent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228721" y="4791075"/>
          <a:ext cx="3381378" cy="30480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opLeftCell="A61" workbookViewId="0">
      <selection activeCell="J69" sqref="J69"/>
    </sheetView>
  </sheetViews>
  <sheetFormatPr defaultRowHeight="15" x14ac:dyDescent="0.25"/>
  <cols>
    <col min="1" max="1" width="15.85546875" bestFit="1" customWidth="1"/>
    <col min="2" max="2" width="15.28515625" customWidth="1"/>
    <col min="3" max="4" width="11.85546875" customWidth="1"/>
    <col min="6" max="6" width="12.5703125" style="3" customWidth="1"/>
    <col min="7" max="7" width="11.7109375" customWidth="1"/>
    <col min="8" max="8" width="13.7109375" customWidth="1"/>
    <col min="9" max="9" width="14.28515625" customWidth="1"/>
    <col min="10" max="10" width="13.85546875" customWidth="1"/>
    <col min="11" max="11" width="13" customWidth="1"/>
    <col min="12" max="12" width="10.7109375" bestFit="1" customWidth="1"/>
    <col min="13" max="13" width="9.5703125" bestFit="1" customWidth="1"/>
  </cols>
  <sheetData>
    <row r="1" spans="1:12" x14ac:dyDescent="0.25">
      <c r="A1" s="39" t="s">
        <v>26</v>
      </c>
      <c r="B1" s="5">
        <v>62000</v>
      </c>
      <c r="C1" s="19"/>
      <c r="D1" s="19"/>
    </row>
    <row r="2" spans="1:12" x14ac:dyDescent="0.25">
      <c r="A2" s="39" t="s">
        <v>39</v>
      </c>
      <c r="B2" s="5">
        <f>60%*B1</f>
        <v>37200</v>
      </c>
      <c r="C2" s="19"/>
      <c r="D2" s="19"/>
    </row>
    <row r="3" spans="1:12" ht="15.75" thickBot="1" x14ac:dyDescent="0.3">
      <c r="A3" s="39" t="s">
        <v>27</v>
      </c>
      <c r="B3" s="5">
        <f>40%*B1</f>
        <v>24800</v>
      </c>
      <c r="C3" s="19"/>
    </row>
    <row r="4" spans="1:12" ht="15.75" thickBot="1" x14ac:dyDescent="0.3">
      <c r="A4" s="39" t="s">
        <v>28</v>
      </c>
      <c r="B4" s="40">
        <v>1.1900000000000001E-2</v>
      </c>
      <c r="D4" s="20" t="s">
        <v>15</v>
      </c>
      <c r="F4" s="4" t="s">
        <v>0</v>
      </c>
      <c r="G4" s="4" t="s">
        <v>1</v>
      </c>
      <c r="H4" s="4" t="s">
        <v>2</v>
      </c>
      <c r="I4" s="4" t="s">
        <v>3</v>
      </c>
      <c r="J4" s="4" t="s">
        <v>4</v>
      </c>
    </row>
    <row r="5" spans="1:12" x14ac:dyDescent="0.25">
      <c r="F5" s="7">
        <v>41927</v>
      </c>
      <c r="G5" s="70"/>
      <c r="H5" s="70"/>
      <c r="I5" s="70"/>
      <c r="J5" s="70">
        <f>B3</f>
        <v>24800</v>
      </c>
    </row>
    <row r="6" spans="1:12" x14ac:dyDescent="0.25">
      <c r="F6" s="7">
        <v>41958</v>
      </c>
      <c r="G6" s="71">
        <f>PMT(B4,18,-B3)</f>
        <v>1538.7522340154292</v>
      </c>
      <c r="H6" s="70">
        <f>$B$4*J5</f>
        <v>295.12</v>
      </c>
      <c r="I6" s="71">
        <f>G6-H6</f>
        <v>1243.6322340154293</v>
      </c>
      <c r="J6" s="70">
        <f>J5-I6</f>
        <v>23556.367765984571</v>
      </c>
    </row>
    <row r="7" spans="1:12" x14ac:dyDescent="0.25">
      <c r="F7" s="7">
        <v>41988</v>
      </c>
      <c r="G7" s="71">
        <f>G6</f>
        <v>1538.7522340154292</v>
      </c>
      <c r="H7" s="70">
        <f t="shared" ref="H7:H23" si="0">$B$4*J6</f>
        <v>280.32077641521641</v>
      </c>
      <c r="I7" s="71">
        <f t="shared" ref="I7:I23" si="1">G7-H7</f>
        <v>1258.4314576002128</v>
      </c>
      <c r="J7" s="70">
        <f t="shared" ref="J7:J23" si="2">J6-I7</f>
        <v>22297.936308384356</v>
      </c>
    </row>
    <row r="8" spans="1:12" x14ac:dyDescent="0.25">
      <c r="F8" s="7">
        <v>42019</v>
      </c>
      <c r="G8" s="71">
        <f t="shared" ref="G8:G23" si="3">G7</f>
        <v>1538.7522340154292</v>
      </c>
      <c r="H8" s="70">
        <f t="shared" si="0"/>
        <v>265.34544206977387</v>
      </c>
      <c r="I8" s="71">
        <f t="shared" si="1"/>
        <v>1273.4067919456552</v>
      </c>
      <c r="J8" s="70">
        <f t="shared" si="2"/>
        <v>21024.529516438703</v>
      </c>
      <c r="L8" s="10"/>
    </row>
    <row r="9" spans="1:12" x14ac:dyDescent="0.25">
      <c r="F9" s="7">
        <v>42050</v>
      </c>
      <c r="G9" s="71">
        <f t="shared" si="3"/>
        <v>1538.7522340154292</v>
      </c>
      <c r="H9" s="70">
        <f t="shared" si="0"/>
        <v>250.19190124562058</v>
      </c>
      <c r="I9" s="71">
        <f t="shared" si="1"/>
        <v>1288.5603327698086</v>
      </c>
      <c r="J9" s="70">
        <f t="shared" si="2"/>
        <v>19735.969183668894</v>
      </c>
      <c r="L9" s="10"/>
    </row>
    <row r="10" spans="1:12" x14ac:dyDescent="0.25">
      <c r="C10" s="10"/>
      <c r="F10" s="7">
        <v>42078</v>
      </c>
      <c r="G10" s="71">
        <f t="shared" si="3"/>
        <v>1538.7522340154292</v>
      </c>
      <c r="H10" s="70">
        <f t="shared" si="0"/>
        <v>234.85803328565987</v>
      </c>
      <c r="I10" s="71">
        <f t="shared" si="1"/>
        <v>1303.8942007297692</v>
      </c>
      <c r="J10" s="70">
        <f t="shared" si="2"/>
        <v>18432.074982939124</v>
      </c>
      <c r="L10" s="10"/>
    </row>
    <row r="11" spans="1:12" x14ac:dyDescent="0.25">
      <c r="F11" s="7">
        <v>42109</v>
      </c>
      <c r="G11" s="71">
        <f t="shared" si="3"/>
        <v>1538.7522340154292</v>
      </c>
      <c r="H11" s="70">
        <f t="shared" si="0"/>
        <v>219.34169229697559</v>
      </c>
      <c r="I11" s="71">
        <f t="shared" si="1"/>
        <v>1319.4105417184535</v>
      </c>
      <c r="J11" s="83">
        <f t="shared" si="2"/>
        <v>17112.66444122067</v>
      </c>
      <c r="L11" s="10"/>
    </row>
    <row r="12" spans="1:12" x14ac:dyDescent="0.25">
      <c r="F12" s="7">
        <v>42139</v>
      </c>
      <c r="G12" s="71">
        <f t="shared" si="3"/>
        <v>1538.7522340154292</v>
      </c>
      <c r="H12" s="70">
        <f t="shared" si="0"/>
        <v>203.64070685052599</v>
      </c>
      <c r="I12" s="71">
        <f t="shared" si="1"/>
        <v>1335.1115271649032</v>
      </c>
      <c r="J12" s="70">
        <f t="shared" si="2"/>
        <v>15777.552914055766</v>
      </c>
    </row>
    <row r="13" spans="1:12" x14ac:dyDescent="0.25">
      <c r="C13" s="10"/>
      <c r="F13" s="7">
        <v>42170</v>
      </c>
      <c r="G13" s="71">
        <f t="shared" si="3"/>
        <v>1538.7522340154292</v>
      </c>
      <c r="H13" s="70">
        <f t="shared" si="0"/>
        <v>187.75287967726362</v>
      </c>
      <c r="I13" s="71">
        <f t="shared" si="1"/>
        <v>1350.9993543381656</v>
      </c>
      <c r="J13" s="70">
        <f t="shared" si="2"/>
        <v>14426.5535597176</v>
      </c>
    </row>
    <row r="14" spans="1:12" x14ac:dyDescent="0.25">
      <c r="F14" s="7">
        <v>42200</v>
      </c>
      <c r="G14" s="71">
        <f t="shared" si="3"/>
        <v>1538.7522340154292</v>
      </c>
      <c r="H14" s="70">
        <f t="shared" si="0"/>
        <v>171.67598736063945</v>
      </c>
      <c r="I14" s="71">
        <f t="shared" si="1"/>
        <v>1367.0762466547897</v>
      </c>
      <c r="J14" s="70">
        <f t="shared" si="2"/>
        <v>13059.477313062811</v>
      </c>
    </row>
    <row r="15" spans="1:12" x14ac:dyDescent="0.25">
      <c r="F15" s="7">
        <v>42231</v>
      </c>
      <c r="G15" s="71">
        <f t="shared" si="3"/>
        <v>1538.7522340154292</v>
      </c>
      <c r="H15" s="70">
        <f t="shared" si="0"/>
        <v>155.40778002544747</v>
      </c>
      <c r="I15" s="71">
        <f t="shared" si="1"/>
        <v>1383.3444539899817</v>
      </c>
      <c r="J15" s="70">
        <f t="shared" si="2"/>
        <v>11676.13285907283</v>
      </c>
    </row>
    <row r="16" spans="1:12" x14ac:dyDescent="0.25">
      <c r="F16" s="7">
        <v>42262</v>
      </c>
      <c r="G16" s="71">
        <f t="shared" si="3"/>
        <v>1538.7522340154292</v>
      </c>
      <c r="H16" s="70">
        <f t="shared" si="0"/>
        <v>138.94598102296669</v>
      </c>
      <c r="I16" s="71">
        <f t="shared" si="1"/>
        <v>1399.8062529924625</v>
      </c>
      <c r="J16" s="70">
        <f t="shared" si="2"/>
        <v>10276.326606080367</v>
      </c>
    </row>
    <row r="17" spans="3:12" x14ac:dyDescent="0.25">
      <c r="F17" s="7">
        <v>42292</v>
      </c>
      <c r="G17" s="71">
        <f t="shared" si="3"/>
        <v>1538.7522340154292</v>
      </c>
      <c r="H17" s="70">
        <f t="shared" si="0"/>
        <v>122.28828661235637</v>
      </c>
      <c r="I17" s="71">
        <f t="shared" si="1"/>
        <v>1416.4639474030728</v>
      </c>
      <c r="J17" s="70">
        <f t="shared" si="2"/>
        <v>8859.8626586772953</v>
      </c>
    </row>
    <row r="18" spans="3:12" x14ac:dyDescent="0.25">
      <c r="F18" s="7">
        <v>42323</v>
      </c>
      <c r="G18" s="71">
        <f t="shared" si="3"/>
        <v>1538.7522340154292</v>
      </c>
      <c r="H18" s="70">
        <f t="shared" si="0"/>
        <v>105.43236563825982</v>
      </c>
      <c r="I18" s="71">
        <f t="shared" si="1"/>
        <v>1433.3198683771693</v>
      </c>
      <c r="J18" s="70">
        <f t="shared" si="2"/>
        <v>7426.5427903001255</v>
      </c>
    </row>
    <row r="19" spans="3:12" x14ac:dyDescent="0.25">
      <c r="F19" s="7">
        <v>42353</v>
      </c>
      <c r="G19" s="71">
        <f t="shared" si="3"/>
        <v>1538.7522340154292</v>
      </c>
      <c r="H19" s="70">
        <f t="shared" si="0"/>
        <v>88.375859204571498</v>
      </c>
      <c r="I19" s="71">
        <f t="shared" si="1"/>
        <v>1450.3763748108577</v>
      </c>
      <c r="J19" s="70">
        <f t="shared" si="2"/>
        <v>5976.1664154892678</v>
      </c>
    </row>
    <row r="20" spans="3:12" x14ac:dyDescent="0.25">
      <c r="F20" s="7">
        <v>42384</v>
      </c>
      <c r="G20" s="71">
        <f t="shared" si="3"/>
        <v>1538.7522340154292</v>
      </c>
      <c r="H20" s="70">
        <f t="shared" si="0"/>
        <v>71.116380344322295</v>
      </c>
      <c r="I20" s="71">
        <f t="shared" si="1"/>
        <v>1467.6358536711068</v>
      </c>
      <c r="J20" s="70">
        <f t="shared" si="2"/>
        <v>4508.530561818161</v>
      </c>
    </row>
    <row r="21" spans="3:12" x14ac:dyDescent="0.25">
      <c r="F21" s="7">
        <v>42415</v>
      </c>
      <c r="G21" s="71">
        <f t="shared" si="3"/>
        <v>1538.7522340154292</v>
      </c>
      <c r="H21" s="70">
        <f t="shared" si="0"/>
        <v>53.651513685636118</v>
      </c>
      <c r="I21" s="71">
        <f t="shared" si="1"/>
        <v>1485.1007203297931</v>
      </c>
      <c r="J21" s="70">
        <f t="shared" si="2"/>
        <v>3023.4298414883679</v>
      </c>
    </row>
    <row r="22" spans="3:12" x14ac:dyDescent="0.25">
      <c r="F22" s="7">
        <v>42444</v>
      </c>
      <c r="G22" s="71">
        <f t="shared" si="3"/>
        <v>1538.7522340154292</v>
      </c>
      <c r="H22" s="70">
        <f t="shared" si="0"/>
        <v>35.978815113711583</v>
      </c>
      <c r="I22" s="71">
        <f t="shared" si="1"/>
        <v>1502.7734189017176</v>
      </c>
      <c r="J22" s="70">
        <f t="shared" si="2"/>
        <v>1520.6564225866503</v>
      </c>
    </row>
    <row r="23" spans="3:12" x14ac:dyDescent="0.25">
      <c r="F23" s="7">
        <v>42475</v>
      </c>
      <c r="G23" s="71">
        <f t="shared" si="3"/>
        <v>1538.7522340154292</v>
      </c>
      <c r="H23" s="70">
        <f t="shared" si="0"/>
        <v>18.09581142878114</v>
      </c>
      <c r="I23" s="71">
        <f t="shared" si="1"/>
        <v>1520.656422586648</v>
      </c>
      <c r="J23" s="70">
        <f t="shared" si="2"/>
        <v>2.2737367544323206E-12</v>
      </c>
    </row>
    <row r="24" spans="3:12" x14ac:dyDescent="0.25">
      <c r="F24" s="17"/>
      <c r="G24" s="54"/>
      <c r="H24" s="18"/>
      <c r="I24" s="54"/>
      <c r="J24" s="18"/>
    </row>
    <row r="25" spans="3:12" x14ac:dyDescent="0.25">
      <c r="G25" s="53" t="s">
        <v>40</v>
      </c>
      <c r="H25" s="9">
        <v>1.1900000000000001E-2</v>
      </c>
      <c r="I25" s="53" t="s">
        <v>40</v>
      </c>
      <c r="J25" s="9">
        <v>5.8999999999999999E-3</v>
      </c>
      <c r="L25" s="1"/>
    </row>
    <row r="26" spans="3:12" ht="15.75" thickBot="1" x14ac:dyDescent="0.3">
      <c r="G26" s="6">
        <v>42109</v>
      </c>
      <c r="H26" s="4" t="s">
        <v>5</v>
      </c>
      <c r="I26" s="6">
        <v>42119</v>
      </c>
      <c r="J26" s="6">
        <v>42124</v>
      </c>
      <c r="L26" s="1"/>
    </row>
    <row r="27" spans="3:12" x14ac:dyDescent="0.25">
      <c r="C27" s="76" t="s">
        <v>25</v>
      </c>
      <c r="G27" s="13">
        <f>J11</f>
        <v>17112.66444122067</v>
      </c>
      <c r="H27" s="13">
        <f>G27*(1+H25)^(10/30)-G27</f>
        <v>67.612743445235537</v>
      </c>
      <c r="I27" s="13">
        <f>G27+H27</f>
        <v>17180.277184665905</v>
      </c>
      <c r="J27" s="55">
        <f>I27*(1+J25)^(5/30)</f>
        <v>17197.129742082656</v>
      </c>
      <c r="K27" s="10"/>
    </row>
    <row r="28" spans="3:12" x14ac:dyDescent="0.25">
      <c r="C28" s="77"/>
      <c r="G28" s="30"/>
      <c r="H28" s="30"/>
      <c r="I28" s="30"/>
    </row>
    <row r="29" spans="3:12" x14ac:dyDescent="0.25">
      <c r="C29" s="77"/>
    </row>
    <row r="30" spans="3:12" ht="15.75" thickBot="1" x14ac:dyDescent="0.3">
      <c r="C30" s="78"/>
      <c r="F30" s="4" t="s">
        <v>0</v>
      </c>
      <c r="G30" s="4" t="s">
        <v>1</v>
      </c>
      <c r="H30" s="4" t="s">
        <v>2</v>
      </c>
      <c r="I30" s="4" t="s">
        <v>3</v>
      </c>
      <c r="J30" s="4" t="s">
        <v>4</v>
      </c>
    </row>
    <row r="31" spans="3:12" ht="15.75" thickBot="1" x14ac:dyDescent="0.3">
      <c r="F31" s="42">
        <v>42124</v>
      </c>
      <c r="G31" s="13"/>
      <c r="H31" s="13"/>
      <c r="I31" s="13"/>
      <c r="J31" s="13">
        <f>J27</f>
        <v>17197.129742082656</v>
      </c>
    </row>
    <row r="32" spans="3:12" ht="15.75" thickBot="1" x14ac:dyDescent="0.3">
      <c r="D32" s="21" t="s">
        <v>16</v>
      </c>
      <c r="F32" s="42">
        <v>42154</v>
      </c>
      <c r="G32" s="13">
        <f>(1+J25)*J31/24</f>
        <v>720.77470031503935</v>
      </c>
      <c r="H32" s="13">
        <f>$J$25*J31</f>
        <v>101.46306547828766</v>
      </c>
      <c r="I32" s="13">
        <f>G32-H32</f>
        <v>619.31163483675164</v>
      </c>
      <c r="J32" s="13">
        <f>J31-I32</f>
        <v>16577.818107245905</v>
      </c>
    </row>
    <row r="33" spans="6:12" x14ac:dyDescent="0.25">
      <c r="F33" s="42">
        <v>42185</v>
      </c>
      <c r="G33" s="13">
        <f>G32*(1+$J$25)</f>
        <v>725.02727104689814</v>
      </c>
      <c r="H33" s="13">
        <f t="shared" ref="H33:H55" si="4">$J$25*J32</f>
        <v>97.809126832750835</v>
      </c>
      <c r="I33" s="13">
        <f t="shared" ref="I33:I55" si="5">G33-H33</f>
        <v>627.21814421414729</v>
      </c>
      <c r="J33" s="13">
        <f t="shared" ref="J33:J55" si="6">J32-I33</f>
        <v>15950.599963031756</v>
      </c>
    </row>
    <row r="34" spans="6:12" x14ac:dyDescent="0.25">
      <c r="F34" s="42">
        <v>42215</v>
      </c>
      <c r="G34" s="13">
        <f t="shared" ref="G34:G55" si="7">G33*(1+$J$25)</f>
        <v>729.30493194607482</v>
      </c>
      <c r="H34" s="13">
        <f t="shared" si="4"/>
        <v>94.108539781887359</v>
      </c>
      <c r="I34" s="13">
        <f t="shared" si="5"/>
        <v>635.1963921641875</v>
      </c>
      <c r="J34" s="13">
        <f t="shared" si="6"/>
        <v>15315.403570867569</v>
      </c>
    </row>
    <row r="35" spans="6:12" x14ac:dyDescent="0.25">
      <c r="F35" s="42">
        <v>42246</v>
      </c>
      <c r="G35" s="13">
        <f t="shared" si="7"/>
        <v>733.60783104455663</v>
      </c>
      <c r="H35" s="13">
        <f t="shared" si="4"/>
        <v>90.360881068118658</v>
      </c>
      <c r="I35" s="13">
        <f t="shared" si="5"/>
        <v>643.24694997643792</v>
      </c>
      <c r="J35" s="13">
        <f t="shared" si="6"/>
        <v>14672.156620891132</v>
      </c>
    </row>
    <row r="36" spans="6:12" x14ac:dyDescent="0.25">
      <c r="F36" s="42">
        <v>42277</v>
      </c>
      <c r="G36" s="13">
        <f t="shared" si="7"/>
        <v>737.93611724771949</v>
      </c>
      <c r="H36" s="13">
        <f t="shared" si="4"/>
        <v>86.565724063257676</v>
      </c>
      <c r="I36" s="13">
        <f t="shared" si="5"/>
        <v>651.37039318446182</v>
      </c>
      <c r="J36" s="13">
        <f t="shared" si="6"/>
        <v>14020.786227706671</v>
      </c>
    </row>
    <row r="37" spans="6:12" x14ac:dyDescent="0.25">
      <c r="F37" s="42">
        <v>42307</v>
      </c>
      <c r="G37" s="13">
        <f t="shared" si="7"/>
        <v>742.28994033948106</v>
      </c>
      <c r="H37" s="13">
        <f t="shared" si="4"/>
        <v>82.722638743469361</v>
      </c>
      <c r="I37" s="13">
        <f t="shared" si="5"/>
        <v>659.5673015960117</v>
      </c>
      <c r="J37" s="13">
        <f t="shared" si="6"/>
        <v>13361.21892611066</v>
      </c>
    </row>
    <row r="38" spans="6:12" x14ac:dyDescent="0.25">
      <c r="F38" s="42">
        <v>42338</v>
      </c>
      <c r="G38" s="13">
        <f t="shared" si="7"/>
        <v>746.66945098748397</v>
      </c>
      <c r="H38" s="13">
        <f t="shared" si="4"/>
        <v>78.831191664052895</v>
      </c>
      <c r="I38" s="13">
        <f t="shared" si="5"/>
        <v>667.83825932343109</v>
      </c>
      <c r="J38" s="13">
        <f t="shared" si="6"/>
        <v>12693.380666787229</v>
      </c>
    </row>
    <row r="39" spans="6:12" x14ac:dyDescent="0.25">
      <c r="F39" s="42">
        <v>42368</v>
      </c>
      <c r="G39" s="13">
        <f t="shared" si="7"/>
        <v>751.07480074831017</v>
      </c>
      <c r="H39" s="13">
        <f t="shared" si="4"/>
        <v>74.890945934044652</v>
      </c>
      <c r="I39" s="13">
        <f t="shared" si="5"/>
        <v>676.18385481426549</v>
      </c>
      <c r="J39" s="13">
        <f t="shared" si="6"/>
        <v>12017.196811972963</v>
      </c>
      <c r="L39" s="10"/>
    </row>
    <row r="40" spans="6:12" x14ac:dyDescent="0.25">
      <c r="F40" s="42">
        <v>42399</v>
      </c>
      <c r="G40" s="13">
        <f t="shared" si="7"/>
        <v>755.5061420727252</v>
      </c>
      <c r="H40" s="13">
        <f t="shared" si="4"/>
        <v>70.901461190640475</v>
      </c>
      <c r="I40" s="13">
        <f t="shared" si="5"/>
        <v>684.60468088208472</v>
      </c>
      <c r="J40" s="13">
        <f t="shared" si="6"/>
        <v>11332.592131090878</v>
      </c>
    </row>
    <row r="41" spans="6:12" x14ac:dyDescent="0.25">
      <c r="F41" s="42">
        <v>42429</v>
      </c>
      <c r="G41" s="13">
        <f t="shared" si="7"/>
        <v>759.96362831095428</v>
      </c>
      <c r="H41" s="13">
        <f t="shared" si="4"/>
        <v>66.862293573436176</v>
      </c>
      <c r="I41" s="13">
        <f t="shared" si="5"/>
        <v>693.10133473751807</v>
      </c>
      <c r="J41" s="13">
        <f t="shared" si="6"/>
        <v>10639.490796353361</v>
      </c>
    </row>
    <row r="42" spans="6:12" x14ac:dyDescent="0.25">
      <c r="F42" s="42">
        <v>42459</v>
      </c>
      <c r="G42" s="13">
        <f t="shared" si="7"/>
        <v>764.44741371798887</v>
      </c>
      <c r="H42" s="13">
        <f t="shared" si="4"/>
        <v>62.772995698484827</v>
      </c>
      <c r="I42" s="13">
        <f t="shared" si="5"/>
        <v>701.67441801950406</v>
      </c>
      <c r="J42" s="13">
        <f t="shared" si="6"/>
        <v>9937.8163783338568</v>
      </c>
    </row>
    <row r="43" spans="6:12" x14ac:dyDescent="0.25">
      <c r="F43" s="42">
        <v>42490</v>
      </c>
      <c r="G43" s="13">
        <f t="shared" si="7"/>
        <v>768.95765345892505</v>
      </c>
      <c r="H43" s="13">
        <f t="shared" si="4"/>
        <v>58.633116632169752</v>
      </c>
      <c r="I43" s="13">
        <f t="shared" si="5"/>
        <v>710.32453682675532</v>
      </c>
      <c r="J43" s="13">
        <f t="shared" si="6"/>
        <v>9227.4918415071006</v>
      </c>
    </row>
    <row r="44" spans="6:12" x14ac:dyDescent="0.25">
      <c r="F44" s="42">
        <v>42520</v>
      </c>
      <c r="G44" s="13">
        <f t="shared" si="7"/>
        <v>773.49450361433276</v>
      </c>
      <c r="H44" s="13">
        <f t="shared" si="4"/>
        <v>54.442201864891892</v>
      </c>
      <c r="I44" s="13">
        <f t="shared" si="5"/>
        <v>719.05230174944086</v>
      </c>
      <c r="J44" s="13">
        <f t="shared" si="6"/>
        <v>8508.4395397576591</v>
      </c>
    </row>
    <row r="45" spans="6:12" x14ac:dyDescent="0.25">
      <c r="F45" s="42">
        <v>42551</v>
      </c>
      <c r="G45" s="13">
        <f t="shared" si="7"/>
        <v>778.05812118565734</v>
      </c>
      <c r="H45" s="13">
        <f t="shared" si="4"/>
        <v>50.199793284570184</v>
      </c>
      <c r="I45" s="13">
        <f t="shared" si="5"/>
        <v>727.85832790108714</v>
      </c>
      <c r="J45" s="13">
        <f t="shared" si="6"/>
        <v>7780.5812118565718</v>
      </c>
    </row>
    <row r="46" spans="6:12" x14ac:dyDescent="0.25">
      <c r="F46" s="42">
        <v>42581</v>
      </c>
      <c r="G46" s="13">
        <f t="shared" si="7"/>
        <v>782.6486641006527</v>
      </c>
      <c r="H46" s="13">
        <f t="shared" si="4"/>
        <v>45.905429149953775</v>
      </c>
      <c r="I46" s="13">
        <f t="shared" si="5"/>
        <v>736.74323495069893</v>
      </c>
      <c r="J46" s="13">
        <f t="shared" si="6"/>
        <v>7043.8379769058729</v>
      </c>
    </row>
    <row r="47" spans="6:12" x14ac:dyDescent="0.25">
      <c r="F47" s="42">
        <v>42612</v>
      </c>
      <c r="G47" s="13">
        <f t="shared" si="7"/>
        <v>787.2662912188465</v>
      </c>
      <c r="H47" s="13">
        <f t="shared" si="4"/>
        <v>41.558644063744651</v>
      </c>
      <c r="I47" s="13">
        <f t="shared" si="5"/>
        <v>745.70764715510188</v>
      </c>
      <c r="J47" s="13">
        <f t="shared" si="6"/>
        <v>6298.1303297507711</v>
      </c>
    </row>
    <row r="48" spans="6:12" x14ac:dyDescent="0.25">
      <c r="F48" s="42">
        <v>42643</v>
      </c>
      <c r="G48" s="13">
        <f t="shared" si="7"/>
        <v>791.91116233703769</v>
      </c>
      <c r="H48" s="13">
        <f t="shared" si="4"/>
        <v>37.158968945529551</v>
      </c>
      <c r="I48" s="13">
        <f t="shared" si="5"/>
        <v>754.75219339150817</v>
      </c>
      <c r="J48" s="13">
        <f t="shared" si="6"/>
        <v>5543.3781363592625</v>
      </c>
    </row>
    <row r="49" spans="5:13" x14ac:dyDescent="0.25">
      <c r="F49" s="42">
        <v>42673</v>
      </c>
      <c r="G49" s="13">
        <f t="shared" si="7"/>
        <v>796.58343819482627</v>
      </c>
      <c r="H49" s="13">
        <f t="shared" si="4"/>
        <v>32.705931004519648</v>
      </c>
      <c r="I49" s="13">
        <f t="shared" si="5"/>
        <v>763.87750719030657</v>
      </c>
      <c r="J49" s="13">
        <f t="shared" si="6"/>
        <v>4779.500629168956</v>
      </c>
    </row>
    <row r="50" spans="5:13" x14ac:dyDescent="0.25">
      <c r="F50" s="42">
        <v>42704</v>
      </c>
      <c r="G50" s="13">
        <f t="shared" si="7"/>
        <v>801.28328048017579</v>
      </c>
      <c r="H50" s="13">
        <f t="shared" si="4"/>
        <v>28.199053712096841</v>
      </c>
      <c r="I50" s="13">
        <f t="shared" si="5"/>
        <v>773.08422676807891</v>
      </c>
      <c r="J50" s="13">
        <f t="shared" si="6"/>
        <v>4006.4164024008769</v>
      </c>
    </row>
    <row r="51" spans="5:13" x14ac:dyDescent="0.25">
      <c r="F51" s="42">
        <v>42734</v>
      </c>
      <c r="G51" s="13">
        <f t="shared" si="7"/>
        <v>806.01085183500879</v>
      </c>
      <c r="H51" s="13">
        <f t="shared" si="4"/>
        <v>23.637856774165172</v>
      </c>
      <c r="I51" s="13">
        <f t="shared" si="5"/>
        <v>782.37299506084366</v>
      </c>
      <c r="J51" s="13">
        <f t="shared" si="6"/>
        <v>3224.0434073400334</v>
      </c>
    </row>
    <row r="52" spans="5:13" x14ac:dyDescent="0.25">
      <c r="F52" s="42">
        <v>42765</v>
      </c>
      <c r="G52" s="13">
        <f t="shared" si="7"/>
        <v>810.76631586083533</v>
      </c>
      <c r="H52" s="13">
        <f t="shared" si="4"/>
        <v>19.021856103306195</v>
      </c>
      <c r="I52" s="13">
        <f t="shared" si="5"/>
        <v>791.74445975752917</v>
      </c>
      <c r="J52" s="13">
        <f t="shared" si="6"/>
        <v>2432.2989475825043</v>
      </c>
    </row>
    <row r="53" spans="5:13" x14ac:dyDescent="0.25">
      <c r="F53" s="42">
        <v>42794</v>
      </c>
      <c r="G53" s="13">
        <f t="shared" si="7"/>
        <v>815.54983712441424</v>
      </c>
      <c r="H53" s="13">
        <f t="shared" si="4"/>
        <v>14.350563790736775</v>
      </c>
      <c r="I53" s="13">
        <f t="shared" si="5"/>
        <v>801.19927333367741</v>
      </c>
      <c r="J53" s="13">
        <f t="shared" si="6"/>
        <v>1631.0996742488269</v>
      </c>
    </row>
    <row r="54" spans="5:13" x14ac:dyDescent="0.25">
      <c r="F54" s="42">
        <v>42824</v>
      </c>
      <c r="G54" s="13">
        <f t="shared" si="7"/>
        <v>820.36158116344825</v>
      </c>
      <c r="H54" s="13">
        <f t="shared" si="4"/>
        <v>9.6234880780680783</v>
      </c>
      <c r="I54" s="13">
        <f t="shared" si="5"/>
        <v>810.73809308538011</v>
      </c>
      <c r="J54" s="13">
        <f t="shared" si="6"/>
        <v>820.36158116344677</v>
      </c>
      <c r="L54" s="10"/>
    </row>
    <row r="55" spans="5:13" x14ac:dyDescent="0.25">
      <c r="F55" s="42">
        <v>42855</v>
      </c>
      <c r="G55" s="13">
        <f t="shared" si="7"/>
        <v>825.20171449231259</v>
      </c>
      <c r="H55" s="13">
        <f t="shared" si="4"/>
        <v>4.8401333288643356</v>
      </c>
      <c r="I55" s="13">
        <f t="shared" si="5"/>
        <v>820.36158116344825</v>
      </c>
      <c r="J55" s="13">
        <f t="shared" si="6"/>
        <v>-1.4779288903810084E-12</v>
      </c>
    </row>
    <row r="56" spans="5:13" x14ac:dyDescent="0.25">
      <c r="I56" s="10">
        <f>SUM(I52:I55)</f>
        <v>3224.0434073400347</v>
      </c>
    </row>
    <row r="59" spans="5:13" x14ac:dyDescent="0.25">
      <c r="E59" s="4" t="s">
        <v>12</v>
      </c>
      <c r="F59" s="4" t="s">
        <v>0</v>
      </c>
      <c r="G59" s="4" t="s">
        <v>1</v>
      </c>
      <c r="H59" s="4" t="s">
        <v>2</v>
      </c>
      <c r="I59" s="4" t="s">
        <v>3</v>
      </c>
      <c r="J59" s="4" t="s">
        <v>4</v>
      </c>
    </row>
    <row r="60" spans="5:13" x14ac:dyDescent="0.25">
      <c r="E60" s="48">
        <v>0</v>
      </c>
      <c r="F60" s="42">
        <v>42124</v>
      </c>
      <c r="G60" s="13"/>
      <c r="H60" s="13"/>
      <c r="I60" s="13"/>
      <c r="J60" s="13">
        <v>17197.129742082656</v>
      </c>
      <c r="L60" s="1"/>
    </row>
    <row r="61" spans="5:13" x14ac:dyDescent="0.25">
      <c r="E61" s="48">
        <v>1</v>
      </c>
      <c r="F61" s="42">
        <v>42154</v>
      </c>
      <c r="G61" s="13">
        <v>720.77470031503935</v>
      </c>
      <c r="H61" s="13">
        <v>101.46306547828766</v>
      </c>
      <c r="I61" s="13">
        <v>619.31163483675164</v>
      </c>
      <c r="J61" s="13">
        <v>16577.818107245905</v>
      </c>
      <c r="L61" s="1"/>
      <c r="M61" s="10"/>
    </row>
    <row r="62" spans="5:13" x14ac:dyDescent="0.25">
      <c r="E62" s="48">
        <v>2</v>
      </c>
      <c r="F62" s="42">
        <v>42185</v>
      </c>
      <c r="G62" s="13">
        <v>725.02727104689814</v>
      </c>
      <c r="H62" s="13">
        <v>97.809126832750835</v>
      </c>
      <c r="I62" s="13">
        <v>627.21814421414729</v>
      </c>
      <c r="J62" s="13">
        <v>15950.599963031756</v>
      </c>
    </row>
    <row r="63" spans="5:13" x14ac:dyDescent="0.25">
      <c r="E63" s="48">
        <v>3</v>
      </c>
      <c r="F63" s="42">
        <v>42215</v>
      </c>
      <c r="G63" s="13">
        <v>729.30493194607482</v>
      </c>
      <c r="H63" s="13">
        <v>94.108539781887359</v>
      </c>
      <c r="I63" s="13">
        <v>635.1963921641875</v>
      </c>
      <c r="J63" s="13">
        <v>15315.403570867569</v>
      </c>
    </row>
    <row r="64" spans="5:13" x14ac:dyDescent="0.25">
      <c r="E64" s="48">
        <v>4</v>
      </c>
      <c r="F64" s="42">
        <v>42246</v>
      </c>
      <c r="G64" s="13">
        <v>733.60783104455663</v>
      </c>
      <c r="H64" s="13">
        <v>90.360881068118658</v>
      </c>
      <c r="I64" s="13">
        <v>643.24694997643792</v>
      </c>
      <c r="J64" s="13">
        <v>14672.156620891132</v>
      </c>
    </row>
    <row r="65" spans="5:10" x14ac:dyDescent="0.25">
      <c r="E65" s="48">
        <v>5</v>
      </c>
      <c r="F65" s="42">
        <v>42277</v>
      </c>
      <c r="G65" s="13">
        <v>737.93611724771949</v>
      </c>
      <c r="H65" s="13">
        <v>86.565724063257676</v>
      </c>
      <c r="I65" s="13">
        <v>651.37039318446182</v>
      </c>
      <c r="J65" s="13">
        <v>14020.786227706671</v>
      </c>
    </row>
    <row r="66" spans="5:10" x14ac:dyDescent="0.25">
      <c r="E66" s="48">
        <v>6</v>
      </c>
      <c r="F66" s="42">
        <v>42307</v>
      </c>
      <c r="G66" s="13">
        <v>742.28994033948106</v>
      </c>
      <c r="H66" s="13">
        <v>82.722638743469361</v>
      </c>
      <c r="I66" s="13">
        <v>659.5673015960117</v>
      </c>
      <c r="J66" s="13">
        <v>13361.21892611066</v>
      </c>
    </row>
    <row r="67" spans="5:10" x14ac:dyDescent="0.25">
      <c r="E67" s="48">
        <v>7</v>
      </c>
      <c r="F67" s="42">
        <v>42338</v>
      </c>
      <c r="G67" s="13">
        <v>746.66945098748397</v>
      </c>
      <c r="H67" s="13">
        <v>78.831191664052895</v>
      </c>
      <c r="I67" s="13">
        <v>667.83825932343109</v>
      </c>
      <c r="J67" s="13">
        <v>12693.380666787229</v>
      </c>
    </row>
    <row r="68" spans="5:10" x14ac:dyDescent="0.25">
      <c r="E68" s="48">
        <v>8</v>
      </c>
      <c r="F68" s="42">
        <v>42368</v>
      </c>
      <c r="G68" s="13">
        <v>751.07480074831017</v>
      </c>
      <c r="H68" s="13">
        <v>74.890945934044652</v>
      </c>
      <c r="I68" s="13">
        <v>676.18385481426549</v>
      </c>
      <c r="J68" s="13">
        <f>12017.196811973-I56</f>
        <v>8793.1534046329652</v>
      </c>
    </row>
    <row r="69" spans="5:10" x14ac:dyDescent="0.25">
      <c r="E69" s="48">
        <v>9</v>
      </c>
      <c r="F69" s="42">
        <v>42399</v>
      </c>
      <c r="G69" s="13">
        <v>755.5061420727252</v>
      </c>
      <c r="H69" s="13">
        <f>J68*$J$25</f>
        <v>51.879605087334497</v>
      </c>
      <c r="I69" s="13">
        <f>G69-H69</f>
        <v>703.62653698539066</v>
      </c>
      <c r="J69" s="13">
        <f>J68-I69</f>
        <v>8089.5268676475744</v>
      </c>
    </row>
    <row r="70" spans="5:10" x14ac:dyDescent="0.25">
      <c r="E70" s="48">
        <v>10</v>
      </c>
      <c r="F70" s="42">
        <v>42429</v>
      </c>
      <c r="G70" s="13">
        <v>759.96362831095428</v>
      </c>
      <c r="H70" s="13">
        <f t="shared" ref="H70:H81" si="8">J69*$J$25</f>
        <v>47.728208519120685</v>
      </c>
      <c r="I70" s="13">
        <f t="shared" ref="I70:I81" si="9">G70-H70</f>
        <v>712.23541979183358</v>
      </c>
      <c r="J70" s="13">
        <f t="shared" ref="J70:J81" si="10">J69-I70</f>
        <v>7377.2914478557404</v>
      </c>
    </row>
    <row r="71" spans="5:10" x14ac:dyDescent="0.25">
      <c r="E71" s="48">
        <v>11</v>
      </c>
      <c r="F71" s="42">
        <v>42459</v>
      </c>
      <c r="G71" s="13">
        <v>764.44741371798887</v>
      </c>
      <c r="H71" s="13">
        <f t="shared" si="8"/>
        <v>43.52601954234887</v>
      </c>
      <c r="I71" s="13">
        <f t="shared" si="9"/>
        <v>720.92139417563999</v>
      </c>
      <c r="J71" s="13">
        <f t="shared" si="10"/>
        <v>6656.3700536801007</v>
      </c>
    </row>
    <row r="72" spans="5:10" x14ac:dyDescent="0.25">
      <c r="E72" s="48">
        <v>12</v>
      </c>
      <c r="F72" s="42">
        <v>42490</v>
      </c>
      <c r="G72" s="13">
        <v>768.95765345892505</v>
      </c>
      <c r="H72" s="13">
        <f t="shared" si="8"/>
        <v>39.272583316712591</v>
      </c>
      <c r="I72" s="13">
        <f t="shared" si="9"/>
        <v>729.68507014221245</v>
      </c>
      <c r="J72" s="13">
        <f t="shared" si="10"/>
        <v>5926.684983537888</v>
      </c>
    </row>
    <row r="73" spans="5:10" x14ac:dyDescent="0.25">
      <c r="E73" s="48">
        <v>13</v>
      </c>
      <c r="F73" s="42">
        <v>42520</v>
      </c>
      <c r="G73" s="13">
        <v>773.49450361433276</v>
      </c>
      <c r="H73" s="13">
        <f t="shared" si="8"/>
        <v>34.96744140287354</v>
      </c>
      <c r="I73" s="13">
        <f t="shared" si="9"/>
        <v>738.52706221145922</v>
      </c>
      <c r="J73" s="13">
        <f t="shared" si="10"/>
        <v>5188.1579213264285</v>
      </c>
    </row>
    <row r="74" spans="5:10" x14ac:dyDescent="0.25">
      <c r="E74" s="48">
        <v>14</v>
      </c>
      <c r="F74" s="42">
        <v>42551</v>
      </c>
      <c r="G74" s="13">
        <v>778.05812118565734</v>
      </c>
      <c r="H74" s="13">
        <f t="shared" si="8"/>
        <v>30.610131735825927</v>
      </c>
      <c r="I74" s="13">
        <f t="shared" si="9"/>
        <v>747.44798944983143</v>
      </c>
      <c r="J74" s="13">
        <f t="shared" si="10"/>
        <v>4440.7099318765968</v>
      </c>
    </row>
    <row r="75" spans="5:10" x14ac:dyDescent="0.25">
      <c r="E75" s="48">
        <v>15</v>
      </c>
      <c r="F75" s="42">
        <v>42581</v>
      </c>
      <c r="G75" s="13">
        <v>782.6486641006527</v>
      </c>
      <c r="H75" s="13">
        <f t="shared" si="8"/>
        <v>26.200188598071922</v>
      </c>
      <c r="I75" s="13">
        <f t="shared" si="9"/>
        <v>756.44847550258078</v>
      </c>
      <c r="J75" s="13">
        <f t="shared" si="10"/>
        <v>3684.2614563740162</v>
      </c>
    </row>
    <row r="76" spans="5:10" x14ac:dyDescent="0.25">
      <c r="E76" s="48">
        <v>16</v>
      </c>
      <c r="F76" s="42">
        <v>42612</v>
      </c>
      <c r="G76" s="13">
        <v>787.2662912188465</v>
      </c>
      <c r="H76" s="13">
        <f t="shared" si="8"/>
        <v>21.737142592606695</v>
      </c>
      <c r="I76" s="13">
        <f t="shared" si="9"/>
        <v>765.52914862623982</v>
      </c>
      <c r="J76" s="13">
        <f t="shared" si="10"/>
        <v>2918.7323077477763</v>
      </c>
    </row>
    <row r="77" spans="5:10" x14ac:dyDescent="0.25">
      <c r="E77" s="48">
        <v>17</v>
      </c>
      <c r="F77" s="42">
        <v>42643</v>
      </c>
      <c r="G77" s="13">
        <v>791.91116233703769</v>
      </c>
      <c r="H77" s="13">
        <f t="shared" si="8"/>
        <v>17.22052061571188</v>
      </c>
      <c r="I77" s="13">
        <f t="shared" si="9"/>
        <v>774.69064172132585</v>
      </c>
      <c r="J77" s="13">
        <f t="shared" si="10"/>
        <v>2144.0416660264505</v>
      </c>
    </row>
    <row r="78" spans="5:10" x14ac:dyDescent="0.25">
      <c r="E78" s="48">
        <v>18</v>
      </c>
      <c r="F78" s="42">
        <v>42673</v>
      </c>
      <c r="G78" s="13">
        <v>796.58343819482627</v>
      </c>
      <c r="H78" s="13">
        <f t="shared" si="8"/>
        <v>12.649845829556057</v>
      </c>
      <c r="I78" s="13">
        <f t="shared" si="9"/>
        <v>783.93359236527021</v>
      </c>
      <c r="J78" s="13">
        <f t="shared" si="10"/>
        <v>1360.1080736611802</v>
      </c>
    </row>
    <row r="79" spans="5:10" x14ac:dyDescent="0.25">
      <c r="E79" s="48">
        <v>19</v>
      </c>
      <c r="F79" s="42">
        <v>42704</v>
      </c>
      <c r="G79" s="13">
        <v>801.28328048017579</v>
      </c>
      <c r="H79" s="13">
        <f t="shared" si="8"/>
        <v>8.024637634600964</v>
      </c>
      <c r="I79" s="13">
        <f t="shared" si="9"/>
        <v>793.25864284557485</v>
      </c>
      <c r="J79" s="13">
        <f t="shared" si="10"/>
        <v>566.84943081560539</v>
      </c>
    </row>
    <row r="80" spans="5:10" x14ac:dyDescent="0.25">
      <c r="E80" s="48">
        <v>20</v>
      </c>
      <c r="F80" s="42">
        <v>42734</v>
      </c>
      <c r="G80" s="13">
        <f>H80+I80</f>
        <v>570.19384245741742</v>
      </c>
      <c r="H80" s="13">
        <f>J79*$J$25</f>
        <v>3.3444116418120715</v>
      </c>
      <c r="I80" s="13">
        <f>J79</f>
        <v>566.84943081560539</v>
      </c>
      <c r="J80" s="13">
        <f t="shared" si="10"/>
        <v>0</v>
      </c>
    </row>
    <row r="81" spans="5:11" x14ac:dyDescent="0.25">
      <c r="E81" s="48">
        <v>21</v>
      </c>
      <c r="F81" s="42">
        <v>42765</v>
      </c>
      <c r="G81" s="41"/>
      <c r="H81" s="13"/>
      <c r="I81" s="13"/>
      <c r="J81" s="13"/>
    </row>
    <row r="82" spans="5:11" x14ac:dyDescent="0.25">
      <c r="E82" s="48">
        <v>22</v>
      </c>
      <c r="F82" s="42">
        <v>42794</v>
      </c>
      <c r="G82" s="41"/>
      <c r="H82" s="13"/>
      <c r="I82" s="41"/>
      <c r="J82" s="13"/>
      <c r="K82" s="16"/>
    </row>
    <row r="83" spans="5:11" x14ac:dyDescent="0.25">
      <c r="E83" s="48">
        <v>23</v>
      </c>
      <c r="F83" s="42">
        <v>42824</v>
      </c>
      <c r="G83" s="41"/>
      <c r="H83" s="13"/>
      <c r="I83" s="41"/>
      <c r="J83" s="13"/>
      <c r="K83" s="16"/>
    </row>
    <row r="84" spans="5:11" x14ac:dyDescent="0.25">
      <c r="E84" s="48">
        <v>24</v>
      </c>
      <c r="F84" s="42">
        <v>42855</v>
      </c>
      <c r="G84" s="41"/>
      <c r="H84" s="13"/>
      <c r="I84" s="41"/>
      <c r="J84" s="13"/>
      <c r="K84" s="16"/>
    </row>
    <row r="85" spans="5:11" x14ac:dyDescent="0.25">
      <c r="F85" s="17"/>
      <c r="G85" s="18"/>
      <c r="H85" s="18"/>
      <c r="I85" s="18"/>
      <c r="J85" s="18"/>
      <c r="K85" s="16"/>
    </row>
    <row r="86" spans="5:11" x14ac:dyDescent="0.25">
      <c r="F86" s="17"/>
      <c r="G86" s="18"/>
      <c r="H86" s="18"/>
      <c r="I86" s="18"/>
      <c r="J86" s="18"/>
      <c r="K86" s="16"/>
    </row>
  </sheetData>
  <mergeCells count="1">
    <mergeCell ref="C27:C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abSelected="1" zoomScaleNormal="100" workbookViewId="0">
      <selection activeCell="F18" sqref="F18"/>
    </sheetView>
  </sheetViews>
  <sheetFormatPr defaultRowHeight="15" x14ac:dyDescent="0.25"/>
  <cols>
    <col min="1" max="1" width="24.42578125" customWidth="1"/>
    <col min="2" max="2" width="14.42578125" customWidth="1"/>
    <col min="4" max="4" width="14.5703125" bestFit="1" customWidth="1"/>
    <col min="5" max="5" width="20.42578125" customWidth="1"/>
    <col min="6" max="6" width="16.85546875" bestFit="1" customWidth="1"/>
    <col min="7" max="7" width="11.140625" bestFit="1" customWidth="1"/>
    <col min="8" max="8" width="26.5703125" customWidth="1"/>
    <col min="9" max="9" width="12.5703125" bestFit="1" customWidth="1"/>
    <col min="10" max="10" width="10.42578125" customWidth="1"/>
    <col min="11" max="11" width="10.5703125" bestFit="1" customWidth="1"/>
  </cols>
  <sheetData>
    <row r="1" spans="1:11" ht="15" customHeight="1" x14ac:dyDescent="0.25">
      <c r="A1" s="79" t="s">
        <v>17</v>
      </c>
      <c r="B1" s="80"/>
      <c r="C1" s="19"/>
    </row>
    <row r="2" spans="1:11" ht="15.75" customHeight="1" thickBot="1" x14ac:dyDescent="0.3">
      <c r="A2" s="81"/>
      <c r="B2" s="82"/>
      <c r="C2" s="19"/>
    </row>
    <row r="3" spans="1:11" x14ac:dyDescent="0.25">
      <c r="A3" s="22"/>
      <c r="B3" s="28"/>
    </row>
    <row r="4" spans="1:11" x14ac:dyDescent="0.25">
      <c r="A4" s="23" t="s">
        <v>15</v>
      </c>
      <c r="B4" s="27"/>
    </row>
    <row r="5" spans="1:11" ht="15.75" thickBot="1" x14ac:dyDescent="0.3">
      <c r="A5" s="24"/>
      <c r="B5" s="27"/>
      <c r="E5" s="4" t="s">
        <v>9</v>
      </c>
      <c r="H5" s="4" t="s">
        <v>10</v>
      </c>
    </row>
    <row r="6" spans="1:11" ht="15.75" thickBot="1" x14ac:dyDescent="0.3">
      <c r="A6" s="44" t="s">
        <v>18</v>
      </c>
      <c r="B6" s="45">
        <f>F17</f>
        <v>60183.669753143695</v>
      </c>
      <c r="F6" s="10"/>
    </row>
    <row r="7" spans="1:11" x14ac:dyDescent="0.25">
      <c r="A7" s="44"/>
      <c r="B7" s="27"/>
      <c r="E7" s="2" t="s">
        <v>6</v>
      </c>
      <c r="F7" s="30">
        <v>62000</v>
      </c>
      <c r="H7" s="2" t="s">
        <v>45</v>
      </c>
      <c r="I7" s="31">
        <v>0.57999999999999996</v>
      </c>
    </row>
    <row r="8" spans="1:11" ht="15.75" thickBot="1" x14ac:dyDescent="0.3">
      <c r="A8" s="44"/>
      <c r="B8" s="27"/>
      <c r="E8" s="2" t="s">
        <v>27</v>
      </c>
      <c r="F8" s="30">
        <f>40%*F7</f>
        <v>24800</v>
      </c>
      <c r="H8" s="2" t="s">
        <v>46</v>
      </c>
      <c r="I8" s="59">
        <f>2%*F7</f>
        <v>1240</v>
      </c>
    </row>
    <row r="9" spans="1:11" ht="15.75" thickBot="1" x14ac:dyDescent="0.3">
      <c r="A9" s="44" t="s">
        <v>44</v>
      </c>
      <c r="B9" s="46">
        <f>F18</f>
        <v>2.9295649142843661E-2</v>
      </c>
      <c r="E9" s="2" t="s">
        <v>41</v>
      </c>
      <c r="F9" s="58">
        <v>1.1900000000000001E-2</v>
      </c>
      <c r="H9" s="2"/>
      <c r="I9" s="31"/>
    </row>
    <row r="10" spans="1:11" x14ac:dyDescent="0.25">
      <c r="A10" s="24"/>
      <c r="B10" s="27"/>
      <c r="E10" s="47" t="s">
        <v>11</v>
      </c>
      <c r="F10" s="10">
        <f>60%*F7</f>
        <v>37200</v>
      </c>
      <c r="G10" s="10"/>
      <c r="H10" s="2"/>
      <c r="I10" s="10"/>
    </row>
    <row r="11" spans="1:11" x14ac:dyDescent="0.25">
      <c r="A11" s="23" t="s">
        <v>19</v>
      </c>
      <c r="B11" s="27"/>
      <c r="H11" s="2"/>
    </row>
    <row r="12" spans="1:11" ht="15.75" thickBot="1" x14ac:dyDescent="0.3">
      <c r="A12" s="24"/>
      <c r="B12" s="27"/>
      <c r="E12" s="2" t="s">
        <v>7</v>
      </c>
      <c r="F12" s="56">
        <f>F8/12</f>
        <v>2066.6666666666665</v>
      </c>
      <c r="H12" s="2" t="s">
        <v>36</v>
      </c>
      <c r="I12" s="12">
        <f>F12</f>
        <v>2066.6666666666665</v>
      </c>
      <c r="J12" s="10"/>
      <c r="K12" s="10"/>
    </row>
    <row r="13" spans="1:11" ht="15.75" thickBot="1" x14ac:dyDescent="0.3">
      <c r="A13" s="24" t="s">
        <v>20</v>
      </c>
      <c r="B13" s="45">
        <f>I17</f>
        <v>576.33024685630221</v>
      </c>
      <c r="E13" s="2" t="s">
        <v>42</v>
      </c>
      <c r="F13" s="57">
        <v>1.1900000000000001E-2</v>
      </c>
      <c r="H13" s="2" t="s">
        <v>42</v>
      </c>
      <c r="I13" s="57">
        <v>1.1900000000000001E-2</v>
      </c>
    </row>
    <row r="14" spans="1:11" ht="15.75" thickBot="1" x14ac:dyDescent="0.3">
      <c r="A14" s="25"/>
      <c r="B14" s="26"/>
      <c r="E14" s="2" t="s">
        <v>43</v>
      </c>
      <c r="F14" s="49">
        <f>PMT(F13,12,-F8)</f>
        <v>2229.9891133061078</v>
      </c>
      <c r="G14" s="51"/>
      <c r="H14" s="2" t="s">
        <v>47</v>
      </c>
      <c r="I14" s="12">
        <f>F14</f>
        <v>2229.9891133061078</v>
      </c>
    </row>
    <row r="15" spans="1:11" x14ac:dyDescent="0.25">
      <c r="E15" s="2" t="s">
        <v>32</v>
      </c>
      <c r="F15" s="8">
        <f>F14-F12</f>
        <v>163.3224466394413</v>
      </c>
      <c r="H15" s="2" t="s">
        <v>48</v>
      </c>
      <c r="I15" s="52">
        <f>PMT(I13,6,-I8)</f>
        <v>215.35918147787504</v>
      </c>
    </row>
    <row r="16" spans="1:11" x14ac:dyDescent="0.25">
      <c r="E16" s="2" t="s">
        <v>33</v>
      </c>
      <c r="F16" s="49">
        <f>PV(F13,12,-F15)</f>
        <v>1816.330246856307</v>
      </c>
      <c r="H16" s="2" t="s">
        <v>37</v>
      </c>
      <c r="I16" s="12">
        <f>I14-I12</f>
        <v>163.3224466394413</v>
      </c>
    </row>
    <row r="17" spans="5:9" x14ac:dyDescent="0.25">
      <c r="E17" s="2" t="s">
        <v>34</v>
      </c>
      <c r="F17" s="8">
        <f>F7-F16</f>
        <v>60183.669753143695</v>
      </c>
      <c r="H17" s="2" t="s">
        <v>8</v>
      </c>
      <c r="I17" s="52">
        <f>F16-PV(I13,6,-I15)</f>
        <v>576.33024685630221</v>
      </c>
    </row>
    <row r="18" spans="5:9" x14ac:dyDescent="0.25">
      <c r="E18" s="43" t="s">
        <v>35</v>
      </c>
      <c r="F18" s="50">
        <f>F16/F7</f>
        <v>2.9295649142843661E-2</v>
      </c>
      <c r="H18" s="60"/>
      <c r="I18" s="61"/>
    </row>
    <row r="19" spans="5:9" x14ac:dyDescent="0.25">
      <c r="E19" s="2"/>
      <c r="F19" s="11"/>
      <c r="H19" s="60"/>
      <c r="I19" s="62"/>
    </row>
    <row r="20" spans="5:9" x14ac:dyDescent="0.25">
      <c r="H20" s="85"/>
      <c r="I20" s="61"/>
    </row>
    <row r="21" spans="5:9" x14ac:dyDescent="0.25">
      <c r="F21" s="86"/>
      <c r="H21" s="60"/>
      <c r="I21" s="63"/>
    </row>
    <row r="23" spans="5:9" x14ac:dyDescent="0.25">
      <c r="G23" s="86"/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opLeftCell="A13" workbookViewId="0">
      <selection activeCell="H9" sqref="H9"/>
    </sheetView>
  </sheetViews>
  <sheetFormatPr defaultRowHeight="15" x14ac:dyDescent="0.25"/>
  <cols>
    <col min="1" max="1" width="27.140625" customWidth="1"/>
    <col min="2" max="2" width="12" customWidth="1"/>
    <col min="4" max="4" width="13" customWidth="1"/>
    <col min="5" max="5" width="14.5703125" customWidth="1"/>
    <col min="6" max="6" width="12.42578125" customWidth="1"/>
    <col min="7" max="7" width="15.42578125" customWidth="1"/>
    <col min="8" max="8" width="12.42578125" customWidth="1"/>
    <col min="9" max="9" width="11.85546875" customWidth="1"/>
  </cols>
  <sheetData>
    <row r="1" spans="1:11" ht="15.75" thickBot="1" x14ac:dyDescent="0.3">
      <c r="A1" s="79" t="s">
        <v>17</v>
      </c>
      <c r="B1" s="80"/>
      <c r="D1" s="21" t="s">
        <v>31</v>
      </c>
    </row>
    <row r="2" spans="1:11" ht="15.75" thickBot="1" x14ac:dyDescent="0.3">
      <c r="A2" s="81"/>
      <c r="B2" s="82"/>
    </row>
    <row r="3" spans="1:11" x14ac:dyDescent="0.25">
      <c r="A3" s="22"/>
      <c r="B3" s="28"/>
      <c r="D3" s="4" t="s">
        <v>12</v>
      </c>
      <c r="E3" s="4" t="s">
        <v>1</v>
      </c>
      <c r="F3" s="4" t="s">
        <v>2</v>
      </c>
      <c r="G3" s="4" t="s">
        <v>3</v>
      </c>
      <c r="H3" s="4" t="s">
        <v>13</v>
      </c>
    </row>
    <row r="4" spans="1:11" x14ac:dyDescent="0.25">
      <c r="A4" s="23" t="s">
        <v>15</v>
      </c>
      <c r="B4" s="27"/>
      <c r="D4" s="14">
        <v>0</v>
      </c>
      <c r="E4" s="15"/>
      <c r="F4" s="15"/>
      <c r="G4" s="64"/>
      <c r="H4" s="15">
        <v>1000</v>
      </c>
    </row>
    <row r="5" spans="1:11" ht="15.75" thickBot="1" x14ac:dyDescent="0.3">
      <c r="A5" s="24"/>
      <c r="B5" s="27"/>
      <c r="D5" s="14">
        <v>1</v>
      </c>
      <c r="E5" s="15">
        <v>50</v>
      </c>
      <c r="F5" s="15">
        <f>E5-G5</f>
        <v>50</v>
      </c>
      <c r="G5" s="64">
        <v>0</v>
      </c>
      <c r="H5" s="15">
        <f>H4-G5</f>
        <v>1000</v>
      </c>
    </row>
    <row r="6" spans="1:11" ht="15.75" thickBot="1" x14ac:dyDescent="0.3">
      <c r="A6" s="24" t="s">
        <v>51</v>
      </c>
      <c r="B6" s="66">
        <f>F14</f>
        <v>200.00000000000003</v>
      </c>
      <c r="D6" s="14">
        <v>2</v>
      </c>
      <c r="E6" s="15">
        <f>F6+G6</f>
        <v>450</v>
      </c>
      <c r="F6" s="15">
        <f>5%*H5</f>
        <v>50</v>
      </c>
      <c r="G6" s="64">
        <f>H5-H6</f>
        <v>400</v>
      </c>
      <c r="H6" s="15">
        <v>600</v>
      </c>
    </row>
    <row r="7" spans="1:11" ht="15.75" thickBot="1" x14ac:dyDescent="0.3">
      <c r="A7" s="24"/>
      <c r="B7" s="27"/>
      <c r="D7" s="14">
        <v>3</v>
      </c>
      <c r="E7" s="15">
        <f>F7+G7</f>
        <v>230</v>
      </c>
      <c r="F7" s="15">
        <f>5%*H6</f>
        <v>30</v>
      </c>
      <c r="G7" s="64">
        <v>200</v>
      </c>
      <c r="H7" s="15">
        <f>H6-F14</f>
        <v>400</v>
      </c>
    </row>
    <row r="8" spans="1:11" ht="15.75" thickBot="1" x14ac:dyDescent="0.3">
      <c r="A8" s="44" t="s">
        <v>53</v>
      </c>
      <c r="B8" s="29">
        <f>F17</f>
        <v>10</v>
      </c>
      <c r="D8" s="14">
        <v>4</v>
      </c>
      <c r="E8" s="15">
        <f>F8+G8</f>
        <v>220</v>
      </c>
      <c r="F8" s="15">
        <f>5%*H7</f>
        <v>20</v>
      </c>
      <c r="G8" s="64">
        <v>200</v>
      </c>
      <c r="H8" s="15">
        <v>200</v>
      </c>
      <c r="K8" s="84"/>
    </row>
    <row r="9" spans="1:11" x14ac:dyDescent="0.25">
      <c r="A9" s="24"/>
      <c r="B9" s="27"/>
      <c r="D9" s="14">
        <v>5</v>
      </c>
      <c r="E9" s="15">
        <f>F9+G9</f>
        <v>10</v>
      </c>
      <c r="F9" s="15">
        <f>F17</f>
        <v>10</v>
      </c>
      <c r="G9" s="65">
        <f>H9-H8</f>
        <v>0</v>
      </c>
      <c r="H9" s="15">
        <f>F10/5%</f>
        <v>200</v>
      </c>
    </row>
    <row r="10" spans="1:11" ht="15.75" thickBot="1" x14ac:dyDescent="0.3">
      <c r="A10" s="23" t="s">
        <v>19</v>
      </c>
      <c r="B10" s="27"/>
      <c r="D10" s="14">
        <v>6</v>
      </c>
      <c r="E10" s="15">
        <f>F10+G10</f>
        <v>210</v>
      </c>
      <c r="F10" s="15">
        <f>F17</f>
        <v>10</v>
      </c>
      <c r="G10" s="65">
        <f>H9-H10</f>
        <v>200</v>
      </c>
      <c r="H10" s="65">
        <v>0</v>
      </c>
    </row>
    <row r="11" spans="1:11" ht="15.75" thickBot="1" x14ac:dyDescent="0.3">
      <c r="A11" s="24" t="s">
        <v>30</v>
      </c>
      <c r="B11" s="29">
        <f>H30</f>
        <v>91.033445473222542</v>
      </c>
    </row>
    <row r="12" spans="1:11" x14ac:dyDescent="0.25">
      <c r="A12" s="24"/>
      <c r="B12" s="27"/>
    </row>
    <row r="13" spans="1:11" x14ac:dyDescent="0.25">
      <c r="A13" s="23" t="s">
        <v>29</v>
      </c>
      <c r="B13" s="27"/>
      <c r="E13" s="73" t="s">
        <v>49</v>
      </c>
      <c r="F13" s="55">
        <f>E5</f>
        <v>50</v>
      </c>
    </row>
    <row r="14" spans="1:11" ht="15.75" thickBot="1" x14ac:dyDescent="0.3">
      <c r="A14" s="24"/>
      <c r="B14" s="27"/>
      <c r="E14" s="73" t="s">
        <v>51</v>
      </c>
      <c r="F14" s="72">
        <v>200.00000000000003</v>
      </c>
    </row>
    <row r="15" spans="1:11" ht="15.75" thickBot="1" x14ac:dyDescent="0.3">
      <c r="A15" s="25" t="s">
        <v>56</v>
      </c>
      <c r="B15" s="29">
        <f>E36</f>
        <v>301.03344547322251</v>
      </c>
      <c r="E15" s="73" t="s">
        <v>50</v>
      </c>
      <c r="F15" s="55">
        <f>H6-F14</f>
        <v>400</v>
      </c>
    </row>
    <row r="16" spans="1:11" x14ac:dyDescent="0.25">
      <c r="E16" s="73" t="s">
        <v>52</v>
      </c>
      <c r="F16" s="55">
        <f>F15-F14</f>
        <v>199.99999999999997</v>
      </c>
    </row>
    <row r="17" spans="4:9" x14ac:dyDescent="0.25">
      <c r="E17" s="73" t="s">
        <v>53</v>
      </c>
      <c r="F17" s="55">
        <f>5%*H8</f>
        <v>10</v>
      </c>
    </row>
    <row r="19" spans="4:9" ht="15.75" thickBot="1" x14ac:dyDescent="0.3"/>
    <row r="20" spans="4:9" ht="15.75" thickBot="1" x14ac:dyDescent="0.3">
      <c r="D20" s="21" t="s">
        <v>16</v>
      </c>
    </row>
    <row r="22" spans="4:9" x14ac:dyDescent="0.25">
      <c r="F22" s="68" t="s">
        <v>55</v>
      </c>
      <c r="G22" s="67"/>
      <c r="H22" s="69" t="s">
        <v>54</v>
      </c>
      <c r="I22" s="31">
        <v>0.02</v>
      </c>
    </row>
    <row r="23" spans="4:9" x14ac:dyDescent="0.25">
      <c r="D23" s="4" t="s">
        <v>12</v>
      </c>
      <c r="E23" s="4" t="s">
        <v>1</v>
      </c>
      <c r="F23" s="4" t="s">
        <v>2</v>
      </c>
      <c r="G23" s="4" t="s">
        <v>3</v>
      </c>
      <c r="H23" s="4" t="s">
        <v>13</v>
      </c>
      <c r="I23" s="4" t="s">
        <v>14</v>
      </c>
    </row>
    <row r="24" spans="4:9" x14ac:dyDescent="0.25">
      <c r="D24" s="14">
        <v>0</v>
      </c>
      <c r="E24" s="13"/>
      <c r="F24" s="13"/>
      <c r="G24" s="13"/>
      <c r="H24" s="13">
        <f>H4</f>
        <v>1000</v>
      </c>
      <c r="I24" s="13">
        <f>H24*(1+$I$22)</f>
        <v>1020</v>
      </c>
    </row>
    <row r="25" spans="4:9" x14ac:dyDescent="0.25">
      <c r="D25" s="14">
        <v>1</v>
      </c>
      <c r="E25" s="15">
        <v>50</v>
      </c>
      <c r="F25" s="13">
        <f>5%*I24</f>
        <v>51</v>
      </c>
      <c r="G25" s="13">
        <f>E25-F25</f>
        <v>-1</v>
      </c>
      <c r="H25" s="13">
        <f>I24-G25</f>
        <v>1021</v>
      </c>
      <c r="I25" s="13">
        <f>H25*(1+$I$22)</f>
        <v>1041.42</v>
      </c>
    </row>
    <row r="26" spans="4:9" x14ac:dyDescent="0.25">
      <c r="D26" s="14">
        <v>2</v>
      </c>
      <c r="E26" s="15">
        <v>450</v>
      </c>
      <c r="F26" s="13">
        <f>5%*I25</f>
        <v>52.071000000000005</v>
      </c>
      <c r="G26" s="13">
        <f>E26-F26</f>
        <v>397.92899999999997</v>
      </c>
      <c r="H26" s="13">
        <f>I25-G26</f>
        <v>643.4910000000001</v>
      </c>
      <c r="I26" s="13">
        <f>H26*(1+$I$22)</f>
        <v>656.3608200000001</v>
      </c>
    </row>
    <row r="27" spans="4:9" x14ac:dyDescent="0.25">
      <c r="D27" s="14">
        <v>3</v>
      </c>
      <c r="E27" s="15">
        <v>230</v>
      </c>
      <c r="F27" s="13">
        <f t="shared" ref="F27:F30" si="0">5%*I26</f>
        <v>32.818041000000008</v>
      </c>
      <c r="G27" s="13">
        <f t="shared" ref="G27:G30" si="1">E27-F27</f>
        <v>197.18195900000001</v>
      </c>
      <c r="H27" s="13">
        <f t="shared" ref="H27:H30" si="2">I26-G27</f>
        <v>459.1788610000001</v>
      </c>
      <c r="I27" s="13">
        <f t="shared" ref="I27:I30" si="3">H27*(1+$I$22)</f>
        <v>468.36243822000012</v>
      </c>
    </row>
    <row r="28" spans="4:9" x14ac:dyDescent="0.25">
      <c r="D28" s="14">
        <v>4</v>
      </c>
      <c r="E28" s="15">
        <v>220</v>
      </c>
      <c r="F28" s="13">
        <f t="shared" si="0"/>
        <v>23.418121911000007</v>
      </c>
      <c r="G28" s="13">
        <f t="shared" si="1"/>
        <v>196.58187808899999</v>
      </c>
      <c r="H28" s="13">
        <f t="shared" si="2"/>
        <v>271.78056013100013</v>
      </c>
      <c r="I28" s="13">
        <f t="shared" si="3"/>
        <v>277.21617133362014</v>
      </c>
    </row>
    <row r="29" spans="4:9" x14ac:dyDescent="0.25">
      <c r="D29" s="14">
        <v>5</v>
      </c>
      <c r="E29" s="15">
        <v>10</v>
      </c>
      <c r="F29" s="13">
        <f t="shared" si="0"/>
        <v>13.860808566681008</v>
      </c>
      <c r="G29" s="13">
        <f t="shared" si="1"/>
        <v>-3.8608085666810084</v>
      </c>
      <c r="H29" s="13">
        <f t="shared" si="2"/>
        <v>281.07697990030113</v>
      </c>
      <c r="I29" s="13">
        <f t="shared" si="3"/>
        <v>286.69851949830718</v>
      </c>
    </row>
    <row r="30" spans="4:9" x14ac:dyDescent="0.25">
      <c r="D30" s="14">
        <v>6</v>
      </c>
      <c r="E30" s="15">
        <v>210</v>
      </c>
      <c r="F30" s="13">
        <f t="shared" si="0"/>
        <v>14.334925974915359</v>
      </c>
      <c r="G30" s="13">
        <f t="shared" si="1"/>
        <v>195.66507402508464</v>
      </c>
      <c r="H30" s="13">
        <f t="shared" si="2"/>
        <v>91.033445473222542</v>
      </c>
      <c r="I30" s="13"/>
    </row>
    <row r="32" spans="4:9" ht="15.75" thickBot="1" x14ac:dyDescent="0.3"/>
    <row r="33" spans="4:9" ht="15.75" thickBot="1" x14ac:dyDescent="0.3">
      <c r="D33" s="21" t="s">
        <v>38</v>
      </c>
    </row>
    <row r="35" spans="4:9" x14ac:dyDescent="0.25">
      <c r="D35" s="14">
        <v>5</v>
      </c>
      <c r="E35" s="15">
        <v>10</v>
      </c>
      <c r="F35" s="13">
        <v>13.860808566681008</v>
      </c>
      <c r="G35" s="13">
        <v>-3.8608085666810084</v>
      </c>
      <c r="H35" s="13">
        <v>281.07697990030113</v>
      </c>
      <c r="I35" s="13">
        <v>286.69851949830718</v>
      </c>
    </row>
    <row r="36" spans="4:9" x14ac:dyDescent="0.25">
      <c r="D36" s="14">
        <v>6</v>
      </c>
      <c r="E36" s="15">
        <f>F36+G36</f>
        <v>301.03344547322251</v>
      </c>
      <c r="F36" s="13">
        <f>5%*I35</f>
        <v>14.334925974915359</v>
      </c>
      <c r="G36" s="13">
        <f>I35</f>
        <v>286.69851949830718</v>
      </c>
      <c r="H36" s="13">
        <f>I35-G36</f>
        <v>0</v>
      </c>
      <c r="I36" s="13"/>
    </row>
  </sheetData>
  <mergeCells count="1">
    <mergeCell ref="A1:B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8"/>
  <sheetViews>
    <sheetView workbookViewId="0">
      <selection activeCell="D16" sqref="D16"/>
    </sheetView>
  </sheetViews>
  <sheetFormatPr defaultRowHeight="15" x14ac:dyDescent="0.25"/>
  <cols>
    <col min="1" max="1" width="9.140625" style="32"/>
    <col min="2" max="2" width="11.42578125" style="32" customWidth="1"/>
    <col min="3" max="3" width="9.140625" style="32"/>
    <col min="4" max="4" width="12.5703125" style="32" customWidth="1"/>
    <col min="5" max="5" width="9.140625" style="32"/>
    <col min="6" max="6" width="11.85546875" style="32" customWidth="1"/>
    <col min="7" max="16384" width="9.140625" style="32"/>
  </cols>
  <sheetData>
    <row r="1" spans="2:8" ht="15.75" thickBot="1" x14ac:dyDescent="0.3"/>
    <row r="2" spans="2:8" ht="19.5" thickBot="1" x14ac:dyDescent="0.35">
      <c r="B2" s="33" t="s">
        <v>21</v>
      </c>
      <c r="C2" s="34"/>
      <c r="D2" s="33" t="s">
        <v>22</v>
      </c>
      <c r="E2" s="34"/>
      <c r="F2" s="33" t="s">
        <v>23</v>
      </c>
    </row>
    <row r="3" spans="2:8" x14ac:dyDescent="0.25">
      <c r="B3" s="35"/>
      <c r="C3" s="35"/>
      <c r="D3" s="35"/>
      <c r="E3" s="35"/>
      <c r="F3" s="35"/>
    </row>
    <row r="4" spans="2:8" ht="15.75" x14ac:dyDescent="0.25">
      <c r="B4" s="74">
        <f>IF(AND(ABS('Questão 1'!G12-1538.75)&lt;0.02,ABS('Questão 1'!G27-17112.66)&lt;0.02,ABS('Questão 1'!H27-67.61&lt;0.02),ABS('Questão 1'!J27-17197.13)&lt;0.02),1,0)</f>
        <v>1</v>
      </c>
      <c r="C4" s="74"/>
      <c r="D4" s="74">
        <f>IF(ABS('Questão 2'!B6-60183.67)&lt;0.01,1,0)</f>
        <v>1</v>
      </c>
      <c r="E4" s="74"/>
      <c r="F4" s="74">
        <f>IF(AND(ABS('Questão 3'!B6-200)&lt;0.02,ABS('Questão 3'!B8-10)&lt;0.01),1,0)</f>
        <v>1</v>
      </c>
      <c r="H4" s="36"/>
    </row>
    <row r="5" spans="2:8" ht="15.75" x14ac:dyDescent="0.25">
      <c r="B5" s="74"/>
      <c r="C5" s="74"/>
      <c r="D5" s="74"/>
      <c r="E5" s="74"/>
      <c r="F5" s="74"/>
    </row>
    <row r="6" spans="2:8" ht="15.75" x14ac:dyDescent="0.25">
      <c r="B6" s="74">
        <f>IF(AND(ABS('Questão 1'!J39-12017.2)&lt;0.02,ABS('Questão 1'!G39-751.07)&lt;0.01),1.5,0)</f>
        <v>1.5</v>
      </c>
      <c r="C6" s="74"/>
      <c r="D6" s="74">
        <f>IF(ABS('Questão 2'!B9-2.93%)&lt;0.01%,1,0)</f>
        <v>1</v>
      </c>
      <c r="E6" s="74"/>
      <c r="F6" s="74">
        <f>IF((ABS('Questão 3'!B11-91.03))&lt;0.01,1,0)</f>
        <v>1</v>
      </c>
    </row>
    <row r="7" spans="2:8" ht="15.75" x14ac:dyDescent="0.25">
      <c r="B7" s="74"/>
      <c r="C7" s="74"/>
      <c r="D7" s="74"/>
      <c r="E7" s="74"/>
      <c r="F7" s="74"/>
    </row>
    <row r="8" spans="2:8" ht="15.75" x14ac:dyDescent="0.25">
      <c r="B8" s="74">
        <f>IF(AND(ABS('Questão 1'!J68-8793.15)&lt;0.01,ABS('Questão 1'!G80-570.19)&lt;0.01,ABS('Questão 1'!H80-3.34)&lt;0.01,ABS('Questão 1'!I80-566.85)&lt;0.01),2,0)</f>
        <v>2</v>
      </c>
      <c r="C8" s="74"/>
      <c r="D8" s="74">
        <f>IF(ABS('Questão 2'!I17-1072.33)&lt;0.01,1,0)</f>
        <v>0</v>
      </c>
      <c r="E8" s="74"/>
      <c r="F8" s="74">
        <f>IF((ABS('Questão 3'!B15-301.03)&lt;0.01),0.5,0)</f>
        <v>0.5</v>
      </c>
    </row>
    <row r="9" spans="2:8" ht="15.75" x14ac:dyDescent="0.25">
      <c r="B9" s="74"/>
      <c r="C9" s="74"/>
      <c r="D9" s="74"/>
      <c r="E9" s="74"/>
      <c r="F9" s="74"/>
    </row>
    <row r="10" spans="2:8" ht="15.75" x14ac:dyDescent="0.25">
      <c r="B10" s="74"/>
      <c r="C10" s="74"/>
      <c r="D10" s="74"/>
      <c r="E10" s="74"/>
      <c r="F10" s="74"/>
    </row>
    <row r="11" spans="2:8" ht="15.75" x14ac:dyDescent="0.25">
      <c r="B11" s="74"/>
      <c r="C11" s="74"/>
      <c r="D11" s="74"/>
      <c r="E11" s="74"/>
      <c r="F11" s="74"/>
    </row>
    <row r="12" spans="2:8" ht="15.75" x14ac:dyDescent="0.25">
      <c r="B12" s="74"/>
      <c r="C12" s="74"/>
      <c r="D12" s="74"/>
      <c r="E12" s="74"/>
      <c r="F12" s="74"/>
    </row>
    <row r="13" spans="2:8" ht="15.75" x14ac:dyDescent="0.25">
      <c r="B13" s="74"/>
      <c r="C13" s="74"/>
      <c r="D13" s="74"/>
      <c r="E13" s="74"/>
      <c r="F13" s="74"/>
    </row>
    <row r="14" spans="2:8" ht="15.75" x14ac:dyDescent="0.25">
      <c r="B14" s="74">
        <f>SUM(B4:B10)</f>
        <v>4.5</v>
      </c>
      <c r="C14" s="74"/>
      <c r="D14" s="74">
        <f t="shared" ref="D14" si="0">SUM(D4:D10)</f>
        <v>2</v>
      </c>
      <c r="E14" s="74"/>
      <c r="F14" s="74">
        <f>SUM(F4:F10)</f>
        <v>2.5</v>
      </c>
    </row>
    <row r="15" spans="2:8" ht="16.5" thickBot="1" x14ac:dyDescent="0.3">
      <c r="B15" s="37"/>
      <c r="C15" s="37"/>
      <c r="D15" s="37"/>
      <c r="E15" s="37"/>
      <c r="F15" s="37"/>
    </row>
    <row r="16" spans="2:8" ht="16.5" thickBot="1" x14ac:dyDescent="0.3">
      <c r="B16" s="37"/>
      <c r="C16" s="37"/>
      <c r="D16" s="38" t="s">
        <v>24</v>
      </c>
      <c r="E16" s="37"/>
      <c r="F16" s="37"/>
    </row>
    <row r="17" spans="2:6" ht="16.5" thickBot="1" x14ac:dyDescent="0.3">
      <c r="B17" s="37"/>
      <c r="C17" s="37"/>
      <c r="D17" s="37"/>
      <c r="E17" s="37"/>
      <c r="F17" s="37"/>
    </row>
    <row r="18" spans="2:6" ht="29.25" thickBot="1" x14ac:dyDescent="0.5">
      <c r="B18" s="37"/>
      <c r="C18" s="37"/>
      <c r="D18" s="75">
        <f>B14+D14+F14</f>
        <v>9</v>
      </c>
      <c r="E18" s="37"/>
      <c r="F18" s="37"/>
    </row>
  </sheetData>
  <sheetProtection algorithmName="SHA-512" hashValue="zQ/Zb/Neanbn+O8QyWAp35CBIjwa6Q3XIMWJBWFxRcJNUV9g5OyWZ1tDwRbl8KabQoHGmHBCG7FpCApgdlaKYA==" saltValue="rsccSaM+hZsIVIBATKEIpA==" spinCount="100000" sheet="1" formatRows="0" insertColumns="0" insertRows="0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Questão 1</vt:lpstr>
      <vt:lpstr>Questão 2</vt:lpstr>
      <vt:lpstr>Questão 3</vt:lpstr>
      <vt:lpstr>Nota</vt:lpstr>
    </vt:vector>
  </TitlesOfParts>
  <Company>MBLAS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Blas</dc:creator>
  <cp:lastModifiedBy>marcelo sandolin</cp:lastModifiedBy>
  <dcterms:created xsi:type="dcterms:W3CDTF">2015-10-20T02:31:29Z</dcterms:created>
  <dcterms:modified xsi:type="dcterms:W3CDTF">2020-11-24T21:12:10Z</dcterms:modified>
</cp:coreProperties>
</file>