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E:\Unicamp\2020_2\Matematica financeira\atividades\P3\"/>
    </mc:Choice>
  </mc:AlternateContent>
  <xr:revisionPtr revIDLastSave="0" documentId="13_ncr:1_{E264E9E1-B79F-47F9-89AE-5D75B6E02B82}" xr6:coauthVersionLast="46" xr6:coauthVersionMax="46" xr10:uidLastSave="{00000000-0000-0000-0000-000000000000}"/>
  <bookViews>
    <workbookView xWindow="-120" yWindow="-120" windowWidth="19440" windowHeight="10440" activeTab="3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Planilha1" sheetId="6" state="hidden" r:id="rId5"/>
    <sheet name="Nota" sheetId="5" state="hidden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B5" i="3" s="1"/>
  <c r="I16" i="2"/>
  <c r="I14" i="2"/>
  <c r="B5" i="2" s="1"/>
  <c r="E7" i="5" s="1"/>
  <c r="F29" i="4"/>
  <c r="E29" i="4"/>
  <c r="N20" i="4"/>
  <c r="B13" i="4" s="1"/>
  <c r="J20" i="4"/>
  <c r="B11" i="4" s="1"/>
  <c r="F21" i="4"/>
  <c r="B15" i="4" s="1"/>
  <c r="F20" i="4"/>
  <c r="B9" i="4" s="1"/>
  <c r="N19" i="4"/>
  <c r="B7" i="4" s="1"/>
  <c r="J19" i="4"/>
  <c r="B5" i="4" s="1"/>
  <c r="F19" i="4"/>
  <c r="B3" i="4" s="1"/>
  <c r="E9" i="3"/>
  <c r="F30" i="4"/>
  <c r="F31" i="4"/>
  <c r="F32" i="4"/>
  <c r="F33" i="4"/>
  <c r="F34" i="4"/>
  <c r="F35" i="4"/>
  <c r="F36" i="4"/>
  <c r="F37" i="4"/>
  <c r="F38" i="4"/>
  <c r="B19" i="4"/>
  <c r="B17" i="4"/>
  <c r="E30" i="4"/>
  <c r="E31" i="4"/>
  <c r="E32" i="4"/>
  <c r="E33" i="4"/>
  <c r="E34" i="4"/>
  <c r="E35" i="4"/>
  <c r="E36" i="4"/>
  <c r="E37" i="4"/>
  <c r="E38" i="4"/>
  <c r="N21" i="4"/>
  <c r="N8" i="4"/>
  <c r="N9" i="4"/>
  <c r="N10" i="4"/>
  <c r="N11" i="4"/>
  <c r="N12" i="4"/>
  <c r="N13" i="4"/>
  <c r="N14" i="4"/>
  <c r="N15" i="4"/>
  <c r="N16" i="4"/>
  <c r="N17" i="4"/>
  <c r="N7" i="4"/>
  <c r="J21" i="4"/>
  <c r="B3" i="3"/>
  <c r="H7" i="3"/>
  <c r="E8" i="3"/>
  <c r="I12" i="2"/>
  <c r="G12" i="2"/>
  <c r="B13" i="2"/>
  <c r="B3" i="2"/>
  <c r="D15" i="2"/>
  <c r="D14" i="2"/>
  <c r="D13" i="2"/>
  <c r="B3" i="1"/>
  <c r="G26" i="1"/>
  <c r="F26" i="1"/>
  <c r="H7" i="1"/>
  <c r="I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G6" i="1"/>
  <c r="F6" i="1" s="1"/>
  <c r="F5" i="1"/>
  <c r="G5" i="1"/>
  <c r="I6" i="1"/>
  <c r="H6" i="1"/>
  <c r="I5" i="1"/>
  <c r="H5" i="1"/>
  <c r="G4" i="1"/>
  <c r="I4" i="1"/>
  <c r="C10" i="1"/>
  <c r="C9" i="1"/>
  <c r="D12" i="2"/>
  <c r="H14" i="3" l="1"/>
  <c r="B7" i="3" s="1"/>
  <c r="G9" i="5" s="1"/>
  <c r="I15" i="5"/>
  <c r="G7" i="1"/>
  <c r="F7" i="1" s="1"/>
  <c r="I8" i="1"/>
  <c r="I17" i="5"/>
  <c r="I13" i="5"/>
  <c r="I11" i="5"/>
  <c r="I9" i="5"/>
  <c r="I7" i="5"/>
  <c r="I5" i="5"/>
  <c r="G5" i="5"/>
  <c r="G7" i="5"/>
  <c r="G11" i="5"/>
  <c r="H10" i="3"/>
  <c r="E5" i="5"/>
  <c r="I11" i="2"/>
  <c r="G7" i="3"/>
  <c r="J9" i="4"/>
  <c r="F9" i="4"/>
  <c r="I9" i="1" l="1"/>
  <c r="G8" i="1"/>
  <c r="F8" i="1" s="1"/>
  <c r="F10" i="4"/>
  <c r="J10" i="4"/>
  <c r="J11" i="4" s="1"/>
  <c r="J12" i="4" s="1"/>
  <c r="J13" i="4" s="1"/>
  <c r="J14" i="4" s="1"/>
  <c r="J15" i="4" s="1"/>
  <c r="J16" i="4" s="1"/>
  <c r="J17" i="4" s="1"/>
  <c r="I10" i="1" l="1"/>
  <c r="G9" i="1"/>
  <c r="F9" i="1" s="1"/>
  <c r="F11" i="4"/>
  <c r="I11" i="1" l="1"/>
  <c r="G10" i="1"/>
  <c r="F10" i="1" s="1"/>
  <c r="F12" i="4"/>
  <c r="F13" i="4" s="1"/>
  <c r="F14" i="4" s="1"/>
  <c r="F15" i="4" s="1"/>
  <c r="F16" i="4" s="1"/>
  <c r="F17" i="4" s="1"/>
  <c r="I12" i="1" l="1"/>
  <c r="G11" i="1"/>
  <c r="F11" i="1" s="1"/>
  <c r="I19" i="5"/>
  <c r="I13" i="1" l="1"/>
  <c r="G12" i="1"/>
  <c r="F12" i="1" s="1"/>
  <c r="G23" i="5"/>
  <c r="G13" i="1" l="1"/>
  <c r="F13" i="1" s="1"/>
  <c r="I14" i="1"/>
  <c r="E23" i="5"/>
  <c r="I15" i="1" l="1"/>
  <c r="G14" i="1"/>
  <c r="F14" i="1" s="1"/>
  <c r="I23" i="5"/>
  <c r="I16" i="1" l="1"/>
  <c r="G15" i="1"/>
  <c r="F15" i="1" s="1"/>
  <c r="I17" i="1" l="1"/>
  <c r="G16" i="1"/>
  <c r="F16" i="1" s="1"/>
  <c r="G17" i="1" l="1"/>
  <c r="F17" i="1" s="1"/>
  <c r="I18" i="1"/>
  <c r="I19" i="1" l="1"/>
  <c r="G18" i="1"/>
  <c r="F18" i="1" s="1"/>
  <c r="C5" i="5"/>
  <c r="I20" i="1" l="1"/>
  <c r="G19" i="1"/>
  <c r="F19" i="1" s="1"/>
  <c r="I21" i="1" l="1"/>
  <c r="G20" i="1"/>
  <c r="F20" i="1" s="1"/>
  <c r="G21" i="1" l="1"/>
  <c r="I22" i="1"/>
  <c r="G22" i="1" s="1"/>
  <c r="F22" i="1" s="1"/>
  <c r="F21" i="1" l="1"/>
  <c r="C7" i="5"/>
  <c r="C23" i="5" s="1"/>
  <c r="F26" i="5" s="1"/>
</calcChain>
</file>

<file path=xl/sharedStrings.xml><?xml version="1.0" encoding="utf-8"?>
<sst xmlns="http://schemas.openxmlformats.org/spreadsheetml/2006/main" count="129" uniqueCount="87">
  <si>
    <t>Vencimento</t>
  </si>
  <si>
    <t>Parcela</t>
  </si>
  <si>
    <t>Juros</t>
  </si>
  <si>
    <t>Amortização</t>
  </si>
  <si>
    <t>Saldo Devedor</t>
  </si>
  <si>
    <t>QUESTÃO 1</t>
  </si>
  <si>
    <t>QUESTÃO 2</t>
  </si>
  <si>
    <t>a) Índice máximo de reajuste :</t>
  </si>
  <si>
    <t>LETRA A</t>
  </si>
  <si>
    <t>LETRA B</t>
  </si>
  <si>
    <t>Valor do Carro</t>
  </si>
  <si>
    <t>Parcela do Carro</t>
  </si>
  <si>
    <t>b) XTIR ( a.a.)</t>
  </si>
  <si>
    <t>c) XTIR ( a.m. )</t>
  </si>
  <si>
    <t>VALOR</t>
  </si>
  <si>
    <t>XTIR ANO</t>
  </si>
  <si>
    <t>XTIR MÊS</t>
  </si>
  <si>
    <t>Taxa de depreciação</t>
  </si>
  <si>
    <t>Valor depreciado</t>
  </si>
  <si>
    <t>Taxa de atratividade</t>
  </si>
  <si>
    <t>INVESTIMENTO A</t>
  </si>
  <si>
    <t>INVESTIMENTO B</t>
  </si>
  <si>
    <t>meses</t>
  </si>
  <si>
    <t>operação</t>
  </si>
  <si>
    <t>valor</t>
  </si>
  <si>
    <t>aplicação</t>
  </si>
  <si>
    <t>resgate</t>
  </si>
  <si>
    <t>TIR</t>
  </si>
  <si>
    <t>INVESTIMENTO A-B</t>
  </si>
  <si>
    <t>VPLA</t>
  </si>
  <si>
    <t>VPLB</t>
  </si>
  <si>
    <t>VPL(A-B)</t>
  </si>
  <si>
    <t>QUESTÃO 3</t>
  </si>
  <si>
    <t>a) Valor TIR Invest. A</t>
  </si>
  <si>
    <t>b) Valor TIR Invest. B</t>
  </si>
  <si>
    <t>Questão 1</t>
  </si>
  <si>
    <t>Questão 2</t>
  </si>
  <si>
    <t>Questão 3</t>
  </si>
  <si>
    <t>Questão 4</t>
  </si>
  <si>
    <t>TOTAL 1</t>
  </si>
  <si>
    <t>TOTAL 2</t>
  </si>
  <si>
    <t>TOTAL 3</t>
  </si>
  <si>
    <t>TOTAL 4</t>
  </si>
  <si>
    <t>c)  Valor TIR Invest A-B</t>
  </si>
  <si>
    <t>d)  Valor VPLA</t>
  </si>
  <si>
    <t>e) Valor VPLB</t>
  </si>
  <si>
    <t>f) Valor VPL(A-B)</t>
  </si>
  <si>
    <t>SOMA</t>
  </si>
  <si>
    <t>Data Compra</t>
  </si>
  <si>
    <t>DATA</t>
  </si>
  <si>
    <t>d) A venda foi vantajosa? Utilize apenas "SIM" ou "NÃO"</t>
  </si>
  <si>
    <t>INTERSECÇÃO DE FISCHER</t>
  </si>
  <si>
    <t>Qual é o melhor ? "A" ou "B"</t>
  </si>
  <si>
    <t>TMA</t>
  </si>
  <si>
    <t>Taxa</t>
  </si>
  <si>
    <t>Entrada</t>
  </si>
  <si>
    <t>Financ</t>
  </si>
  <si>
    <t>Depósito Mensal</t>
  </si>
  <si>
    <t>Taxa Poupança</t>
  </si>
  <si>
    <t>Reajuste carro</t>
  </si>
  <si>
    <t>Valor do Carro atual</t>
  </si>
  <si>
    <t>Valor do carro</t>
  </si>
  <si>
    <t>Salário Atual</t>
  </si>
  <si>
    <t>Valor da Compra</t>
  </si>
  <si>
    <t>Data da Venda</t>
  </si>
  <si>
    <t>Dias de depreciação</t>
  </si>
  <si>
    <t>Valor a pagar ao banco na quitação</t>
  </si>
  <si>
    <t>Valor para quitar:</t>
  </si>
  <si>
    <t>Preço do carro (50 Meses)</t>
  </si>
  <si>
    <t>Parcela do carro (50 Meses) (50%)</t>
  </si>
  <si>
    <t>Disponível salário (50 Meses)</t>
  </si>
  <si>
    <t>Índice de reajuste mínimo salário</t>
  </si>
  <si>
    <t>Valor do Carro 30m</t>
  </si>
  <si>
    <t>Saldo Devedor em 12/02/2021</t>
  </si>
  <si>
    <t>b) Valor do depósito mensal :</t>
  </si>
  <si>
    <t>a) Valor da venda do carro</t>
  </si>
  <si>
    <t>Saldo Inicial</t>
  </si>
  <si>
    <t>VAUEA</t>
  </si>
  <si>
    <t>VAUEB</t>
  </si>
  <si>
    <t>VAUE(A-B)</t>
  </si>
  <si>
    <t>g) Valor VAUEA</t>
  </si>
  <si>
    <t>h) Valor VAUEB</t>
  </si>
  <si>
    <t>i) Valor VAUE(A-B)</t>
  </si>
  <si>
    <t>SIM</t>
  </si>
  <si>
    <t>A</t>
  </si>
  <si>
    <t>QUESTÃO 4</t>
  </si>
  <si>
    <t>Saldo Inicial(30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</si>
</sst>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dd/mm/yy;@"/>
    <numFmt numFmtId="166" formatCode="0.0000"/>
    <numFmt numFmtId="167" formatCode="0.0000%"/>
    <numFmt numFmtId="168" formatCode="#,##0.00_ ;[Red]\-#,##0.00\ "/>
    <numFmt numFmtId="169" formatCode="dd/mm/yy"/>
    <numFmt numFmtId="170" formatCode="0.0%"/>
    <numFmt numFmtId="171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9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Fill="1" applyBorder="1"/>
    <xf numFmtId="14" fontId="6" fillId="0" borderId="3" xfId="3" applyNumberFormat="1" applyFont="1" applyBorder="1" applyAlignment="1">
      <alignment horizontal="center"/>
    </xf>
    <xf numFmtId="14" fontId="6" fillId="0" borderId="2" xfId="3" applyNumberFormat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6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167" fontId="0" fillId="0" borderId="1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10" fillId="0" borderId="0" xfId="2" applyNumberFormat="1" applyFont="1"/>
    <xf numFmtId="166" fontId="10" fillId="0" borderId="0" xfId="0" applyNumberFormat="1" applyFont="1"/>
    <xf numFmtId="0" fontId="9" fillId="0" borderId="0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6" fillId="0" borderId="3" xfId="1" applyNumberFormat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Fill="1" applyBorder="1" applyAlignment="1">
      <alignment horizontal="center"/>
    </xf>
    <xf numFmtId="170" fontId="2" fillId="0" borderId="25" xfId="2" applyNumberFormat="1" applyFont="1" applyBorder="1" applyAlignment="1">
      <alignment horizontal="center"/>
    </xf>
    <xf numFmtId="170" fontId="2" fillId="0" borderId="24" xfId="2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2" applyNumberFormat="1" applyFont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3" fontId="2" fillId="0" borderId="0" xfId="1" applyFont="1" applyFill="1" applyBorder="1"/>
    <xf numFmtId="0" fontId="0" fillId="0" borderId="0" xfId="0" applyNumberFormat="1"/>
    <xf numFmtId="0" fontId="7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2" fillId="0" borderId="1" xfId="2" applyNumberFormat="1" applyFont="1" applyBorder="1" applyAlignment="1">
      <alignment horizontal="right"/>
    </xf>
    <xf numFmtId="168" fontId="1" fillId="0" borderId="2" xfId="1" applyNumberFormat="1" applyFont="1" applyFill="1" applyBorder="1"/>
    <xf numFmtId="10" fontId="0" fillId="0" borderId="2" xfId="2" applyNumberFormat="1" applyFont="1" applyBorder="1"/>
    <xf numFmtId="2" fontId="0" fillId="0" borderId="0" xfId="0" applyNumberFormat="1" applyFill="1"/>
    <xf numFmtId="43" fontId="0" fillId="0" borderId="0" xfId="0" applyNumberFormat="1"/>
    <xf numFmtId="2" fontId="0" fillId="0" borderId="0" xfId="0" applyNumberFormat="1"/>
    <xf numFmtId="43" fontId="0" fillId="0" borderId="0" xfId="0" applyNumberFormat="1" applyFont="1"/>
    <xf numFmtId="0" fontId="0" fillId="4" borderId="11" xfId="0" applyFill="1" applyBorder="1"/>
    <xf numFmtId="0" fontId="0" fillId="4" borderId="12" xfId="0" applyFill="1" applyBorder="1"/>
    <xf numFmtId="0" fontId="2" fillId="4" borderId="11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169" fontId="5" fillId="4" borderId="2" xfId="0" applyNumberFormat="1" applyFont="1" applyFill="1" applyBorder="1" applyAlignment="1">
      <alignment horizontal="center"/>
    </xf>
    <xf numFmtId="0" fontId="0" fillId="4" borderId="7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16" xfId="0" applyFill="1" applyBorder="1"/>
    <xf numFmtId="0" fontId="0" fillId="5" borderId="2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43" fontId="6" fillId="0" borderId="2" xfId="1" applyFont="1" applyFill="1" applyBorder="1" applyAlignment="1">
      <alignment horizontal="center"/>
    </xf>
    <xf numFmtId="43" fontId="1" fillId="0" borderId="1" xfId="1" applyFont="1" applyBorder="1"/>
    <xf numFmtId="43" fontId="0" fillId="0" borderId="2" xfId="1" applyFont="1" applyBorder="1" applyAlignment="1"/>
    <xf numFmtId="0" fontId="2" fillId="6" borderId="11" xfId="0" applyFont="1" applyFill="1" applyBorder="1"/>
    <xf numFmtId="0" fontId="2" fillId="6" borderId="9" xfId="0" applyFont="1" applyFill="1" applyBorder="1"/>
    <xf numFmtId="0" fontId="2" fillId="6" borderId="12" xfId="0" applyFont="1" applyFill="1" applyBorder="1" applyAlignment="1">
      <alignment horizontal="center"/>
    </xf>
    <xf numFmtId="0" fontId="2" fillId="6" borderId="10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0" borderId="2" xfId="0" applyFont="1" applyBorder="1"/>
    <xf numFmtId="43" fontId="0" fillId="0" borderId="2" xfId="1" applyFont="1" applyBorder="1"/>
    <xf numFmtId="0" fontId="2" fillId="0" borderId="2" xfId="0" applyFont="1" applyFill="1" applyBorder="1"/>
    <xf numFmtId="10" fontId="0" fillId="0" borderId="2" xfId="0" applyNumberFormat="1" applyBorder="1"/>
    <xf numFmtId="9" fontId="0" fillId="0" borderId="2" xfId="0" applyNumberFormat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12" xfId="0" applyFont="1" applyFill="1" applyBorder="1"/>
    <xf numFmtId="167" fontId="0" fillId="6" borderId="12" xfId="0" applyNumberFormat="1" applyFont="1" applyFill="1" applyBorder="1"/>
    <xf numFmtId="2" fontId="0" fillId="0" borderId="1" xfId="0" applyNumberFormat="1" applyFont="1" applyBorder="1"/>
    <xf numFmtId="165" fontId="5" fillId="6" borderId="19" xfId="3" applyNumberFormat="1" applyFont="1" applyFill="1" applyBorder="1" applyAlignment="1">
      <alignment horizontal="center"/>
    </xf>
    <xf numFmtId="2" fontId="6" fillId="6" borderId="20" xfId="2" applyNumberFormat="1" applyFont="1" applyFill="1" applyBorder="1" applyAlignment="1">
      <alignment horizontal="center"/>
    </xf>
    <xf numFmtId="165" fontId="5" fillId="6" borderId="21" xfId="3" applyNumberFormat="1" applyFont="1" applyFill="1" applyBorder="1" applyAlignment="1">
      <alignment horizontal="center"/>
    </xf>
    <xf numFmtId="10" fontId="6" fillId="6" borderId="22" xfId="2" applyNumberFormat="1" applyFont="1" applyFill="1" applyBorder="1" applyAlignment="1">
      <alignment horizontal="center"/>
    </xf>
    <xf numFmtId="0" fontId="2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ill="1"/>
    <xf numFmtId="10" fontId="0" fillId="6" borderId="12" xfId="0" applyNumberFormat="1" applyFont="1" applyFill="1" applyBorder="1" applyAlignment="1">
      <alignment horizontal="center"/>
    </xf>
    <xf numFmtId="10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171" fontId="0" fillId="6" borderId="14" xfId="1" applyNumberFormat="1" applyFont="1" applyFill="1" applyBorder="1" applyAlignment="1">
      <alignment horizontal="center"/>
    </xf>
    <xf numFmtId="168" fontId="0" fillId="6" borderId="14" xfId="1" applyNumberFormat="1" applyFont="1" applyFill="1" applyBorder="1" applyAlignment="1">
      <alignment horizontal="center"/>
    </xf>
    <xf numFmtId="9" fontId="2" fillId="6" borderId="2" xfId="0" applyNumberFormat="1" applyFont="1" applyFill="1" applyBorder="1"/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6" borderId="23" xfId="3" applyFont="1" applyFill="1" applyBorder="1" applyAlignment="1">
      <alignment horizontal="center" vertical="center" wrapText="1"/>
    </xf>
    <xf numFmtId="0" fontId="4" fillId="6" borderId="17" xfId="3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8" fontId="0" fillId="0" borderId="0" xfId="0" applyNumberFormat="1"/>
    <xf numFmtId="168" fontId="0" fillId="0" borderId="0" xfId="0" applyNumberFormat="1"/>
    <xf numFmtId="0" fontId="2" fillId="0" borderId="0" xfId="0" applyFont="1" applyBorder="1"/>
    <xf numFmtId="10" fontId="0" fillId="0" borderId="0" xfId="0" applyNumberForma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</cellXfs>
  <cellStyles count="4">
    <cellStyle name="Normal" xfId="0" builtinId="0"/>
    <cellStyle name="Normal_Athena" xfId="3" xr:uid="{00000000-0005-0000-0000-000001000000}"/>
    <cellStyle name="Pe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Interseçao de Fischer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067438273160802E-2"/>
          <c:y val="0.10862302483069979"/>
          <c:w val="0.87999704262319323"/>
          <c:h val="0.78641047972840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'Q4'!$E$28</c:f>
              <c:strCache>
                <c:ptCount val="1"/>
                <c:pt idx="0">
                  <c:v>VPLA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'Q4'!$D$29:$D$38</c:f>
              <c:numCache>
                <c:formatCode>0.0%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</c:numCache>
            </c:numRef>
          </c:xVal>
          <c:yVal>
            <c:numRef>
              <c:f>'Q4'!$E$29:$E$38</c:f>
              <c:numCache>
                <c:formatCode>#,##0.00_ ;[Red]\-#,##0.00\ </c:formatCode>
                <c:ptCount val="10"/>
                <c:pt idx="0">
                  <c:v>26578.082377516403</c:v>
                </c:pt>
                <c:pt idx="1">
                  <c:v>21318.179429508833</c:v>
                </c:pt>
                <c:pt idx="2">
                  <c:v>16394.594385263787</c:v>
                </c:pt>
                <c:pt idx="3">
                  <c:v>11780.615604629449</c:v>
                </c:pt>
                <c:pt idx="4">
                  <c:v>7451.9823136477062</c:v>
                </c:pt>
                <c:pt idx="5">
                  <c:v>3386.6336925971555</c:v>
                </c:pt>
                <c:pt idx="6">
                  <c:v>-435.51394377605175</c:v>
                </c:pt>
                <c:pt idx="7">
                  <c:v>-4032.7652686897782</c:v>
                </c:pt>
                <c:pt idx="8">
                  <c:v>-7421.8223245570844</c:v>
                </c:pt>
                <c:pt idx="9">
                  <c:v>-10617.941740631839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0-4F2D-93ED-9E48879FD604}"/>
            </c:ext>
          </c:extLst>
        </c:ser>
        <c:ser>
          <c:idx val="1"/>
          <c:order val="1"/>
          <c:tx>
            <c:strRef>
              <c:f>'Q4'!$F$28</c:f>
              <c:strCache>
                <c:ptCount val="1"/>
                <c:pt idx="0">
                  <c:v>VPLB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'Q4'!$D$29:$D$38</c:f>
              <c:numCache>
                <c:formatCode>0.0%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</c:numCache>
            </c:numRef>
          </c:xVal>
          <c:yVal>
            <c:numRef>
              <c:f>'Q4'!$F$29:$F$38</c:f>
              <c:numCache>
                <c:formatCode>#,##0.00_ ;[Red]\-#,##0.00\ </c:formatCode>
                <c:ptCount val="10"/>
                <c:pt idx="0">
                  <c:v>17590.238162751484</c:v>
                </c:pt>
                <c:pt idx="1">
                  <c:v>14781.552122553272</c:v>
                </c:pt>
                <c:pt idx="2">
                  <c:v>12152.453312519494</c:v>
                </c:pt>
                <c:pt idx="3">
                  <c:v>9688.6782354817333</c:v>
                </c:pt>
                <c:pt idx="4">
                  <c:v>7377.2721092293723</c:v>
                </c:pt>
                <c:pt idx="5">
                  <c:v>5206.4548843965385</c:v>
                </c:pt>
                <c:pt idx="6">
                  <c:v>3165.5022630322055</c:v>
                </c:pt>
                <c:pt idx="7">
                  <c:v>1244.639905068565</c:v>
                </c:pt>
                <c:pt idx="8">
                  <c:v>-565.0507558314639</c:v>
                </c:pt>
                <c:pt idx="9">
                  <c:v>-2271.7164634441797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0-4F2D-93ED-9E48879F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8736"/>
        <c:axId val="66870656"/>
      </c:scatterChart>
      <c:valAx>
        <c:axId val="66868736"/>
        <c:scaling>
          <c:orientation val="minMax"/>
          <c:max val="0.19000000000000003"/>
          <c:min val="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70656"/>
        <c:crosses val="autoZero"/>
        <c:crossBetween val="midCat"/>
      </c:valAx>
      <c:valAx>
        <c:axId val="66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</xdr:row>
          <xdr:rowOff>0</xdr:rowOff>
        </xdr:from>
        <xdr:to>
          <xdr:col>13</xdr:col>
          <xdr:colOff>571500</xdr:colOff>
          <xdr:row>10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26</xdr:row>
      <xdr:rowOff>190500</xdr:rowOff>
    </xdr:from>
    <xdr:to>
      <xdr:col>12</xdr:col>
      <xdr:colOff>581025</xdr:colOff>
      <xdr:row>49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6"/>
  <sheetViews>
    <sheetView workbookViewId="0">
      <selection activeCell="H29" sqref="H29"/>
    </sheetView>
  </sheetViews>
  <sheetFormatPr defaultRowHeight="15" x14ac:dyDescent="0.25"/>
  <cols>
    <col min="1" max="1" width="28.140625" customWidth="1"/>
    <col min="2" max="2" width="13.42578125" bestFit="1" customWidth="1"/>
    <col min="3" max="3" width="10.5703125" bestFit="1" customWidth="1"/>
    <col min="5" max="9" width="16.140625" customWidth="1"/>
  </cols>
  <sheetData>
    <row r="1" spans="1:14" ht="15.75" thickBot="1" x14ac:dyDescent="0.3">
      <c r="A1" s="137" t="s">
        <v>5</v>
      </c>
      <c r="B1" s="138"/>
      <c r="H1" s="15"/>
    </row>
    <row r="2" spans="1:14" ht="15.75" thickBot="1" x14ac:dyDescent="0.3">
      <c r="A2" s="82"/>
      <c r="B2" s="83"/>
    </row>
    <row r="3" spans="1:14" ht="15.75" thickBot="1" x14ac:dyDescent="0.3">
      <c r="A3" s="84" t="s">
        <v>67</v>
      </c>
      <c r="B3" s="100">
        <f>G26</f>
        <v>12162.564405071807</v>
      </c>
      <c r="E3" s="87" t="s">
        <v>0</v>
      </c>
      <c r="F3" s="88" t="s">
        <v>1</v>
      </c>
      <c r="G3" s="88" t="s">
        <v>2</v>
      </c>
      <c r="H3" s="88" t="s">
        <v>3</v>
      </c>
      <c r="I3" s="89" t="s">
        <v>4</v>
      </c>
    </row>
    <row r="4" spans="1:14" ht="15.75" thickBot="1" x14ac:dyDescent="0.3">
      <c r="A4" s="85"/>
      <c r="B4" s="86"/>
      <c r="D4">
        <v>0</v>
      </c>
      <c r="E4" s="90">
        <v>43873</v>
      </c>
      <c r="F4" s="99"/>
      <c r="G4" s="99">
        <f>C7*I4</f>
        <v>277.25445000000002</v>
      </c>
      <c r="H4" s="99"/>
      <c r="I4" s="99">
        <f>C10</f>
        <v>35095.5</v>
      </c>
    </row>
    <row r="5" spans="1:14" x14ac:dyDescent="0.25">
      <c r="D5">
        <v>1</v>
      </c>
      <c r="E5" s="90">
        <v>43902</v>
      </c>
      <c r="F5" s="99">
        <f>G5+H5</f>
        <v>2083.9629235485609</v>
      </c>
      <c r="G5" s="99">
        <f>$C$7*I5</f>
        <v>262.86779851221286</v>
      </c>
      <c r="H5" s="99">
        <f>I4*C7/((1-C7)^(1-18)-(1-C7))</f>
        <v>1821.0951250363482</v>
      </c>
      <c r="I5" s="99">
        <f>I4-H5</f>
        <v>33274.404874963649</v>
      </c>
    </row>
    <row r="6" spans="1:14" ht="15.75" thickBot="1" x14ac:dyDescent="0.3">
      <c r="D6">
        <v>2</v>
      </c>
      <c r="E6" s="90">
        <v>43933</v>
      </c>
      <c r="F6" s="99">
        <f>G6+H6</f>
        <v>2083.9629235485613</v>
      </c>
      <c r="G6" s="99">
        <f>$C$7*I6</f>
        <v>248.36658745709022</v>
      </c>
      <c r="H6" s="99">
        <f>H5/(1-$C$7)</f>
        <v>1835.5963360914709</v>
      </c>
      <c r="I6" s="99">
        <f>I5-H6</f>
        <v>31438.808538872177</v>
      </c>
    </row>
    <row r="7" spans="1:14" x14ac:dyDescent="0.25">
      <c r="B7" s="96" t="s">
        <v>54</v>
      </c>
      <c r="C7" s="74">
        <v>7.9000000000000008E-3</v>
      </c>
      <c r="D7" s="13">
        <v>3</v>
      </c>
      <c r="E7" s="90">
        <v>43963</v>
      </c>
      <c r="F7" s="99">
        <f t="shared" ref="F7:F22" si="0">G7+H7</f>
        <v>2083.9629235485613</v>
      </c>
      <c r="G7" s="99">
        <f t="shared" ref="G7:G22" si="1">$C$7*I7</f>
        <v>233.74990460745548</v>
      </c>
      <c r="H7" s="99">
        <f t="shared" ref="H7:H22" si="2">H6/(1-$C$7)</f>
        <v>1850.2130189411057</v>
      </c>
      <c r="I7" s="99">
        <f t="shared" ref="I7:I22" si="3">I6-H7</f>
        <v>29588.59551993107</v>
      </c>
      <c r="K7" s="91"/>
      <c r="L7" s="92"/>
      <c r="M7" s="92"/>
      <c r="N7" s="93"/>
    </row>
    <row r="8" spans="1:14" x14ac:dyDescent="0.25">
      <c r="B8" s="96" t="s">
        <v>61</v>
      </c>
      <c r="C8" s="101">
        <v>77990</v>
      </c>
      <c r="D8" s="13">
        <v>4</v>
      </c>
      <c r="E8" s="90">
        <v>43994</v>
      </c>
      <c r="F8" s="99">
        <f t="shared" si="0"/>
        <v>2083.9629235485613</v>
      </c>
      <c r="G8" s="99">
        <f t="shared" si="1"/>
        <v>219.01683047215184</v>
      </c>
      <c r="H8" s="99">
        <f t="shared" si="2"/>
        <v>1864.9460930764094</v>
      </c>
      <c r="I8" s="99">
        <f t="shared" si="3"/>
        <v>27723.649426854659</v>
      </c>
      <c r="K8" s="82"/>
      <c r="L8" s="94"/>
      <c r="M8" s="94"/>
      <c r="N8" s="83"/>
    </row>
    <row r="9" spans="1:14" x14ac:dyDescent="0.25">
      <c r="B9" s="96" t="s">
        <v>55</v>
      </c>
      <c r="C9" s="101">
        <f>55%*C8</f>
        <v>42894.5</v>
      </c>
      <c r="D9" s="13">
        <v>5</v>
      </c>
      <c r="E9" s="90">
        <v>44024</v>
      </c>
      <c r="F9" s="99">
        <f t="shared" si="0"/>
        <v>2083.9629235485613</v>
      </c>
      <c r="G9" s="99">
        <f t="shared" si="1"/>
        <v>204.16643823819996</v>
      </c>
      <c r="H9" s="99">
        <f t="shared" si="2"/>
        <v>1879.7964853103613</v>
      </c>
      <c r="I9" s="99">
        <f t="shared" si="3"/>
        <v>25843.852941544297</v>
      </c>
      <c r="K9" s="82"/>
      <c r="L9" s="94"/>
      <c r="M9" s="94"/>
      <c r="N9" s="83"/>
    </row>
    <row r="10" spans="1:14" x14ac:dyDescent="0.25">
      <c r="B10" s="96" t="s">
        <v>56</v>
      </c>
      <c r="C10" s="101">
        <f>C8-C9</f>
        <v>35095.5</v>
      </c>
      <c r="D10" s="13">
        <v>6</v>
      </c>
      <c r="E10" s="90">
        <v>44055</v>
      </c>
      <c r="F10" s="99">
        <f t="shared" si="0"/>
        <v>2083.9629235485613</v>
      </c>
      <c r="G10" s="99">
        <f t="shared" si="1"/>
        <v>189.19779371249504</v>
      </c>
      <c r="H10" s="99">
        <f t="shared" si="2"/>
        <v>1894.7651298360663</v>
      </c>
      <c r="I10" s="99">
        <f t="shared" si="3"/>
        <v>23949.087811708232</v>
      </c>
      <c r="K10" s="82"/>
      <c r="L10" s="94"/>
      <c r="M10" s="94"/>
      <c r="N10" s="83"/>
    </row>
    <row r="11" spans="1:14" x14ac:dyDescent="0.25">
      <c r="D11" s="13">
        <v>7</v>
      </c>
      <c r="E11" s="90">
        <v>44086</v>
      </c>
      <c r="F11" s="99">
        <f t="shared" si="0"/>
        <v>2083.9629235485613</v>
      </c>
      <c r="G11" s="99">
        <f t="shared" si="1"/>
        <v>174.10995526303941</v>
      </c>
      <c r="H11" s="99">
        <f t="shared" si="2"/>
        <v>1909.8529682855219</v>
      </c>
      <c r="I11" s="99">
        <f t="shared" si="3"/>
        <v>22039.23484342271</v>
      </c>
      <c r="K11" s="82"/>
      <c r="L11" s="94"/>
      <c r="M11" s="94"/>
      <c r="N11" s="83"/>
    </row>
    <row r="12" spans="1:14" ht="15.75" thickBot="1" x14ac:dyDescent="0.3">
      <c r="D12" s="13">
        <v>8</v>
      </c>
      <c r="E12" s="90">
        <v>44116</v>
      </c>
      <c r="F12" s="99">
        <f t="shared" si="0"/>
        <v>2083.9629235485613</v>
      </c>
      <c r="G12" s="99">
        <f t="shared" si="1"/>
        <v>158.90197375970746</v>
      </c>
      <c r="H12" s="99">
        <f t="shared" si="2"/>
        <v>1925.0609497888538</v>
      </c>
      <c r="I12" s="99">
        <f t="shared" si="3"/>
        <v>20114.173893633855</v>
      </c>
      <c r="K12" s="85"/>
      <c r="L12" s="95"/>
      <c r="M12" s="95"/>
      <c r="N12" s="86"/>
    </row>
    <row r="13" spans="1:14" x14ac:dyDescent="0.25">
      <c r="D13" s="13">
        <v>9</v>
      </c>
      <c r="E13" s="90">
        <v>44147</v>
      </c>
      <c r="F13" s="99">
        <f t="shared" si="0"/>
        <v>2083.9629235485613</v>
      </c>
      <c r="G13" s="99">
        <f t="shared" si="1"/>
        <v>143.57289251453869</v>
      </c>
      <c r="H13" s="99">
        <f t="shared" si="2"/>
        <v>1940.3900310340225</v>
      </c>
      <c r="I13" s="99">
        <f t="shared" si="3"/>
        <v>18173.783862599834</v>
      </c>
    </row>
    <row r="14" spans="1:14" x14ac:dyDescent="0.25">
      <c r="D14" s="13">
        <v>10</v>
      </c>
      <c r="E14" s="90">
        <v>44177</v>
      </c>
      <c r="F14" s="99">
        <f t="shared" si="0"/>
        <v>2083.9629235485613</v>
      </c>
      <c r="G14" s="99">
        <f t="shared" si="1"/>
        <v>128.12174722155535</v>
      </c>
      <c r="H14" s="99">
        <f t="shared" si="2"/>
        <v>1955.841176327006</v>
      </c>
      <c r="I14" s="99">
        <f t="shared" si="3"/>
        <v>16217.942686272829</v>
      </c>
    </row>
    <row r="15" spans="1:14" x14ac:dyDescent="0.25">
      <c r="D15" s="13">
        <v>11</v>
      </c>
      <c r="E15" s="90">
        <v>44208</v>
      </c>
      <c r="F15" s="99">
        <f t="shared" si="0"/>
        <v>2083.9629235485613</v>
      </c>
      <c r="G15" s="99">
        <f t="shared" si="1"/>
        <v>112.54756589610092</v>
      </c>
      <c r="H15" s="99">
        <f t="shared" si="2"/>
        <v>1971.4153576524604</v>
      </c>
      <c r="I15" s="99">
        <f t="shared" si="3"/>
        <v>14246.527328620368</v>
      </c>
    </row>
    <row r="16" spans="1:14" x14ac:dyDescent="0.25">
      <c r="D16" s="13">
        <v>12</v>
      </c>
      <c r="E16" s="90">
        <v>44239</v>
      </c>
      <c r="F16" s="99">
        <f t="shared" si="0"/>
        <v>2083.9629235485613</v>
      </c>
      <c r="G16" s="99">
        <f t="shared" si="1"/>
        <v>96.849368813695477</v>
      </c>
      <c r="H16" s="99">
        <f t="shared" si="2"/>
        <v>1987.1135547348658</v>
      </c>
      <c r="I16" s="99">
        <f t="shared" si="3"/>
        <v>12259.413773885502</v>
      </c>
    </row>
    <row r="17" spans="1:9" x14ac:dyDescent="0.25">
      <c r="D17" s="13">
        <v>13</v>
      </c>
      <c r="E17" s="90">
        <v>44267</v>
      </c>
      <c r="F17" s="99">
        <f t="shared" si="0"/>
        <v>2083.9629235485613</v>
      </c>
      <c r="G17" s="99">
        <f t="shared" si="1"/>
        <v>81.026168448404235</v>
      </c>
      <c r="H17" s="99">
        <f t="shared" si="2"/>
        <v>2002.9367551001571</v>
      </c>
      <c r="I17" s="99">
        <f t="shared" si="3"/>
        <v>10256.477018785345</v>
      </c>
    </row>
    <row r="18" spans="1:9" x14ac:dyDescent="0.25">
      <c r="D18" s="13">
        <v>14</v>
      </c>
      <c r="E18" s="90">
        <v>44298</v>
      </c>
      <c r="F18" s="99">
        <f t="shared" si="0"/>
        <v>2083.9629235485613</v>
      </c>
      <c r="G18" s="99">
        <f t="shared" si="1"/>
        <v>65.07696941071525</v>
      </c>
      <c r="H18" s="99">
        <f t="shared" si="2"/>
        <v>2018.8859541378461</v>
      </c>
      <c r="I18" s="99">
        <f t="shared" si="3"/>
        <v>8237.5910646474986</v>
      </c>
    </row>
    <row r="19" spans="1:9" x14ac:dyDescent="0.25">
      <c r="A19" s="14"/>
      <c r="D19" s="13">
        <v>15</v>
      </c>
      <c r="E19" s="90">
        <v>44328</v>
      </c>
      <c r="F19" s="99">
        <f t="shared" si="0"/>
        <v>2083.9629235485613</v>
      </c>
      <c r="G19" s="99">
        <f t="shared" si="1"/>
        <v>49.000768384922495</v>
      </c>
      <c r="H19" s="99">
        <f t="shared" si="2"/>
        <v>2034.9621551636387</v>
      </c>
      <c r="I19" s="99">
        <f t="shared" si="3"/>
        <v>6202.6289094838594</v>
      </c>
    </row>
    <row r="20" spans="1:9" x14ac:dyDescent="0.25">
      <c r="D20" s="13">
        <v>16</v>
      </c>
      <c r="E20" s="90">
        <v>44359</v>
      </c>
      <c r="F20" s="99">
        <f t="shared" si="0"/>
        <v>2083.9629235485613</v>
      </c>
      <c r="G20" s="99">
        <f t="shared" si="1"/>
        <v>32.796554066010337</v>
      </c>
      <c r="H20" s="99">
        <f t="shared" si="2"/>
        <v>2051.1663694825511</v>
      </c>
      <c r="I20" s="99">
        <f t="shared" si="3"/>
        <v>4151.4625400013083</v>
      </c>
    </row>
    <row r="21" spans="1:9" x14ac:dyDescent="0.25">
      <c r="D21" s="13">
        <v>17</v>
      </c>
      <c r="E21" s="90">
        <v>44389</v>
      </c>
      <c r="F21" s="99">
        <f t="shared" si="0"/>
        <v>2083.9629235485613</v>
      </c>
      <c r="G21" s="99">
        <f t="shared" si="1"/>
        <v>16.463307096035383</v>
      </c>
      <c r="H21" s="99">
        <f t="shared" si="2"/>
        <v>2067.499616452526</v>
      </c>
      <c r="I21" s="99">
        <f t="shared" si="3"/>
        <v>2083.9629235487823</v>
      </c>
    </row>
    <row r="22" spans="1:9" x14ac:dyDescent="0.25">
      <c r="D22" s="13">
        <v>18</v>
      </c>
      <c r="E22" s="90">
        <v>44420</v>
      </c>
      <c r="F22" s="99">
        <f t="shared" si="0"/>
        <v>2083.9629235485613</v>
      </c>
      <c r="G22" s="99">
        <f t="shared" si="1"/>
        <v>1.7603269952815028E-12</v>
      </c>
      <c r="H22" s="99">
        <f t="shared" si="2"/>
        <v>2083.9629235485595</v>
      </c>
      <c r="I22" s="99">
        <f t="shared" si="3"/>
        <v>2.2282620193436742E-10</v>
      </c>
    </row>
    <row r="25" spans="1:9" ht="45" x14ac:dyDescent="0.25">
      <c r="F25" s="97" t="s">
        <v>73</v>
      </c>
      <c r="G25" s="98" t="s">
        <v>66</v>
      </c>
      <c r="H25" s="72"/>
      <c r="I25" s="1"/>
    </row>
    <row r="26" spans="1:9" x14ac:dyDescent="0.25">
      <c r="F26" s="99">
        <f>I16</f>
        <v>12259.413773885502</v>
      </c>
      <c r="G26" s="99">
        <f>F26-G16</f>
        <v>12162.564405071807</v>
      </c>
      <c r="H26" s="73"/>
      <c r="I26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10</xdr:col>
                <xdr:colOff>38100</xdr:colOff>
                <xdr:row>7</xdr:row>
                <xdr:rowOff>0</xdr:rowOff>
              </from>
              <to>
                <xdr:col>13</xdr:col>
                <xdr:colOff>571500</xdr:colOff>
                <xdr:row>10</xdr:row>
                <xdr:rowOff>114300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M27"/>
  <sheetViews>
    <sheetView topLeftCell="A4" workbookViewId="0">
      <selection activeCell="I16" sqref="I16"/>
    </sheetView>
  </sheetViews>
  <sheetFormatPr defaultRowHeight="15" x14ac:dyDescent="0.25"/>
  <cols>
    <col min="1" max="1" width="28.5703125" style="2" customWidth="1"/>
    <col min="2" max="2" width="15.85546875" style="2" customWidth="1"/>
    <col min="3" max="3" width="32.140625" customWidth="1"/>
    <col min="4" max="4" width="14.28515625" customWidth="1"/>
    <col min="5" max="5" width="11.5703125" bestFit="1" customWidth="1"/>
    <col min="8" max="8" width="23.42578125" customWidth="1"/>
    <col min="9" max="9" width="14.42578125" customWidth="1"/>
    <col min="13" max="13" width="10.5703125" bestFit="1" customWidth="1"/>
  </cols>
  <sheetData>
    <row r="1" spans="1:13" ht="15.75" thickBot="1" x14ac:dyDescent="0.3"/>
    <row r="2" spans="1:13" ht="15.75" thickBot="1" x14ac:dyDescent="0.3">
      <c r="A2" s="139" t="s">
        <v>6</v>
      </c>
      <c r="B2" s="140"/>
    </row>
    <row r="3" spans="1:13" ht="15.75" thickBot="1" x14ac:dyDescent="0.3">
      <c r="A3" s="102" t="s">
        <v>7</v>
      </c>
      <c r="B3" s="75">
        <f>D16</f>
        <v>6.0312090916458838E-2</v>
      </c>
    </row>
    <row r="4" spans="1:13" ht="15.75" thickBot="1" x14ac:dyDescent="0.3">
      <c r="A4" s="102"/>
      <c r="B4" s="104"/>
    </row>
    <row r="5" spans="1:13" ht="15.75" thickBot="1" x14ac:dyDescent="0.3">
      <c r="A5" s="102" t="s">
        <v>74</v>
      </c>
      <c r="B5" s="51">
        <f>I14</f>
        <v>2214.9785919675865</v>
      </c>
      <c r="E5" s="141" t="s">
        <v>10</v>
      </c>
      <c r="F5" s="141"/>
      <c r="I5" s="107" t="s">
        <v>58</v>
      </c>
      <c r="J5" s="111">
        <v>7.0000000000000001E-3</v>
      </c>
    </row>
    <row r="6" spans="1:13" ht="15.75" thickBot="1" x14ac:dyDescent="0.3">
      <c r="A6" s="103"/>
      <c r="B6" s="105"/>
      <c r="E6" s="142">
        <v>77990</v>
      </c>
      <c r="F6" s="142"/>
      <c r="I6" s="107" t="s">
        <v>59</v>
      </c>
      <c r="J6" s="112">
        <v>0.05</v>
      </c>
    </row>
    <row r="8" spans="1:13" ht="15.75" thickBot="1" x14ac:dyDescent="0.3"/>
    <row r="9" spans="1:13" ht="15.75" thickBot="1" x14ac:dyDescent="0.3">
      <c r="C9" s="106" t="s">
        <v>8</v>
      </c>
      <c r="H9" s="106" t="s">
        <v>9</v>
      </c>
    </row>
    <row r="10" spans="1:13" x14ac:dyDescent="0.25">
      <c r="A10" s="3"/>
      <c r="C10" s="3"/>
      <c r="D10" s="3"/>
    </row>
    <row r="11" spans="1:13" x14ac:dyDescent="0.25">
      <c r="A11" s="3"/>
      <c r="C11" s="108" t="s">
        <v>62</v>
      </c>
      <c r="D11" s="109">
        <v>5000</v>
      </c>
      <c r="H11" s="108" t="s">
        <v>60</v>
      </c>
      <c r="I11" s="109">
        <f>E6</f>
        <v>77990</v>
      </c>
    </row>
    <row r="12" spans="1:13" x14ac:dyDescent="0.25">
      <c r="A12" s="3"/>
      <c r="C12" s="108" t="s">
        <v>11</v>
      </c>
      <c r="D12" s="109">
        <f>E6/50</f>
        <v>1559.8</v>
      </c>
      <c r="G12">
        <f>30/12</f>
        <v>2.5</v>
      </c>
      <c r="H12" s="108" t="s">
        <v>72</v>
      </c>
      <c r="I12" s="109">
        <f>I11*(1+J6)^2</f>
        <v>85983.975000000006</v>
      </c>
      <c r="M12" s="79"/>
    </row>
    <row r="13" spans="1:13" s="13" customFormat="1" x14ac:dyDescent="0.25">
      <c r="A13" s="3"/>
      <c r="B13" s="13">
        <f>50/12</f>
        <v>4.166666666666667</v>
      </c>
      <c r="C13" s="108" t="s">
        <v>68</v>
      </c>
      <c r="D13" s="109">
        <f>E6*(1+J6)^4</f>
        <v>94797.332437499994</v>
      </c>
      <c r="H13" s="108" t="s">
        <v>76</v>
      </c>
      <c r="I13" s="76">
        <v>10000</v>
      </c>
    </row>
    <row r="14" spans="1:13" s="13" customFormat="1" x14ac:dyDescent="0.25">
      <c r="A14" s="3"/>
      <c r="C14" s="108" t="s">
        <v>69</v>
      </c>
      <c r="D14" s="109">
        <f>D12*(1+J6)^4</f>
        <v>1895.9466487499999</v>
      </c>
      <c r="H14" s="108" t="s">
        <v>57</v>
      </c>
      <c r="I14" s="76">
        <f>PMT(J5,30,,-(I12-I16))</f>
        <v>2214.9785919675865</v>
      </c>
    </row>
    <row r="15" spans="1:13" s="13" customFormat="1" x14ac:dyDescent="0.25">
      <c r="A15" s="3"/>
      <c r="C15" s="110" t="s">
        <v>70</v>
      </c>
      <c r="D15" s="109">
        <f>30%*D11*(1+D16)^4-D14</f>
        <v>8.0483330293645849E-6</v>
      </c>
      <c r="E15" s="79"/>
      <c r="H15" s="14"/>
      <c r="I15" s="65"/>
    </row>
    <row r="16" spans="1:13" s="13" customFormat="1" x14ac:dyDescent="0.25">
      <c r="A16" s="3"/>
      <c r="C16" s="110" t="s">
        <v>71</v>
      </c>
      <c r="D16" s="77">
        <v>6.0312090916458838E-2</v>
      </c>
      <c r="E16" s="35"/>
      <c r="H16" s="163" t="s">
        <v>86</v>
      </c>
      <c r="I16" s="13">
        <f>I13*(1+J5)^30</f>
        <v>12327.758460712686</v>
      </c>
    </row>
    <row r="17" spans="1:5" x14ac:dyDescent="0.25">
      <c r="A17" s="3"/>
      <c r="C17" s="3"/>
      <c r="D17" s="81"/>
      <c r="E17" s="79"/>
    </row>
    <row r="18" spans="1:5" x14ac:dyDescent="0.25">
      <c r="A18" s="3"/>
      <c r="B18" s="3"/>
      <c r="C18" s="3"/>
    </row>
    <row r="19" spans="1:5" x14ac:dyDescent="0.25">
      <c r="A19" s="3"/>
      <c r="B19" s="3"/>
      <c r="C19" s="81"/>
    </row>
    <row r="20" spans="1:5" x14ac:dyDescent="0.25">
      <c r="A20" s="3"/>
      <c r="B20" s="3"/>
      <c r="C20" s="3"/>
      <c r="D20" s="3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  <row r="23" spans="1:5" x14ac:dyDescent="0.25">
      <c r="A23" s="3"/>
      <c r="B23" s="3"/>
      <c r="C23" s="3"/>
    </row>
    <row r="24" spans="1:5" x14ac:dyDescent="0.25">
      <c r="A24" s="3"/>
      <c r="B24" s="3"/>
      <c r="C24" s="3"/>
    </row>
    <row r="25" spans="1:5" x14ac:dyDescent="0.25">
      <c r="A25" s="3"/>
      <c r="B25" s="3"/>
      <c r="C25" s="3"/>
    </row>
    <row r="26" spans="1:5" x14ac:dyDescent="0.25">
      <c r="A26" s="3"/>
      <c r="B26" s="3"/>
      <c r="C26" s="3"/>
    </row>
    <row r="27" spans="1:5" x14ac:dyDescent="0.25">
      <c r="A27" s="3"/>
      <c r="B27" s="3"/>
      <c r="C27" s="3"/>
    </row>
  </sheetData>
  <mergeCells count="3">
    <mergeCell ref="A2:B2"/>
    <mergeCell ref="E5:F5"/>
    <mergeCell ref="E6:F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H32"/>
  <sheetViews>
    <sheetView workbookViewId="0">
      <selection activeCell="E10" sqref="E10"/>
    </sheetView>
  </sheetViews>
  <sheetFormatPr defaultRowHeight="15" x14ac:dyDescent="0.25"/>
  <cols>
    <col min="1" max="1" width="37.28515625" customWidth="1"/>
    <col min="2" max="2" width="14.28515625" bestFit="1" customWidth="1"/>
    <col min="4" max="4" width="20.140625" customWidth="1"/>
    <col min="5" max="5" width="13.7109375" customWidth="1"/>
    <col min="6" max="6" width="19.28515625" customWidth="1"/>
    <col min="7" max="8" width="18.5703125" customWidth="1"/>
  </cols>
  <sheetData>
    <row r="1" spans="1:8" ht="15.75" thickBot="1" x14ac:dyDescent="0.3">
      <c r="A1" s="139" t="s">
        <v>32</v>
      </c>
      <c r="B1" s="140"/>
    </row>
    <row r="2" spans="1:8" ht="15.75" thickBot="1" x14ac:dyDescent="0.3">
      <c r="A2" s="113"/>
      <c r="B2" s="114"/>
    </row>
    <row r="3" spans="1:8" ht="15.75" thickBot="1" x14ac:dyDescent="0.3">
      <c r="A3" s="102" t="s">
        <v>75</v>
      </c>
      <c r="B3" s="117">
        <f>E9</f>
        <v>70749.992431100545</v>
      </c>
    </row>
    <row r="4" spans="1:8" ht="15.75" thickBot="1" x14ac:dyDescent="0.3">
      <c r="A4" s="102"/>
      <c r="B4" s="115"/>
      <c r="D4" s="14" t="s">
        <v>63</v>
      </c>
      <c r="E4" s="80">
        <v>77990</v>
      </c>
    </row>
    <row r="5" spans="1:8" ht="15.75" thickBot="1" x14ac:dyDescent="0.3">
      <c r="A5" s="102" t="s">
        <v>12</v>
      </c>
      <c r="B5" s="36">
        <f>H13</f>
        <v>1.8905241250991822</v>
      </c>
      <c r="D5" s="14" t="s">
        <v>48</v>
      </c>
      <c r="E5" s="52">
        <v>43873</v>
      </c>
      <c r="G5" s="144" t="s">
        <v>49</v>
      </c>
      <c r="H5" s="144" t="s">
        <v>14</v>
      </c>
    </row>
    <row r="6" spans="1:8" s="1" customFormat="1" ht="15.75" thickBot="1" x14ac:dyDescent="0.3">
      <c r="A6" s="102"/>
      <c r="B6" s="115"/>
      <c r="D6" s="14" t="s">
        <v>64</v>
      </c>
      <c r="E6" s="52">
        <v>44247</v>
      </c>
      <c r="G6" s="145"/>
      <c r="H6" s="145"/>
    </row>
    <row r="7" spans="1:8" s="1" customFormat="1" ht="15.75" thickBot="1" x14ac:dyDescent="0.3">
      <c r="A7" s="102" t="s">
        <v>13</v>
      </c>
      <c r="B7" s="36">
        <f>H14</f>
        <v>9.2483072571558633E-2</v>
      </c>
      <c r="D7" s="7" t="s">
        <v>17</v>
      </c>
      <c r="E7" s="53">
        <v>0.1</v>
      </c>
      <c r="G7" s="5">
        <f>E6</f>
        <v>44247</v>
      </c>
      <c r="H7" s="54">
        <f>-E9</f>
        <v>-70749.992431100545</v>
      </c>
    </row>
    <row r="8" spans="1:8" s="13" customFormat="1" ht="17.25" customHeight="1" thickBot="1" x14ac:dyDescent="0.3">
      <c r="A8" s="102"/>
      <c r="B8" s="116"/>
      <c r="D8" s="14" t="s">
        <v>65</v>
      </c>
      <c r="E8" s="78">
        <f>DAYS360(E5,E6)</f>
        <v>368</v>
      </c>
      <c r="G8" s="5">
        <v>44252</v>
      </c>
      <c r="H8" s="54">
        <v>17900</v>
      </c>
    </row>
    <row r="9" spans="1:8" s="13" customFormat="1" ht="17.25" customHeight="1" thickBot="1" x14ac:dyDescent="0.3">
      <c r="A9" s="146" t="s">
        <v>50</v>
      </c>
      <c r="B9" s="37" t="s">
        <v>83</v>
      </c>
      <c r="D9" s="14" t="s">
        <v>18</v>
      </c>
      <c r="E9" s="80">
        <f>E4/((1+E7)^(E8/360))</f>
        <v>70749.992431100545</v>
      </c>
      <c r="G9" s="5">
        <v>44275</v>
      </c>
      <c r="H9" s="54">
        <v>20000</v>
      </c>
    </row>
    <row r="10" spans="1:8" ht="15.75" thickBot="1" x14ac:dyDescent="0.3">
      <c r="A10" s="147"/>
      <c r="B10" s="105"/>
      <c r="D10" s="14" t="s">
        <v>19</v>
      </c>
      <c r="E10" s="15">
        <v>0.09</v>
      </c>
      <c r="G10" s="6">
        <v>44297</v>
      </c>
      <c r="H10" s="55">
        <f>19200</f>
        <v>19200</v>
      </c>
    </row>
    <row r="11" spans="1:8" x14ac:dyDescent="0.25">
      <c r="G11" s="6">
        <v>44328</v>
      </c>
      <c r="H11" s="55">
        <v>12000</v>
      </c>
    </row>
    <row r="12" spans="1:8" ht="15.75" thickBot="1" x14ac:dyDescent="0.3">
      <c r="D12" s="14"/>
      <c r="E12" s="15"/>
      <c r="G12" s="6">
        <v>44362</v>
      </c>
      <c r="H12" s="55">
        <v>12000</v>
      </c>
    </row>
    <row r="13" spans="1:8" x14ac:dyDescent="0.25">
      <c r="G13" s="118" t="s">
        <v>15</v>
      </c>
      <c r="H13" s="119">
        <f>XIRR(H7:H12,G7:G12)</f>
        <v>1.8905241250991822</v>
      </c>
    </row>
    <row r="14" spans="1:8" ht="15.75" thickBot="1" x14ac:dyDescent="0.3">
      <c r="A14" s="18"/>
      <c r="C14" s="18"/>
      <c r="E14" s="1"/>
      <c r="F14" s="18"/>
      <c r="G14" s="120" t="s">
        <v>16</v>
      </c>
      <c r="H14" s="121">
        <f>(1+H13)^(30/360)-1</f>
        <v>9.2483072571558633E-2</v>
      </c>
    </row>
    <row r="15" spans="1:8" x14ac:dyDescent="0.25">
      <c r="A15" s="143"/>
      <c r="B15" s="143"/>
      <c r="C15" s="18"/>
      <c r="D15" s="14"/>
      <c r="E15" s="66"/>
      <c r="F15" s="18"/>
    </row>
    <row r="16" spans="1:8" x14ac:dyDescent="0.25">
      <c r="A16" s="16"/>
      <c r="B16" s="19"/>
      <c r="C16" s="18"/>
      <c r="F16" s="148"/>
    </row>
    <row r="17" spans="1:6" x14ac:dyDescent="0.25">
      <c r="A17" s="16"/>
      <c r="B17" s="19"/>
      <c r="C17" s="18"/>
      <c r="F17" s="148"/>
    </row>
    <row r="18" spans="1:6" x14ac:dyDescent="0.25">
      <c r="A18" s="16"/>
      <c r="B18" s="17"/>
      <c r="C18" s="18"/>
      <c r="F18" s="18"/>
    </row>
    <row r="19" spans="1:6" x14ac:dyDescent="0.25">
      <c r="A19" s="16"/>
      <c r="B19" s="21"/>
      <c r="C19" s="18"/>
      <c r="D19" s="18"/>
      <c r="E19" s="20"/>
      <c r="F19" s="18"/>
    </row>
    <row r="20" spans="1:6" x14ac:dyDescent="0.25">
      <c r="A20" s="16"/>
      <c r="B20" s="17"/>
      <c r="C20" s="18"/>
      <c r="D20" s="18"/>
      <c r="E20" s="20"/>
      <c r="F20" s="18"/>
    </row>
    <row r="21" spans="1:6" x14ac:dyDescent="0.25">
      <c r="A21" s="16"/>
      <c r="B21" s="17"/>
      <c r="C21" s="18"/>
      <c r="D21" s="18"/>
      <c r="E21" s="20"/>
      <c r="F21" s="18"/>
    </row>
    <row r="22" spans="1:6" x14ac:dyDescent="0.25">
      <c r="A22" s="143"/>
      <c r="B22" s="143"/>
      <c r="C22" s="20"/>
      <c r="D22" s="20"/>
      <c r="E22" s="20"/>
      <c r="F22" s="18"/>
    </row>
    <row r="23" spans="1:6" x14ac:dyDescent="0.25">
      <c r="A23" s="16"/>
      <c r="B23" s="16"/>
      <c r="C23" s="20"/>
      <c r="D23" s="67"/>
      <c r="E23" s="18"/>
      <c r="F23" s="18"/>
    </row>
    <row r="24" spans="1:6" x14ac:dyDescent="0.25">
      <c r="A24" s="22"/>
      <c r="B24" s="23"/>
      <c r="C24" s="18"/>
      <c r="D24" s="67"/>
      <c r="E24" s="18"/>
      <c r="F24" s="18"/>
    </row>
    <row r="25" spans="1:6" x14ac:dyDescent="0.25">
      <c r="A25" s="22"/>
      <c r="B25" s="23"/>
      <c r="C25" s="18"/>
      <c r="D25" s="67"/>
      <c r="E25" s="18"/>
      <c r="F25" s="18"/>
    </row>
    <row r="26" spans="1:6" x14ac:dyDescent="0.25">
      <c r="A26" s="22"/>
      <c r="B26" s="23"/>
      <c r="C26" s="18"/>
      <c r="D26" s="67"/>
      <c r="E26" s="18"/>
      <c r="F26" s="18"/>
    </row>
    <row r="27" spans="1:6" x14ac:dyDescent="0.25">
      <c r="A27" s="22"/>
      <c r="B27" s="23"/>
      <c r="C27" s="18"/>
      <c r="D27" s="67"/>
      <c r="E27" s="18"/>
      <c r="F27" s="18"/>
    </row>
    <row r="28" spans="1:6" x14ac:dyDescent="0.25">
      <c r="A28" s="22"/>
      <c r="B28" s="23"/>
      <c r="C28" s="18"/>
      <c r="D28" s="67"/>
      <c r="E28" s="18"/>
      <c r="F28" s="18"/>
    </row>
    <row r="29" spans="1:6" x14ac:dyDescent="0.25">
      <c r="A29" s="22"/>
      <c r="B29" s="23"/>
      <c r="C29" s="18"/>
      <c r="D29" s="67"/>
      <c r="E29" s="18"/>
      <c r="F29" s="18"/>
    </row>
    <row r="30" spans="1:6" x14ac:dyDescent="0.25">
      <c r="A30" s="16"/>
      <c r="B30" s="19"/>
      <c r="C30" s="20"/>
      <c r="D30" s="67"/>
      <c r="E30" s="18"/>
      <c r="F30" s="18"/>
    </row>
    <row r="31" spans="1:6" x14ac:dyDescent="0.25">
      <c r="A31" s="19"/>
      <c r="B31" s="19"/>
      <c r="C31" s="19"/>
      <c r="D31" s="18"/>
      <c r="E31" s="18"/>
      <c r="F31" s="18"/>
    </row>
    <row r="32" spans="1:6" x14ac:dyDescent="0.25">
      <c r="A32" s="18"/>
      <c r="B32" s="18"/>
      <c r="C32" s="18"/>
      <c r="D32" s="18"/>
      <c r="E32" s="18"/>
      <c r="F32" s="18"/>
    </row>
  </sheetData>
  <mergeCells count="7">
    <mergeCell ref="A22:B22"/>
    <mergeCell ref="G5:G6"/>
    <mergeCell ref="H5:H6"/>
    <mergeCell ref="A9:A10"/>
    <mergeCell ref="A1:B1"/>
    <mergeCell ref="A15:B15"/>
    <mergeCell ref="F16:F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R52"/>
  <sheetViews>
    <sheetView tabSelected="1" zoomScaleNormal="100" workbookViewId="0">
      <selection activeCell="F29" sqref="F29"/>
    </sheetView>
  </sheetViews>
  <sheetFormatPr defaultRowHeight="15" x14ac:dyDescent="0.25"/>
  <cols>
    <col min="1" max="1" width="27.42578125" customWidth="1"/>
    <col min="2" max="2" width="11.5703125" customWidth="1"/>
    <col min="3" max="3" width="9.140625" style="11"/>
    <col min="4" max="6" width="16.140625" customWidth="1"/>
    <col min="7" max="7" width="23.5703125" customWidth="1"/>
    <col min="8" max="13" width="16.140625" customWidth="1"/>
    <col min="14" max="14" width="14" customWidth="1"/>
  </cols>
  <sheetData>
    <row r="1" spans="1:18" ht="15.75" thickBot="1" x14ac:dyDescent="0.3">
      <c r="A1" s="139" t="s">
        <v>85</v>
      </c>
      <c r="B1" s="140"/>
      <c r="C1" s="12"/>
    </row>
    <row r="2" spans="1:18" ht="15.75" thickBot="1" x14ac:dyDescent="0.3">
      <c r="A2" s="113"/>
      <c r="B2" s="114"/>
      <c r="C2" s="4"/>
      <c r="E2" s="107" t="s">
        <v>53</v>
      </c>
      <c r="F2" s="136">
        <v>0.12</v>
      </c>
    </row>
    <row r="3" spans="1:18" ht="15.75" thickBot="1" x14ac:dyDescent="0.3">
      <c r="A3" s="102" t="s">
        <v>33</v>
      </c>
      <c r="B3" s="38">
        <f>F19</f>
        <v>0.15882925879496002</v>
      </c>
      <c r="C3" s="4"/>
    </row>
    <row r="4" spans="1:18" thickBot="1" x14ac:dyDescent="0.35">
      <c r="A4" s="102"/>
      <c r="B4" s="125"/>
      <c r="C4" s="4"/>
      <c r="D4" s="149" t="s">
        <v>20</v>
      </c>
      <c r="E4" s="150"/>
      <c r="F4" s="151"/>
      <c r="G4" s="8"/>
      <c r="H4" s="149" t="s">
        <v>21</v>
      </c>
      <c r="I4" s="150"/>
      <c r="J4" s="151"/>
      <c r="K4" s="8"/>
      <c r="L4" s="152" t="s">
        <v>28</v>
      </c>
      <c r="M4" s="153"/>
      <c r="N4" s="154"/>
    </row>
    <row r="5" spans="1:18" thickBot="1" x14ac:dyDescent="0.35">
      <c r="A5" s="102" t="s">
        <v>34</v>
      </c>
      <c r="B5" s="38">
        <f>J19</f>
        <v>0.17681377427677591</v>
      </c>
      <c r="C5" s="4"/>
      <c r="D5" s="9"/>
      <c r="E5" s="9"/>
      <c r="F5" s="9"/>
      <c r="G5" s="8"/>
      <c r="H5" s="9"/>
      <c r="I5" s="9"/>
      <c r="J5" s="9"/>
      <c r="K5" s="8"/>
      <c r="L5" s="9"/>
      <c r="M5" s="9"/>
      <c r="N5" s="9"/>
    </row>
    <row r="6" spans="1:18" ht="15.75" thickBot="1" x14ac:dyDescent="0.3">
      <c r="A6" s="102"/>
      <c r="B6" s="126"/>
      <c r="C6" s="4"/>
      <c r="D6" s="10" t="s">
        <v>22</v>
      </c>
      <c r="E6" s="10" t="s">
        <v>23</v>
      </c>
      <c r="F6" s="10" t="s">
        <v>24</v>
      </c>
      <c r="G6" s="8"/>
      <c r="H6" s="10" t="s">
        <v>22</v>
      </c>
      <c r="I6" s="10" t="s">
        <v>23</v>
      </c>
      <c r="J6" s="10" t="s">
        <v>24</v>
      </c>
      <c r="K6" s="8"/>
      <c r="L6" s="10" t="s">
        <v>22</v>
      </c>
      <c r="M6" s="10" t="s">
        <v>23</v>
      </c>
      <c r="N6" s="10" t="s">
        <v>24</v>
      </c>
    </row>
    <row r="7" spans="1:18" ht="15.75" thickBot="1" x14ac:dyDescent="0.3">
      <c r="A7" s="102" t="s">
        <v>43</v>
      </c>
      <c r="B7" s="39">
        <f>N19</f>
        <v>0.14038275599973371</v>
      </c>
      <c r="C7" s="4"/>
      <c r="D7" s="10">
        <v>0</v>
      </c>
      <c r="E7" s="10" t="s">
        <v>25</v>
      </c>
      <c r="F7" s="57">
        <v>-100000</v>
      </c>
      <c r="G7" s="8"/>
      <c r="H7" s="10">
        <v>0</v>
      </c>
      <c r="I7" s="10" t="s">
        <v>25</v>
      </c>
      <c r="J7" s="57">
        <v>-50000</v>
      </c>
      <c r="K7" s="8"/>
      <c r="L7" s="10">
        <v>0</v>
      </c>
      <c r="M7" s="10" t="s">
        <v>25</v>
      </c>
      <c r="N7" s="57">
        <f>F7-J7</f>
        <v>-50000</v>
      </c>
    </row>
    <row r="8" spans="1:18" s="11" customFormat="1" ht="15.75" thickBot="1" x14ac:dyDescent="0.3">
      <c r="A8" s="102"/>
      <c r="B8" s="127"/>
      <c r="C8" s="4"/>
      <c r="D8" s="10">
        <v>1</v>
      </c>
      <c r="E8" s="10" t="s">
        <v>26</v>
      </c>
      <c r="F8" s="57">
        <v>20600</v>
      </c>
      <c r="G8" s="79"/>
      <c r="H8" s="10">
        <v>1</v>
      </c>
      <c r="I8" s="10" t="s">
        <v>26</v>
      </c>
      <c r="J8" s="57">
        <v>11000</v>
      </c>
      <c r="K8" s="79"/>
      <c r="L8" s="10">
        <v>1</v>
      </c>
      <c r="M8" s="10" t="s">
        <v>26</v>
      </c>
      <c r="N8" s="57">
        <f t="shared" ref="N8:N17" si="0">F8-J8</f>
        <v>9600</v>
      </c>
    </row>
    <row r="9" spans="1:18" s="11" customFormat="1" ht="15.75" thickBot="1" x14ac:dyDescent="0.3">
      <c r="A9" s="102" t="s">
        <v>44</v>
      </c>
      <c r="B9" s="58">
        <f>F20</f>
        <v>16394.594385263787</v>
      </c>
      <c r="C9" s="4"/>
      <c r="D9" s="10">
        <v>2</v>
      </c>
      <c r="E9" s="10" t="s">
        <v>26</v>
      </c>
      <c r="F9" s="57">
        <f>F8</f>
        <v>20600</v>
      </c>
      <c r="G9" s="8"/>
      <c r="H9" s="10">
        <v>2</v>
      </c>
      <c r="I9" s="10" t="s">
        <v>26</v>
      </c>
      <c r="J9" s="57">
        <f>J8</f>
        <v>11000</v>
      </c>
      <c r="K9" s="8"/>
      <c r="L9" s="10">
        <v>2</v>
      </c>
      <c r="M9" s="10" t="s">
        <v>26</v>
      </c>
      <c r="N9" s="57">
        <f t="shared" si="0"/>
        <v>9600</v>
      </c>
    </row>
    <row r="10" spans="1:18" s="11" customFormat="1" ht="15.75" thickBot="1" x14ac:dyDescent="0.3">
      <c r="A10" s="102"/>
      <c r="B10" s="128"/>
      <c r="C10" s="4"/>
      <c r="D10" s="10">
        <v>3</v>
      </c>
      <c r="E10" s="10" t="s">
        <v>26</v>
      </c>
      <c r="F10" s="57">
        <f t="shared" ref="F10:F17" si="1">F9</f>
        <v>20600</v>
      </c>
      <c r="G10" s="8"/>
      <c r="H10" s="10">
        <v>3</v>
      </c>
      <c r="I10" s="10" t="s">
        <v>26</v>
      </c>
      <c r="J10" s="57">
        <f t="shared" ref="J10:J17" si="2">J9</f>
        <v>11000</v>
      </c>
      <c r="K10" s="8"/>
      <c r="L10" s="10">
        <v>3</v>
      </c>
      <c r="M10" s="10" t="s">
        <v>26</v>
      </c>
      <c r="N10" s="57">
        <f t="shared" si="0"/>
        <v>9600</v>
      </c>
    </row>
    <row r="11" spans="1:18" s="11" customFormat="1" ht="15.75" thickBot="1" x14ac:dyDescent="0.3">
      <c r="A11" s="102" t="s">
        <v>45</v>
      </c>
      <c r="B11" s="58">
        <f>J20</f>
        <v>12152.453312519494</v>
      </c>
      <c r="C11" s="4"/>
      <c r="D11" s="10">
        <v>4</v>
      </c>
      <c r="E11" s="10" t="s">
        <v>26</v>
      </c>
      <c r="F11" s="57">
        <f t="shared" si="1"/>
        <v>20600</v>
      </c>
      <c r="G11" s="8"/>
      <c r="H11" s="10">
        <v>4</v>
      </c>
      <c r="I11" s="10" t="s">
        <v>26</v>
      </c>
      <c r="J11" s="57">
        <f t="shared" si="2"/>
        <v>11000</v>
      </c>
      <c r="K11" s="8"/>
      <c r="L11" s="10">
        <v>4</v>
      </c>
      <c r="M11" s="10" t="s">
        <v>26</v>
      </c>
      <c r="N11" s="57">
        <f t="shared" si="0"/>
        <v>9600</v>
      </c>
    </row>
    <row r="12" spans="1:18" s="11" customFormat="1" ht="15.75" thickBot="1" x14ac:dyDescent="0.3">
      <c r="A12" s="102"/>
      <c r="B12" s="128"/>
      <c r="C12" s="4"/>
      <c r="D12" s="10">
        <v>5</v>
      </c>
      <c r="E12" s="10" t="s">
        <v>26</v>
      </c>
      <c r="F12" s="57">
        <f t="shared" si="1"/>
        <v>20600</v>
      </c>
      <c r="G12" s="8"/>
      <c r="H12" s="10">
        <v>5</v>
      </c>
      <c r="I12" s="10" t="s">
        <v>26</v>
      </c>
      <c r="J12" s="57">
        <f t="shared" si="2"/>
        <v>11000</v>
      </c>
      <c r="K12" s="8"/>
      <c r="L12" s="10">
        <v>5</v>
      </c>
      <c r="M12" s="10" t="s">
        <v>26</v>
      </c>
      <c r="N12" s="57">
        <f t="shared" si="0"/>
        <v>9600</v>
      </c>
      <c r="R12" s="13"/>
    </row>
    <row r="13" spans="1:18" s="11" customFormat="1" ht="15.75" thickBot="1" x14ac:dyDescent="0.3">
      <c r="A13" s="102" t="s">
        <v>46</v>
      </c>
      <c r="B13" s="58">
        <f>N20</f>
        <v>4242.1410727442853</v>
      </c>
      <c r="C13" s="4"/>
      <c r="D13" s="10">
        <v>6</v>
      </c>
      <c r="E13" s="10" t="s">
        <v>26</v>
      </c>
      <c r="F13" s="57">
        <f t="shared" si="1"/>
        <v>20600</v>
      </c>
      <c r="G13" s="8"/>
      <c r="H13" s="10">
        <v>6</v>
      </c>
      <c r="I13" s="10" t="s">
        <v>26</v>
      </c>
      <c r="J13" s="57">
        <f t="shared" si="2"/>
        <v>11000</v>
      </c>
      <c r="K13" s="8"/>
      <c r="L13" s="10">
        <v>6</v>
      </c>
      <c r="M13" s="10" t="s">
        <v>26</v>
      </c>
      <c r="N13" s="57">
        <f t="shared" si="0"/>
        <v>9600</v>
      </c>
      <c r="R13" s="13"/>
    </row>
    <row r="14" spans="1:18" s="11" customFormat="1" ht="15.75" thickBot="1" x14ac:dyDescent="0.3">
      <c r="A14" s="102"/>
      <c r="B14" s="127"/>
      <c r="C14" s="4"/>
      <c r="D14" s="10">
        <v>7</v>
      </c>
      <c r="E14" s="10" t="s">
        <v>26</v>
      </c>
      <c r="F14" s="57">
        <f t="shared" si="1"/>
        <v>20600</v>
      </c>
      <c r="G14" s="8"/>
      <c r="H14" s="10">
        <v>7</v>
      </c>
      <c r="I14" s="10" t="s">
        <v>26</v>
      </c>
      <c r="J14" s="57">
        <f t="shared" si="2"/>
        <v>11000</v>
      </c>
      <c r="K14" s="8"/>
      <c r="L14" s="10">
        <v>7</v>
      </c>
      <c r="M14" s="10" t="s">
        <v>26</v>
      </c>
      <c r="N14" s="57">
        <f t="shared" si="0"/>
        <v>9600</v>
      </c>
      <c r="R14" s="13"/>
    </row>
    <row r="15" spans="1:18" s="13" customFormat="1" ht="15.75" thickBot="1" x14ac:dyDescent="0.3">
      <c r="A15" s="102" t="s">
        <v>80</v>
      </c>
      <c r="B15" s="58">
        <f>F21</f>
        <v>2901.5835840155924</v>
      </c>
      <c r="C15" s="4"/>
      <c r="D15" s="10">
        <v>8</v>
      </c>
      <c r="E15" s="10" t="s">
        <v>26</v>
      </c>
      <c r="F15" s="57">
        <f t="shared" si="1"/>
        <v>20600</v>
      </c>
      <c r="H15" s="10">
        <v>8</v>
      </c>
      <c r="I15" s="10" t="s">
        <v>26</v>
      </c>
      <c r="J15" s="57">
        <f t="shared" si="2"/>
        <v>11000</v>
      </c>
      <c r="L15" s="10">
        <v>8</v>
      </c>
      <c r="M15" s="10" t="s">
        <v>26</v>
      </c>
      <c r="N15" s="57">
        <f t="shared" si="0"/>
        <v>9600</v>
      </c>
    </row>
    <row r="16" spans="1:18" s="13" customFormat="1" ht="15.75" thickBot="1" x14ac:dyDescent="0.3">
      <c r="A16" s="122"/>
      <c r="B16" s="123"/>
      <c r="C16" s="4"/>
      <c r="D16" s="10">
        <v>9</v>
      </c>
      <c r="E16" s="10" t="s">
        <v>26</v>
      </c>
      <c r="F16" s="57">
        <f t="shared" si="1"/>
        <v>20600</v>
      </c>
      <c r="H16" s="10">
        <v>9</v>
      </c>
      <c r="I16" s="10" t="s">
        <v>26</v>
      </c>
      <c r="J16" s="57">
        <f t="shared" si="2"/>
        <v>11000</v>
      </c>
      <c r="L16" s="10">
        <v>9</v>
      </c>
      <c r="M16" s="10" t="s">
        <v>26</v>
      </c>
      <c r="N16" s="57">
        <f t="shared" si="0"/>
        <v>9600</v>
      </c>
    </row>
    <row r="17" spans="1:14" s="13" customFormat="1" ht="15.75" thickBot="1" x14ac:dyDescent="0.3">
      <c r="A17" s="102" t="s">
        <v>81</v>
      </c>
      <c r="B17" s="58">
        <f>J21</f>
        <v>2150.7917920077962</v>
      </c>
      <c r="C17" s="4"/>
      <c r="D17" s="10">
        <v>10</v>
      </c>
      <c r="E17" s="10" t="s">
        <v>26</v>
      </c>
      <c r="F17" s="57">
        <f t="shared" si="1"/>
        <v>20600</v>
      </c>
      <c r="H17" s="10">
        <v>10</v>
      </c>
      <c r="I17" s="10" t="s">
        <v>26</v>
      </c>
      <c r="J17" s="57">
        <f t="shared" si="2"/>
        <v>11000</v>
      </c>
      <c r="L17" s="10">
        <v>10</v>
      </c>
      <c r="M17" s="10" t="s">
        <v>26</v>
      </c>
      <c r="N17" s="57">
        <f t="shared" si="0"/>
        <v>9600</v>
      </c>
    </row>
    <row r="18" spans="1:14" ht="15.75" thickBot="1" x14ac:dyDescent="0.3">
      <c r="A18" s="124"/>
      <c r="B18" s="124"/>
      <c r="C18" s="4"/>
      <c r="D18" s="10"/>
      <c r="E18" s="10"/>
      <c r="F18" s="57"/>
      <c r="G18" s="8"/>
      <c r="H18" s="10"/>
      <c r="I18" s="10"/>
      <c r="J18" s="57"/>
      <c r="K18" s="8"/>
      <c r="L18" s="10"/>
      <c r="M18" s="10"/>
      <c r="N18" s="57"/>
    </row>
    <row r="19" spans="1:14" ht="15.75" thickBot="1" x14ac:dyDescent="0.3">
      <c r="A19" s="102" t="s">
        <v>82</v>
      </c>
      <c r="B19" s="58">
        <f>N21</f>
        <v>750.79179200779618</v>
      </c>
      <c r="D19" s="10"/>
      <c r="E19" s="132" t="s">
        <v>27</v>
      </c>
      <c r="F19" s="133">
        <f>IRR(F7:F17)</f>
        <v>0.15882925879496002</v>
      </c>
      <c r="G19" s="8"/>
      <c r="H19" s="10"/>
      <c r="I19" s="132" t="s">
        <v>27</v>
      </c>
      <c r="J19" s="133">
        <f>IRR(J7:J17)</f>
        <v>0.17681377427677591</v>
      </c>
      <c r="K19" s="8"/>
      <c r="L19" s="10"/>
      <c r="M19" s="132" t="s">
        <v>27</v>
      </c>
      <c r="N19" s="133">
        <f>IRR(N7:N17)</f>
        <v>0.14038275599973371</v>
      </c>
    </row>
    <row r="20" spans="1:14" ht="15.75" thickBot="1" x14ac:dyDescent="0.3">
      <c r="A20" s="102"/>
      <c r="B20" s="127"/>
      <c r="D20" s="10"/>
      <c r="E20" s="132" t="s">
        <v>29</v>
      </c>
      <c r="F20" s="135">
        <f>NPV(F2,F8:F17)+F7</f>
        <v>16394.594385263787</v>
      </c>
      <c r="I20" s="132" t="s">
        <v>30</v>
      </c>
      <c r="J20" s="134">
        <f>NPV(F2,J8:J17)+J7</f>
        <v>12152.453312519494</v>
      </c>
      <c r="M20" s="132" t="s">
        <v>31</v>
      </c>
      <c r="N20" s="135">
        <f>NPV(F2,N8:N17)+N7</f>
        <v>4242.1410727442853</v>
      </c>
    </row>
    <row r="21" spans="1:14" ht="15.75" thickBot="1" x14ac:dyDescent="0.3">
      <c r="A21" s="103" t="s">
        <v>52</v>
      </c>
      <c r="B21" s="40" t="s">
        <v>84</v>
      </c>
      <c r="D21" s="10"/>
      <c r="E21" s="132" t="s">
        <v>77</v>
      </c>
      <c r="F21" s="135">
        <f>F17-PMT(F2,10,F7)</f>
        <v>2901.5835840155924</v>
      </c>
      <c r="G21" s="8"/>
      <c r="H21" s="10"/>
      <c r="I21" s="132" t="s">
        <v>78</v>
      </c>
      <c r="J21" s="135">
        <f>J17-PMT(F2,H17,J7)</f>
        <v>2150.7917920077962</v>
      </c>
      <c r="K21" s="8"/>
      <c r="L21" s="10"/>
      <c r="M21" s="132" t="s">
        <v>79</v>
      </c>
      <c r="N21" s="135">
        <f>N17-PMT(F2,L17,N7)</f>
        <v>750.79179200779618</v>
      </c>
    </row>
    <row r="22" spans="1:14" x14ac:dyDescent="0.25">
      <c r="D22" s="10"/>
      <c r="F22" s="161"/>
      <c r="K22" s="162"/>
    </row>
    <row r="23" spans="1:14" x14ac:dyDescent="0.25">
      <c r="I23" s="162"/>
    </row>
    <row r="24" spans="1:14" ht="15.75" thickBot="1" x14ac:dyDescent="0.3"/>
    <row r="25" spans="1:14" ht="15" customHeight="1" x14ac:dyDescent="0.25">
      <c r="C25" s="155" t="s">
        <v>51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7"/>
    </row>
    <row r="26" spans="1:14" ht="15.75" customHeight="1" thickBot="1" x14ac:dyDescent="0.3">
      <c r="C26" s="158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1:14" ht="15.75" thickBot="1" x14ac:dyDescent="0.3"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6"/>
    </row>
    <row r="28" spans="1:14" ht="15.75" thickBot="1" x14ac:dyDescent="0.3">
      <c r="C28" s="27"/>
      <c r="D28" s="129" t="s">
        <v>53</v>
      </c>
      <c r="E28" s="130" t="s">
        <v>29</v>
      </c>
      <c r="F28" s="131" t="s">
        <v>30</v>
      </c>
      <c r="G28" s="28"/>
      <c r="H28" s="28"/>
      <c r="I28" s="28"/>
      <c r="J28" s="28"/>
      <c r="K28" s="28"/>
      <c r="L28" s="28"/>
      <c r="M28" s="29"/>
    </row>
    <row r="29" spans="1:14" x14ac:dyDescent="0.25">
      <c r="C29" s="27"/>
      <c r="D29" s="59">
        <v>0.1</v>
      </c>
      <c r="E29" s="71">
        <f>NPV(D29,$F$8:$F$17)+$F$7</f>
        <v>26578.082377516403</v>
      </c>
      <c r="F29" s="71">
        <f>NPV(D29,$J$8:$J$17)+$J$7</f>
        <v>17590.238162751484</v>
      </c>
      <c r="G29" s="28"/>
      <c r="H29" s="28"/>
      <c r="I29" s="28"/>
      <c r="J29" s="28"/>
      <c r="K29" s="28"/>
      <c r="L29" s="28"/>
      <c r="M29" s="29"/>
    </row>
    <row r="30" spans="1:14" x14ac:dyDescent="0.25">
      <c r="C30" s="27"/>
      <c r="D30" s="60">
        <v>0.11</v>
      </c>
      <c r="E30" s="71">
        <f t="shared" ref="E30:E39" si="3">NPV(D30,$F$8:$F$17)+$F$7</f>
        <v>21318.179429508833</v>
      </c>
      <c r="F30" s="71">
        <f t="shared" ref="F30:F38" si="4">NPV(D30,$J$8:$J$17)+$J$7</f>
        <v>14781.552122553272</v>
      </c>
      <c r="G30" s="28"/>
      <c r="H30" s="28"/>
      <c r="I30" s="28"/>
      <c r="J30" s="28"/>
      <c r="K30" s="28"/>
      <c r="L30" s="28"/>
      <c r="M30" s="29"/>
    </row>
    <row r="31" spans="1:14" x14ac:dyDescent="0.25">
      <c r="C31" s="27"/>
      <c r="D31" s="59">
        <v>0.12</v>
      </c>
      <c r="E31" s="71">
        <f t="shared" si="3"/>
        <v>16394.594385263787</v>
      </c>
      <c r="F31" s="71">
        <f t="shared" si="4"/>
        <v>12152.453312519494</v>
      </c>
      <c r="G31" s="28"/>
      <c r="H31" s="28"/>
      <c r="I31" s="28"/>
      <c r="J31" s="28"/>
      <c r="K31" s="28"/>
      <c r="L31" s="28"/>
      <c r="M31" s="29"/>
    </row>
    <row r="32" spans="1:14" x14ac:dyDescent="0.25">
      <c r="C32" s="27"/>
      <c r="D32" s="60">
        <v>0.13</v>
      </c>
      <c r="E32" s="71">
        <f t="shared" si="3"/>
        <v>11780.615604629449</v>
      </c>
      <c r="F32" s="71">
        <f t="shared" si="4"/>
        <v>9688.6782354817333</v>
      </c>
      <c r="G32" s="28"/>
      <c r="H32" s="28"/>
      <c r="I32" s="28"/>
      <c r="J32" s="28"/>
      <c r="K32" s="28"/>
      <c r="L32" s="28"/>
      <c r="M32" s="29"/>
    </row>
    <row r="33" spans="3:13" x14ac:dyDescent="0.25">
      <c r="C33" s="27"/>
      <c r="D33" s="59">
        <v>0.14000000000000001</v>
      </c>
      <c r="E33" s="71">
        <f t="shared" si="3"/>
        <v>7451.9823136477062</v>
      </c>
      <c r="F33" s="71">
        <f t="shared" si="4"/>
        <v>7377.2721092293723</v>
      </c>
      <c r="G33" s="28"/>
      <c r="H33" s="28"/>
      <c r="I33" s="28"/>
      <c r="J33" s="28"/>
      <c r="K33" s="28"/>
      <c r="L33" s="28"/>
      <c r="M33" s="29"/>
    </row>
    <row r="34" spans="3:13" x14ac:dyDescent="0.25">
      <c r="C34" s="27"/>
      <c r="D34" s="60">
        <v>0.15</v>
      </c>
      <c r="E34" s="71">
        <f t="shared" si="3"/>
        <v>3386.6336925971555</v>
      </c>
      <c r="F34" s="71">
        <f t="shared" si="4"/>
        <v>5206.4548843965385</v>
      </c>
      <c r="G34" s="28"/>
      <c r="H34" s="28"/>
      <c r="I34" s="28"/>
      <c r="J34" s="28"/>
      <c r="K34" s="28"/>
      <c r="L34" s="28"/>
      <c r="M34" s="29"/>
    </row>
    <row r="35" spans="3:13" x14ac:dyDescent="0.25">
      <c r="C35" s="27"/>
      <c r="D35" s="59">
        <v>0.16</v>
      </c>
      <c r="E35" s="71">
        <f t="shared" si="3"/>
        <v>-435.51394377605175</v>
      </c>
      <c r="F35" s="71">
        <f t="shared" si="4"/>
        <v>3165.5022630322055</v>
      </c>
      <c r="G35" s="28"/>
      <c r="H35" s="28"/>
      <c r="I35" s="28"/>
      <c r="J35" s="28"/>
      <c r="K35" s="28"/>
      <c r="L35" s="28"/>
      <c r="M35" s="29"/>
    </row>
    <row r="36" spans="3:13" x14ac:dyDescent="0.25">
      <c r="C36" s="27"/>
      <c r="D36" s="60">
        <v>0.17</v>
      </c>
      <c r="E36" s="71">
        <f t="shared" si="3"/>
        <v>-4032.7652686897782</v>
      </c>
      <c r="F36" s="71">
        <f t="shared" si="4"/>
        <v>1244.639905068565</v>
      </c>
      <c r="G36" s="28"/>
      <c r="H36" s="28"/>
      <c r="I36" s="28"/>
      <c r="J36" s="28"/>
      <c r="K36" s="28"/>
      <c r="L36" s="28"/>
      <c r="M36" s="29"/>
    </row>
    <row r="37" spans="3:13" x14ac:dyDescent="0.25">
      <c r="C37" s="27"/>
      <c r="D37" s="59">
        <v>0.18</v>
      </c>
      <c r="E37" s="71">
        <f t="shared" si="3"/>
        <v>-7421.8223245570844</v>
      </c>
      <c r="F37" s="71">
        <f t="shared" si="4"/>
        <v>-565.0507558314639</v>
      </c>
      <c r="G37" s="28"/>
      <c r="H37" s="28"/>
      <c r="I37" s="28"/>
      <c r="J37" s="28"/>
      <c r="K37" s="28"/>
      <c r="L37" s="28"/>
      <c r="M37" s="29"/>
    </row>
    <row r="38" spans="3:13" x14ac:dyDescent="0.25">
      <c r="C38" s="27"/>
      <c r="D38" s="60">
        <v>0.19</v>
      </c>
      <c r="E38" s="165">
        <f t="shared" si="3"/>
        <v>-10617.941740631839</v>
      </c>
      <c r="F38" s="165">
        <f t="shared" si="4"/>
        <v>-2271.7164634441797</v>
      </c>
      <c r="G38" s="28"/>
      <c r="H38" s="28"/>
      <c r="I38" s="28"/>
      <c r="J38" s="28"/>
      <c r="K38" s="28"/>
      <c r="L38" s="28"/>
      <c r="M38" s="29"/>
    </row>
    <row r="39" spans="3:13" x14ac:dyDescent="0.25">
      <c r="C39" s="33"/>
      <c r="D39" s="164"/>
      <c r="E39" s="166"/>
      <c r="F39" s="166"/>
      <c r="G39" s="28"/>
      <c r="H39" s="28"/>
      <c r="I39" s="28"/>
      <c r="J39" s="28"/>
      <c r="K39" s="28"/>
      <c r="L39" s="28"/>
      <c r="M39" s="29"/>
    </row>
    <row r="40" spans="3:13" x14ac:dyDescent="0.25">
      <c r="C40" s="33"/>
      <c r="D40" s="34"/>
      <c r="E40" s="34"/>
      <c r="F40" s="28"/>
      <c r="G40" s="28"/>
      <c r="H40" s="28"/>
      <c r="I40" s="28"/>
      <c r="J40" s="28"/>
      <c r="K40" s="28"/>
      <c r="L40" s="28"/>
      <c r="M40" s="29"/>
    </row>
    <row r="41" spans="3:13" x14ac:dyDescent="0.25">
      <c r="C41" s="33"/>
      <c r="D41" s="34"/>
      <c r="E41" s="34"/>
      <c r="F41" s="28"/>
      <c r="G41" s="28"/>
      <c r="H41" s="28"/>
      <c r="I41" s="28"/>
      <c r="J41" s="28"/>
      <c r="K41" s="28"/>
      <c r="L41" s="28"/>
      <c r="M41" s="29"/>
    </row>
    <row r="42" spans="3:13" x14ac:dyDescent="0.25"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9"/>
    </row>
    <row r="43" spans="3:13" x14ac:dyDescent="0.25"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9"/>
    </row>
    <row r="44" spans="3:13" x14ac:dyDescent="0.25"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9"/>
    </row>
    <row r="45" spans="3:13" x14ac:dyDescent="0.25"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9"/>
    </row>
    <row r="46" spans="3:13" x14ac:dyDescent="0.25"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9"/>
    </row>
    <row r="47" spans="3:13" x14ac:dyDescent="0.25"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9"/>
    </row>
    <row r="48" spans="3:13" x14ac:dyDescent="0.25"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9"/>
    </row>
    <row r="49" spans="3:13" x14ac:dyDescent="0.25"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9"/>
    </row>
    <row r="50" spans="3:13" x14ac:dyDescent="0.25"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9"/>
    </row>
    <row r="51" spans="3:13" x14ac:dyDescent="0.25"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9"/>
    </row>
    <row r="52" spans="3:13" ht="15.75" thickBot="1" x14ac:dyDescent="0.3"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2"/>
    </row>
  </sheetData>
  <mergeCells count="5">
    <mergeCell ref="D4:F4"/>
    <mergeCell ref="H4:J4"/>
    <mergeCell ref="L4:N4"/>
    <mergeCell ref="A1:B1"/>
    <mergeCell ref="C25:M2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B2:I26"/>
  <sheetViews>
    <sheetView zoomScale="85" zoomScaleNormal="85" workbookViewId="0">
      <selection activeCell="I15" sqref="I15"/>
    </sheetView>
  </sheetViews>
  <sheetFormatPr defaultRowHeight="15" x14ac:dyDescent="0.25"/>
  <cols>
    <col min="1" max="2" width="9.28515625" style="41" customWidth="1"/>
    <col min="3" max="9" width="18.140625" style="41" customWidth="1"/>
    <col min="10" max="10" width="9.28515625" style="41" customWidth="1"/>
    <col min="11" max="16384" width="9.140625" style="41"/>
  </cols>
  <sheetData>
    <row r="2" spans="2:9" ht="15.75" thickBot="1" x14ac:dyDescent="0.3">
      <c r="C2" s="42"/>
      <c r="D2" s="42"/>
      <c r="E2" s="42"/>
      <c r="F2" s="42"/>
      <c r="G2" s="42"/>
      <c r="H2" s="42"/>
      <c r="I2" s="42"/>
    </row>
    <row r="3" spans="2:9" ht="15.75" thickBot="1" x14ac:dyDescent="0.3">
      <c r="C3" s="43" t="s">
        <v>35</v>
      </c>
      <c r="D3" s="44"/>
      <c r="E3" s="43" t="s">
        <v>36</v>
      </c>
      <c r="F3" s="44"/>
      <c r="G3" s="43" t="s">
        <v>37</v>
      </c>
      <c r="H3" s="44"/>
      <c r="I3" s="43" t="s">
        <v>38</v>
      </c>
    </row>
    <row r="4" spans="2:9" x14ac:dyDescent="0.25">
      <c r="C4" s="56"/>
      <c r="D4" s="45"/>
      <c r="E4" s="56"/>
      <c r="F4" s="45"/>
      <c r="G4" s="56"/>
      <c r="H4" s="45"/>
      <c r="I4" s="56"/>
    </row>
    <row r="5" spans="2:9" x14ac:dyDescent="0.25">
      <c r="C5" s="61">
        <f>IF(AND(ABS('Q1'!I18-8237.59)&lt;0.01,ABS('Q1'!F10-2083.96)&lt;0.01,ABS('Q1'!G8-219.02)&lt;0.01),1.5,0)</f>
        <v>1.5</v>
      </c>
      <c r="D5" s="61"/>
      <c r="E5" s="61">
        <f>IF(ABS('Q2'!B3-6.03%)&lt;0.01%,1.25,0)</f>
        <v>1.25</v>
      </c>
      <c r="F5" s="61"/>
      <c r="G5" s="61">
        <f>IF(ABS('Q3'!B3-70749.99)&lt;0.01,0.7,0)</f>
        <v>0.7</v>
      </c>
      <c r="H5" s="61"/>
      <c r="I5" s="61">
        <f>IF(ABS('Q4'!B3-15.88%)&lt;0.01%,0.3,0)</f>
        <v>0.3</v>
      </c>
    </row>
    <row r="6" spans="2:9" x14ac:dyDescent="0.25">
      <c r="C6" s="61"/>
      <c r="D6" s="61"/>
      <c r="E6" s="61"/>
      <c r="F6" s="61"/>
      <c r="G6" s="61"/>
      <c r="H6" s="61"/>
      <c r="I6" s="61"/>
    </row>
    <row r="7" spans="2:9" x14ac:dyDescent="0.25">
      <c r="C7" s="61">
        <f>IF(AND(ABS('Q1'!G21-16.46)&lt;0.01,ABS('Q1'!B3-12162.56)&lt;0.01),1,0)</f>
        <v>1</v>
      </c>
      <c r="D7" s="61"/>
      <c r="E7" s="61">
        <f>IF(ABS('Q2'!B5-2214.98)&lt;0.01,1.25,0)</f>
        <v>1.25</v>
      </c>
      <c r="F7" s="61"/>
      <c r="G7" s="61">
        <f>IF(ABS('Q3'!B5-189.05%)&lt;0.01%,0.7,0)</f>
        <v>0.7</v>
      </c>
      <c r="H7" s="61"/>
      <c r="I7" s="61">
        <f>IF(ABS('Q4'!B5-17.68%)&lt;0.01%,0.3,0)</f>
        <v>0.3</v>
      </c>
    </row>
    <row r="8" spans="2:9" x14ac:dyDescent="0.25">
      <c r="C8" s="61"/>
      <c r="D8" s="61"/>
      <c r="E8" s="61"/>
      <c r="F8" s="61"/>
      <c r="G8" s="61"/>
      <c r="H8" s="61"/>
      <c r="I8" s="61"/>
    </row>
    <row r="9" spans="2:9" x14ac:dyDescent="0.25">
      <c r="C9" s="61"/>
      <c r="D9" s="61"/>
      <c r="E9" s="61"/>
      <c r="F9" s="61"/>
      <c r="G9" s="61">
        <f>IF(ABS('Q3'!B7-9.12%)&lt;0.01%,0.8,0)</f>
        <v>0</v>
      </c>
      <c r="H9" s="61"/>
      <c r="I9" s="61">
        <f>IF(ABS('Q4'!B7-14.04%)&lt;0.01%,0.3,0)</f>
        <v>0.3</v>
      </c>
    </row>
    <row r="10" spans="2:9" x14ac:dyDescent="0.25">
      <c r="C10" s="61"/>
      <c r="D10" s="61"/>
      <c r="E10" s="61"/>
      <c r="F10" s="61"/>
      <c r="G10" s="61"/>
      <c r="H10" s="61"/>
      <c r="I10" s="61"/>
    </row>
    <row r="11" spans="2:9" x14ac:dyDescent="0.25">
      <c r="C11" s="61"/>
      <c r="D11" s="61"/>
      <c r="E11" s="61"/>
      <c r="F11" s="61"/>
      <c r="G11" s="61">
        <f>IF('Q3'!B9="SIM",0.3,0)</f>
        <v>0.3</v>
      </c>
      <c r="H11" s="61"/>
      <c r="I11" s="61">
        <f>IF(AND(ABS('Q4'!B9-16394.59)&lt;0.01,ABS('Q4'!B15-2901.58)&lt;0.01),0.4,0)</f>
        <v>0.4</v>
      </c>
    </row>
    <row r="12" spans="2:9" x14ac:dyDescent="0.25">
      <c r="C12" s="61"/>
      <c r="D12" s="61"/>
      <c r="E12" s="61"/>
      <c r="F12" s="61"/>
      <c r="G12" s="61"/>
      <c r="H12" s="61"/>
      <c r="I12" s="61"/>
    </row>
    <row r="13" spans="2:9" x14ac:dyDescent="0.25">
      <c r="B13" s="46"/>
      <c r="C13" s="61"/>
      <c r="D13" s="61"/>
      <c r="E13" s="62"/>
      <c r="F13" s="61"/>
      <c r="G13" s="63"/>
      <c r="H13" s="62"/>
      <c r="I13" s="61">
        <f>IF(AND(ABS('Q4'!B11-12152.45)&lt;0.01,ABS('Q4'!B17-2150.79)&lt;0.01),0.4,0)</f>
        <v>0.4</v>
      </c>
    </row>
    <row r="14" spans="2:9" x14ac:dyDescent="0.25">
      <c r="B14" s="47"/>
      <c r="C14" s="61"/>
      <c r="D14" s="61"/>
      <c r="E14" s="61"/>
      <c r="F14" s="61"/>
      <c r="G14" s="64"/>
      <c r="H14" s="61"/>
      <c r="I14" s="61"/>
    </row>
    <row r="15" spans="2:9" x14ac:dyDescent="0.25">
      <c r="C15" s="61"/>
      <c r="D15" s="61"/>
      <c r="E15" s="61"/>
      <c r="F15" s="61"/>
      <c r="G15" s="61"/>
      <c r="H15" s="61"/>
      <c r="I15" s="61">
        <f>IF(AND(ABS('Q4'!B13-(4242.14))&lt;0.01,ABS('Q4'!B19-750.79)&lt;0.01),0.4,0)</f>
        <v>0.4</v>
      </c>
    </row>
    <row r="16" spans="2:9" x14ac:dyDescent="0.25">
      <c r="C16" s="61"/>
      <c r="D16" s="61"/>
      <c r="E16" s="61"/>
      <c r="F16" s="61"/>
      <c r="G16" s="61"/>
      <c r="H16" s="61"/>
      <c r="I16" s="61"/>
    </row>
    <row r="17" spans="3:9" x14ac:dyDescent="0.25">
      <c r="C17" s="61"/>
      <c r="D17" s="61"/>
      <c r="E17" s="61"/>
      <c r="F17" s="61"/>
      <c r="G17" s="61"/>
      <c r="H17" s="61"/>
      <c r="I17" s="61">
        <f>IF('Q4'!B21="A",0.2,0)</f>
        <v>0.2</v>
      </c>
    </row>
    <row r="18" spans="3:9" x14ac:dyDescent="0.25">
      <c r="C18" s="61"/>
      <c r="D18" s="61"/>
      <c r="E18" s="61"/>
      <c r="F18" s="61"/>
      <c r="G18" s="61"/>
      <c r="H18" s="61"/>
      <c r="I18" s="61"/>
    </row>
    <row r="19" spans="3:9" x14ac:dyDescent="0.25">
      <c r="C19" s="61"/>
      <c r="D19" s="61"/>
      <c r="E19" s="61"/>
      <c r="F19" s="61"/>
      <c r="G19" s="61"/>
      <c r="H19" s="61"/>
      <c r="I19" s="61">
        <f>IF(AND(ABS('Q4'!E31-16394.59)&lt;0.01,ABS('Q4'!F33-7377.27)&lt;0.01),0.2,0)</f>
        <v>0.2</v>
      </c>
    </row>
    <row r="20" spans="3:9" ht="15.75" thickBot="1" x14ac:dyDescent="0.3">
      <c r="C20" s="56"/>
      <c r="D20" s="45"/>
      <c r="E20" s="56"/>
      <c r="F20" s="45"/>
      <c r="G20" s="56"/>
      <c r="H20" s="45"/>
      <c r="I20" s="45"/>
    </row>
    <row r="21" spans="3:9" ht="15.75" thickBot="1" x14ac:dyDescent="0.3">
      <c r="C21" s="43" t="s">
        <v>39</v>
      </c>
      <c r="D21" s="44"/>
      <c r="E21" s="43" t="s">
        <v>40</v>
      </c>
      <c r="F21" s="44"/>
      <c r="G21" s="43" t="s">
        <v>41</v>
      </c>
      <c r="H21" s="44"/>
      <c r="I21" s="43" t="s">
        <v>42</v>
      </c>
    </row>
    <row r="22" spans="3:9" x14ac:dyDescent="0.25">
      <c r="C22" s="48"/>
      <c r="D22" s="44"/>
      <c r="E22" s="48"/>
      <c r="F22" s="44"/>
      <c r="G22" s="48"/>
      <c r="H22" s="44"/>
      <c r="I22" s="48"/>
    </row>
    <row r="23" spans="3:9" ht="18.75" x14ac:dyDescent="0.3">
      <c r="C23" s="69">
        <f>SUM(C5:C17)</f>
        <v>2.5</v>
      </c>
      <c r="D23" s="49"/>
      <c r="E23" s="69">
        <f>SUM(E5:E17)</f>
        <v>2.5</v>
      </c>
      <c r="F23" s="49"/>
      <c r="G23" s="68">
        <f>SUM(G5:G11)</f>
        <v>1.7</v>
      </c>
      <c r="H23" s="49"/>
      <c r="I23" s="69">
        <f>SUM(I5:I19)</f>
        <v>2.5</v>
      </c>
    </row>
    <row r="24" spans="3:9" ht="15.75" thickBot="1" x14ac:dyDescent="0.3"/>
    <row r="25" spans="3:9" ht="27" thickBot="1" x14ac:dyDescent="0.45">
      <c r="F25" s="50" t="s">
        <v>47</v>
      </c>
    </row>
    <row r="26" spans="3:9" ht="27" thickBot="1" x14ac:dyDescent="0.45">
      <c r="F26" s="70">
        <f>C23+E23+G23+I23</f>
        <v>9.1999999999999993</v>
      </c>
    </row>
  </sheetData>
  <sheetProtection algorithmName="SHA-512" hashValue="0HKs+G0z1QcSQY5TjbCFOW4UDcaZxQQlk5v0lhgkHO7rmU0fZe3y8oROVycRXQiUIuSYU/jCW9Qr7JU7oNzAPA==" saltValue="IwA3Y6vo0UtdxsLXXJZ5rw==" spinCount="100000" sheet="1" formatRows="0" insertColumns="0" insertRows="0" insertHyperlinks="0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Planilha1</vt:lpstr>
      <vt:lpstr>Nota</vt:lpstr>
    </vt:vector>
  </TitlesOfParts>
  <Company>MBLAS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Blas</dc:creator>
  <cp:lastModifiedBy>marcelo sandolin</cp:lastModifiedBy>
  <dcterms:created xsi:type="dcterms:W3CDTF">2014-12-11T12:11:33Z</dcterms:created>
  <dcterms:modified xsi:type="dcterms:W3CDTF">2021-01-12T20:29:41Z</dcterms:modified>
</cp:coreProperties>
</file>