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slie Lynch\Documents\FCR Financial Reports\"/>
    </mc:Choice>
  </mc:AlternateContent>
  <xr:revisionPtr revIDLastSave="0" documentId="13_ncr:1_{0545D694-CDAF-453E-9E0D-67AF7429A7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dget" sheetId="1" r:id="rId1"/>
    <sheet name="Fire Recovery" sheetId="4" r:id="rId2"/>
    <sheet name="Notes" sheetId="2" r:id="rId3"/>
    <sheet name="Bank" sheetId="3" r:id="rId4"/>
    <sheet name="FY19 capital items" sheetId="5" r:id="rId5"/>
  </sheets>
  <definedNames>
    <definedName name="_xlnm.Print_Area" localSheetId="3">Bank!$A$2:$I$17</definedName>
    <definedName name="_xlnm.Print_Area" localSheetId="0">Budget!$A$1:$N$157</definedName>
    <definedName name="_xlnm.Print_Area" localSheetId="1">'Fire Recovery'!$A$1:$E$25</definedName>
    <definedName name="_xlnm.Print_Area" localSheetId="2">Notes!$A$18:$G$24</definedName>
    <definedName name="_xlnm.Print_Titles" localSheetId="0">Budget!$1:$2</definedName>
    <definedName name="QB_COLUMN_59200" localSheetId="0" hidden="1">Budget!$G$2</definedName>
    <definedName name="QB_COLUMN_62220" localSheetId="0" hidden="1">Budget!$K$2</definedName>
    <definedName name="QB_COLUMN_76210" localSheetId="0" hidden="1">Budget!#REF!</definedName>
    <definedName name="QB_COLUMN_76230" localSheetId="0" hidden="1">Budget!#REF!</definedName>
    <definedName name="QB_COLUMN_76240" localSheetId="0" hidden="1">Budget!$I$2</definedName>
    <definedName name="QB_DATA_0" localSheetId="0" hidden="1">Budget!$6:$6,Budget!$7:$7,Budget!$13:$13,Budget!$10:$10,Budget!$11:$11,Budget!$14:$14,Budget!$15:$15,Budget!$16:$16,Budget!$17:$17,Budget!$18:$18,Budget!$19:$19,Budget!$20:$20,Budget!$24:$24,Budget!$25:$25,Budget!$26:$26,Budget!$27:$27</definedName>
    <definedName name="QB_DATA_1" localSheetId="0" hidden="1">Budget!$28:$28,Budget!$29:$29,Budget!$30:$30,Budget!$33:$33,Budget!#REF!,Budget!$36:$36,Budget!$37:$37,Budget!$38:$38,Budget!$39:$39,Budget!$40:$40,Budget!$43:$43,Budget!$47:$47,Budget!$48:$48,Budget!$49:$49,Budget!$53:$53,Budget!$54:$54</definedName>
    <definedName name="QB_DATA_2" localSheetId="0" hidden="1">Budget!$55:$55,Budget!$56:$56,Budget!$57:$57,Budget!$58:$58,Budget!$61:$61,Budget!#REF!,Budget!$64:$64,Budget!$65:$65,Budget!$66:$66,Budget!$67:$67,Budget!$68:$68,Budget!$69:$69,Budget!$70:$70,Budget!$71:$71,Budget!$72:$72,Budget!$73:$73</definedName>
    <definedName name="QB_DATA_3" localSheetId="0" hidden="1">Budget!$74:$74,Budget!$75:$75,Budget!$79:$79,Budget!$80:$80,Budget!$81:$81,Budget!#REF!,Budget!$83:$83,Budget!$84:$84,Budget!$85:$85,Budget!$86:$86,Budget!$87:$87,Budget!$88:$88,Budget!$91:$91,Budget!$92:$92,Budget!$93:$93,Budget!$94:$94</definedName>
    <definedName name="QB_DATA_4" localSheetId="0" hidden="1">Budget!$95:$95,Budget!$96:$96,Budget!$97:$97,Budget!$98:$98,Budget!#REF!,Budget!$101:$101,Budget!$102:$102,Budget!$103:$103,Budget!$106:$106,Budget!$107:$107,Budget!$110:$110,Budget!$111:$111,Budget!$112:$112,Budget!$113:$113,Budget!#REF!,Budget!#REF!</definedName>
    <definedName name="QB_DATA_5" localSheetId="0" hidden="1">Budget!$116:$116</definedName>
    <definedName name="QB_FORMULA_0" localSheetId="0" hidden="1">Budget!$G$8,Budget!#REF!,Budget!$K$8,Budget!#REF!,Budget!$I$8,Budget!$G$21,Budget!#REF!,Budget!$K$21,Budget!#REF!,Budget!$I$21,Budget!$G$31,Budget!#REF!,Budget!$K$31,Budget!#REF!,Budget!$I$31,Budget!$G$34</definedName>
    <definedName name="QB_FORMULA_1" localSheetId="0" hidden="1">Budget!#REF!,Budget!$K$34,Budget!#REF!,Budget!$I$34,Budget!$G$41,Budget!#REF!,Budget!$K$41,Budget!#REF!,Budget!$I$41,Budget!$G$44,Budget!#REF!,Budget!$K$44,Budget!#REF!,Budget!$I$44,Budget!$G$50,Budget!#REF!</definedName>
    <definedName name="QB_FORMULA_2" localSheetId="0" hidden="1">Budget!$K$50,Budget!#REF!,Budget!$I$50,Budget!$G$59,Budget!#REF!,Budget!$K$59,Budget!#REF!,Budget!$I$59,Budget!$G$62,Budget!#REF!,Budget!$K$62,Budget!#REF!,Budget!$I$62,Budget!$G$76,Budget!#REF!,Budget!$K$76</definedName>
    <definedName name="QB_FORMULA_3" localSheetId="0" hidden="1">Budget!#REF!,Budget!$I$76,Budget!$G$82,Budget!#REF!,Budget!$K$82,Budget!#REF!,Budget!$I$82,Budget!$G$89,Budget!#REF!,Budget!$K$89,Budget!#REF!,Budget!$I$89,Budget!$G$99,Budget!#REF!,Budget!$K$99,Budget!#REF!</definedName>
    <definedName name="QB_FORMULA_4" localSheetId="0" hidden="1">Budget!$I$99,Budget!$G$104,Budget!#REF!,Budget!$K$104,Budget!#REF!,Budget!$I$104,Budget!$G$108,Budget!$K$108,Budget!#REF!,Budget!$I$108,Budget!$G$114,Budget!#REF!,Budget!$K$114,Budget!#REF!,Budget!$I$114,Budget!$G$117</definedName>
    <definedName name="QB_FORMULA_5" localSheetId="0" hidden="1">Budget!#REF!,Budget!$K$117,Budget!#REF!,Budget!$I$117,Budget!$G$123,Budget!#REF!,Budget!$K$123,Budget!#REF!,Budget!$I$123,Budget!#REF!,Budget!#REF!,Budget!#REF!,Budget!#REF!,Budget!#REF!,Budget!$G$124,Budget!#REF!</definedName>
    <definedName name="QB_FORMULA_6" localSheetId="0" hidden="1">Budget!$K$124,Budget!#REF!,Budget!$I$124</definedName>
    <definedName name="QB_ROW_104240" localSheetId="0" hidden="1">Budget!$E$73</definedName>
    <definedName name="QB_ROW_108240" localSheetId="0" hidden="1">Budget!$E$84</definedName>
    <definedName name="QB_ROW_110240" localSheetId="0" hidden="1">Budget!$E$88</definedName>
    <definedName name="QB_ROW_11030" localSheetId="0" hidden="1">Budget!$D$35</definedName>
    <definedName name="QB_ROW_113030" localSheetId="0" hidden="1">Budget!$D$105</definedName>
    <definedName name="QB_ROW_11330" localSheetId="0" hidden="1">Budget!$D$41</definedName>
    <definedName name="QB_ROW_113330" localSheetId="0" hidden="1">Budget!$D$108</definedName>
    <definedName name="QB_ROW_115240" localSheetId="0" hidden="1">Budget!$E$58</definedName>
    <definedName name="QB_ROW_12030" localSheetId="0" hidden="1">Budget!$D$51</definedName>
    <definedName name="QB_ROW_122240" localSheetId="0" hidden="1">Budget!$E$27</definedName>
    <definedName name="QB_ROW_12330" localSheetId="0" hidden="1">Budget!$D$59</definedName>
    <definedName name="QB_ROW_130240" localSheetId="0" hidden="1">Budget!$E$56</definedName>
    <definedName name="QB_ROW_132240" localSheetId="0" hidden="1">Budget!$E$43</definedName>
    <definedName name="QB_ROW_13240" localSheetId="0" hidden="1">Budget!$E$36</definedName>
    <definedName name="QB_ROW_135240" localSheetId="0" hidden="1">Budget!$E$74</definedName>
    <definedName name="QB_ROW_137240" localSheetId="0" hidden="1">Budget!$E$112</definedName>
    <definedName name="QB_ROW_14030" localSheetId="0" hidden="1">Budget!$D$100</definedName>
    <definedName name="QB_ROW_141230" localSheetId="0" hidden="1">Budget!$D$19</definedName>
    <definedName name="QB_ROW_14330" localSheetId="0" hidden="1">Budget!$D$104</definedName>
    <definedName name="QB_ROW_148240" localSheetId="0" hidden="1">Budget!#REF!</definedName>
    <definedName name="QB_ROW_150240" localSheetId="0" hidden="1">Budget!$E$28</definedName>
    <definedName name="QB_ROW_18301" localSheetId="0" hidden="1">Budget!$A$124</definedName>
    <definedName name="QB_ROW_183240" localSheetId="0" hidden="1">Budget!$E$30</definedName>
    <definedName name="QB_ROW_187240" localSheetId="0" hidden="1">Budget!$E$107</definedName>
    <definedName name="QB_ROW_19011" localSheetId="0" hidden="1">Budget!$B$3</definedName>
    <definedName name="QB_ROW_19311" localSheetId="0" hidden="1">Budget!#REF!</definedName>
    <definedName name="QB_ROW_20021" localSheetId="0" hidden="1">Budget!$C$4</definedName>
    <definedName name="QB_ROW_200240" localSheetId="0" hidden="1">Budget!$E$75</definedName>
    <definedName name="QB_ROW_202240" localSheetId="0" hidden="1">Budget!$E$65</definedName>
    <definedName name="QB_ROW_20240" localSheetId="0" hidden="1">Budget!$E$29</definedName>
    <definedName name="QB_ROW_20321" localSheetId="0" hidden="1">Budget!$C$21</definedName>
    <definedName name="QB_ROW_21021" localSheetId="0" hidden="1">Budget!$C$22</definedName>
    <definedName name="QB_ROW_21240" localSheetId="0" hidden="1">Budget!$E$103</definedName>
    <definedName name="QB_ROW_21321" localSheetId="0" hidden="1">Budget!$C$123</definedName>
    <definedName name="QB_ROW_214230" localSheetId="0" hidden="1">Budget!$D$20</definedName>
    <definedName name="QB_ROW_22240" localSheetId="0" hidden="1">Budget!$E$37</definedName>
    <definedName name="QB_ROW_232230" localSheetId="0" hidden="1">Budget!$D$16</definedName>
    <definedName name="QB_ROW_24240" localSheetId="0" hidden="1">Budget!$E$91</definedName>
    <definedName name="QB_ROW_248030" localSheetId="0" hidden="1">Budget!$D$45</definedName>
    <definedName name="QB_ROW_248330" localSheetId="0" hidden="1">Budget!$D$50</definedName>
    <definedName name="QB_ROW_250240" localSheetId="0" hidden="1">Budget!$E$47</definedName>
    <definedName name="QB_ROW_252240" localSheetId="0" hidden="1">Budget!$E$48</definedName>
    <definedName name="QB_ROW_253030" localSheetId="0" hidden="1">Budget!$D$60</definedName>
    <definedName name="QB_ROW_253330" localSheetId="0" hidden="1">Budget!$D$62</definedName>
    <definedName name="QB_ROW_254240" localSheetId="0" hidden="1">Budget!$E$61</definedName>
    <definedName name="QB_ROW_255240" localSheetId="0" hidden="1">Budget!#REF!</definedName>
    <definedName name="QB_ROW_257240" localSheetId="0" hidden="1">Budget!$E$68</definedName>
    <definedName name="QB_ROW_258230" localSheetId="0" hidden="1">Budget!#REF!</definedName>
    <definedName name="QB_ROW_262240" localSheetId="0" hidden="1">Budget!$E$113</definedName>
    <definedName name="QB_ROW_26240" localSheetId="0" hidden="1">Budget!$E$66</definedName>
    <definedName name="QB_ROW_263240" localSheetId="0" hidden="1">Budget!$E$49</definedName>
    <definedName name="QB_ROW_264030" localSheetId="0" hidden="1">Budget!$D$115</definedName>
    <definedName name="QB_ROW_264330" localSheetId="0" hidden="1">Budget!$D$117</definedName>
    <definedName name="QB_ROW_266240" localSheetId="0" hidden="1">Budget!$E$116</definedName>
    <definedName name="QB_ROW_270230" localSheetId="0" hidden="1">Budget!$D$11</definedName>
    <definedName name="QB_ROW_27240" localSheetId="0" hidden="1">Budget!$E$70</definedName>
    <definedName name="QB_ROW_277230" localSheetId="0" hidden="1">Budget!$D$10</definedName>
    <definedName name="QB_ROW_28240" localSheetId="0" hidden="1">Budget!$E$102</definedName>
    <definedName name="QB_ROW_292230" localSheetId="0" hidden="1">Budget!$D$14</definedName>
    <definedName name="QB_ROW_307240" localSheetId="0" hidden="1">Budget!$E$67</definedName>
    <definedName name="QB_ROW_312040" localSheetId="0" hidden="1">Budget!$E$78</definedName>
    <definedName name="QB_ROW_312340" localSheetId="0" hidden="1">Budget!$E$82</definedName>
    <definedName name="QB_ROW_31240" localSheetId="0" hidden="1">Budget!$E$53</definedName>
    <definedName name="QB_ROW_313250" localSheetId="0" hidden="1">Budget!$F$79</definedName>
    <definedName name="QB_ROW_314250" localSheetId="0" hidden="1">Budget!$F$80</definedName>
    <definedName name="QB_ROW_315250" localSheetId="0" hidden="1">Budget!$F$81</definedName>
    <definedName name="QB_ROW_316240" localSheetId="0" hidden="1">Budget!$E$98</definedName>
    <definedName name="QB_ROW_320240" localSheetId="0" hidden="1">Budget!$E$87</definedName>
    <definedName name="QB_ROW_321230" localSheetId="0" hidden="1">Budget!$D$17</definedName>
    <definedName name="QB_ROW_322240" localSheetId="0" hidden="1">Budget!#REF!</definedName>
    <definedName name="QB_ROW_32240" localSheetId="0" hidden="1">Budget!$E$92</definedName>
    <definedName name="QB_ROW_323240" localSheetId="0" hidden="1">Budget!$E$57</definedName>
    <definedName name="QB_ROW_34240" localSheetId="0" hidden="1">Budget!$E$24</definedName>
    <definedName name="QB_ROW_35240" localSheetId="0" hidden="1">Budget!$E$33</definedName>
    <definedName name="QB_ROW_36240" localSheetId="0" hidden="1">Budget!$E$64</definedName>
    <definedName name="QB_ROW_38240" localSheetId="0" hidden="1">Budget!$E$25</definedName>
    <definedName name="QB_ROW_43240" localSheetId="0" hidden="1">Budget!$E$39</definedName>
    <definedName name="QB_ROW_44240" localSheetId="0" hidden="1">Budget!$E$26</definedName>
    <definedName name="QB_ROW_46240" localSheetId="0" hidden="1">Budget!$E$110</definedName>
    <definedName name="QB_ROW_47240" localSheetId="0" hidden="1">Budget!$E$97</definedName>
    <definedName name="QB_ROW_49240" localSheetId="0" hidden="1">Budget!$E$94</definedName>
    <definedName name="QB_ROW_50240" localSheetId="0" hidden="1">Budget!$E$93</definedName>
    <definedName name="QB_ROW_51340" localSheetId="0" hidden="1">Budget!$E$96</definedName>
    <definedName name="QB_ROW_52240" localSheetId="0" hidden="1">Budget!$E$95</definedName>
    <definedName name="QB_ROW_53230" localSheetId="0" hidden="1">Budget!$D$18</definedName>
    <definedName name="QB_ROW_60330" localSheetId="0" hidden="1">Budget!$D$15</definedName>
    <definedName name="QB_ROW_61030" localSheetId="0" hidden="1">Budget!$D$5</definedName>
    <definedName name="QB_ROW_61330" localSheetId="0" hidden="1">Budget!$D$8</definedName>
    <definedName name="QB_ROW_64030" localSheetId="0" hidden="1">Budget!$D$23</definedName>
    <definedName name="QB_ROW_64330" localSheetId="0" hidden="1">Budget!$D$31</definedName>
    <definedName name="QB_ROW_65230" localSheetId="0" hidden="1">Budget!$D$13</definedName>
    <definedName name="QB_ROW_69240" localSheetId="0" hidden="1">Budget!$E$106</definedName>
    <definedName name="QB_ROW_70030" localSheetId="0" hidden="1">Budget!$D$77</definedName>
    <definedName name="QB_ROW_70330" localSheetId="0" hidden="1">Budget!$D$89</definedName>
    <definedName name="QB_ROW_71240" localSheetId="0" hidden="1">Budget!$E$40</definedName>
    <definedName name="QB_ROW_72240" localSheetId="0" hidden="1">Budget!$E$101</definedName>
    <definedName name="QB_ROW_79240" localSheetId="0" hidden="1">Budget!$E$54</definedName>
    <definedName name="QB_ROW_80030" localSheetId="0" hidden="1">Budget!$D$90</definedName>
    <definedName name="QB_ROW_80330" localSheetId="0" hidden="1">Budget!$D$99</definedName>
    <definedName name="QB_ROW_81030" localSheetId="0" hidden="1">Budget!$D$63</definedName>
    <definedName name="QB_ROW_81330" localSheetId="0" hidden="1">Budget!$D$76</definedName>
    <definedName name="QB_ROW_82030" localSheetId="0" hidden="1">Budget!$D$109</definedName>
    <definedName name="QB_ROW_82240" localSheetId="0" hidden="1">Budget!#REF!</definedName>
    <definedName name="QB_ROW_82330" localSheetId="0" hidden="1">Budget!$D$114</definedName>
    <definedName name="QB_ROW_84240" localSheetId="0" hidden="1">Budget!$E$83</definedName>
    <definedName name="QB_ROW_85030" localSheetId="0" hidden="1">Budget!$D$42</definedName>
    <definedName name="QB_ROW_85330" localSheetId="0" hidden="1">Budget!$D$44</definedName>
    <definedName name="QB_ROW_86240" localSheetId="0" hidden="1">Budget!$E$6</definedName>
    <definedName name="QB_ROW_87240" localSheetId="0" hidden="1">Budget!$E$7</definedName>
    <definedName name="QB_ROW_88240" localSheetId="0" hidden="1">Budget!$E$85</definedName>
    <definedName name="QB_ROW_89240" localSheetId="0" hidden="1">Budget!$E$86</definedName>
    <definedName name="QB_ROW_9030" localSheetId="0" hidden="1">Budget!$D$32</definedName>
    <definedName name="QB_ROW_92240" localSheetId="0" hidden="1">Budget!#REF!</definedName>
    <definedName name="QB_ROW_93240" localSheetId="0" hidden="1">Budget!$E$38</definedName>
    <definedName name="QB_ROW_9330" localSheetId="0" hidden="1">Budget!$D$34</definedName>
    <definedName name="QB_ROW_94240" localSheetId="0" hidden="1">Budget!$E$55</definedName>
    <definedName name="QB_ROW_96240" localSheetId="0" hidden="1">Budget!$E$69</definedName>
    <definedName name="QB_ROW_97240" localSheetId="0" hidden="1">Budget!$E$71</definedName>
    <definedName name="QB_ROW_98240" localSheetId="0" hidden="1">Budget!$E$72</definedName>
    <definedName name="QB_ROW_99240" localSheetId="0" hidden="1">Budget!$E$111</definedName>
    <definedName name="QBCANSUPPORTUPDATE" localSheetId="0">TRUE</definedName>
    <definedName name="QBCOMPANYFILENAME" localSheetId="0">"Z:\Clients\Falls Creek Ranch HOA\Falls Creek Ranch 2014.QBW"</definedName>
    <definedName name="QBENDDATE" localSheetId="0">20190331</definedName>
    <definedName name="QBHEADERSONSCREEN" localSheetId="0">FALSE</definedName>
    <definedName name="QBMETADATASIZE" localSheetId="0">5892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"54e0263754ed408ea4b47d059cd9db5e"</definedName>
    <definedName name="QBREPORTCOMPARECOL_ANNUALBUDGET" localSheetId="0">TRUE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TRUE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TRUE</definedName>
    <definedName name="QBREPORTCOMPARECOL_YTDBUDGET" localSheetId="0">TRUE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273</definedName>
    <definedName name="QBROWHEADERS" localSheetId="0">6</definedName>
    <definedName name="QBSTARTDATE" localSheetId="0">20190301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5" l="1"/>
  <c r="B25" i="5"/>
  <c r="B29" i="5" s="1"/>
  <c r="B4" i="5"/>
  <c r="B9" i="5" s="1"/>
  <c r="M155" i="1"/>
  <c r="K154" i="1"/>
  <c r="K155" i="1"/>
  <c r="K122" i="1"/>
  <c r="M34" i="1"/>
  <c r="K34" i="1"/>
  <c r="I34" i="1"/>
  <c r="G34" i="1"/>
  <c r="M62" i="1"/>
  <c r="K62" i="1"/>
  <c r="I62" i="1"/>
  <c r="G62" i="1"/>
  <c r="K49" i="1"/>
  <c r="K50" i="1" s="1"/>
  <c r="M49" i="1"/>
  <c r="M48" i="1"/>
  <c r="M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K111" i="1"/>
  <c r="K114" i="1" s="1"/>
  <c r="G111" i="1"/>
  <c r="K91" i="1"/>
  <c r="K99" i="1" s="1"/>
  <c r="G12" i="1"/>
  <c r="G141" i="1" s="1"/>
  <c r="G142" i="1" s="1"/>
  <c r="I12" i="1"/>
  <c r="I141" i="1" s="1"/>
  <c r="I142" i="1" s="1"/>
  <c r="K12" i="1"/>
  <c r="K141" i="1" s="1"/>
  <c r="K142" i="1" s="1"/>
  <c r="M10" i="1"/>
  <c r="M12" i="1" s="1"/>
  <c r="M141" i="1" s="1"/>
  <c r="M142" i="1" s="1"/>
  <c r="M151" i="1" s="1"/>
  <c r="M24" i="1"/>
  <c r="M25" i="1"/>
  <c r="G118" i="1"/>
  <c r="K101" i="1"/>
  <c r="F21" i="2"/>
  <c r="K118" i="1"/>
  <c r="K149" i="1"/>
  <c r="K150" i="1" s="1"/>
  <c r="E18" i="4"/>
  <c r="E19" i="4" s="1"/>
  <c r="E20" i="4" s="1"/>
  <c r="E23" i="4" s="1"/>
  <c r="E13" i="4"/>
  <c r="P25" i="3"/>
  <c r="O25" i="3"/>
  <c r="H5" i="3"/>
  <c r="M29" i="1"/>
  <c r="M28" i="1"/>
  <c r="M26" i="1"/>
  <c r="O157" i="1"/>
  <c r="G150" i="1"/>
  <c r="B23" i="2"/>
  <c r="E22" i="2"/>
  <c r="F22" i="2" s="1"/>
  <c r="E21" i="2"/>
  <c r="B15" i="2"/>
  <c r="E14" i="2"/>
  <c r="E13" i="2"/>
  <c r="E12" i="2"/>
  <c r="E11" i="2"/>
  <c r="E10" i="2"/>
  <c r="E9" i="2"/>
  <c r="E8" i="2"/>
  <c r="E15" i="2" s="1"/>
  <c r="E23" i="2"/>
  <c r="A23" i="2" s="1"/>
  <c r="K133" i="1"/>
  <c r="K128" i="1"/>
  <c r="I132" i="1"/>
  <c r="I133" i="1" s="1"/>
  <c r="I128" i="1"/>
  <c r="G157" i="1"/>
  <c r="M150" i="1"/>
  <c r="I150" i="1"/>
  <c r="M133" i="1"/>
  <c r="M128" i="1"/>
  <c r="I157" i="1"/>
  <c r="K103" i="1"/>
  <c r="K102" i="1"/>
  <c r="M117" i="1"/>
  <c r="M114" i="1"/>
  <c r="M108" i="1"/>
  <c r="M104" i="1"/>
  <c r="M99" i="1"/>
  <c r="M82" i="1"/>
  <c r="M89" i="1" s="1"/>
  <c r="M76" i="1"/>
  <c r="M59" i="1"/>
  <c r="M44" i="1"/>
  <c r="M41" i="1"/>
  <c r="M8" i="1"/>
  <c r="G117" i="1"/>
  <c r="G114" i="1"/>
  <c r="G108" i="1"/>
  <c r="G104" i="1"/>
  <c r="G99" i="1"/>
  <c r="G82" i="1"/>
  <c r="G89" i="1" s="1"/>
  <c r="G76" i="1"/>
  <c r="G59" i="1"/>
  <c r="G50" i="1"/>
  <c r="G44" i="1"/>
  <c r="G41" i="1"/>
  <c r="G31" i="1"/>
  <c r="G8" i="1"/>
  <c r="I117" i="1"/>
  <c r="K117" i="1"/>
  <c r="I114" i="1"/>
  <c r="I108" i="1"/>
  <c r="K108" i="1"/>
  <c r="I104" i="1"/>
  <c r="I99" i="1"/>
  <c r="I82" i="1"/>
  <c r="I89" i="1" s="1"/>
  <c r="K82" i="1"/>
  <c r="K89" i="1" s="1"/>
  <c r="I76" i="1"/>
  <c r="K76" i="1"/>
  <c r="I59" i="1"/>
  <c r="K59" i="1"/>
  <c r="I50" i="1"/>
  <c r="I44" i="1"/>
  <c r="K44" i="1"/>
  <c r="I41" i="1"/>
  <c r="K41" i="1"/>
  <c r="I31" i="1"/>
  <c r="K31" i="1"/>
  <c r="I8" i="1"/>
  <c r="K8" i="1"/>
  <c r="K21" i="1" s="1"/>
  <c r="A51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52" i="1"/>
  <c r="K157" i="1"/>
  <c r="I21" i="1"/>
  <c r="K134" i="1"/>
  <c r="G151" i="1"/>
  <c r="I134" i="1"/>
  <c r="M31" i="1"/>
  <c r="M123" i="1" s="1"/>
  <c r="K104" i="1"/>
  <c r="K123" i="1" s="1"/>
  <c r="K124" i="1" s="1"/>
  <c r="K136" i="1" s="1"/>
  <c r="M134" i="1"/>
  <c r="G123" i="1"/>
  <c r="M21" i="1"/>
  <c r="G21" i="1"/>
  <c r="K151" i="1"/>
  <c r="I151" i="1"/>
  <c r="I123" i="1"/>
  <c r="F23" i="2"/>
  <c r="I124" i="1" l="1"/>
  <c r="I136" i="1" s="1"/>
  <c r="G124" i="1"/>
  <c r="M124" i="1"/>
  <c r="M136" i="1" s="1"/>
  <c r="M154" i="1" s="1"/>
  <c r="M157" i="1" s="1"/>
</calcChain>
</file>

<file path=xl/sharedStrings.xml><?xml version="1.0" encoding="utf-8"?>
<sst xmlns="http://schemas.openxmlformats.org/spreadsheetml/2006/main" count="389" uniqueCount="300">
  <si>
    <t>Ordinary Income/Expense</t>
  </si>
  <si>
    <t>Income</t>
  </si>
  <si>
    <t>4000 · Assessments</t>
  </si>
  <si>
    <t>4010 · Improved Lots</t>
  </si>
  <si>
    <t>4020 · Unimproved Lots</t>
  </si>
  <si>
    <t>Total 4000 · Assessments</t>
  </si>
  <si>
    <t>4100 · Road Easements</t>
  </si>
  <si>
    <t>4225 · Water Billing Service Fee</t>
  </si>
  <si>
    <t>4250 · Water Usage Charge</t>
  </si>
  <si>
    <t>4500 · Stable Lease</t>
  </si>
  <si>
    <t>4300 · Misc. Income</t>
  </si>
  <si>
    <t>4320 · Interest Income</t>
  </si>
  <si>
    <t>4355 · Voluntary HomeownerContribution</t>
  </si>
  <si>
    <t>4400 · Late Fees</t>
  </si>
  <si>
    <t>4800 · High Meadow Fees</t>
  </si>
  <si>
    <t>4805 · Watson Property Fees</t>
  </si>
  <si>
    <t>Total Income</t>
  </si>
  <si>
    <t>Expense</t>
  </si>
  <si>
    <t>6100 · Caretaker &amp; Help</t>
  </si>
  <si>
    <t>6110 · Wages</t>
  </si>
  <si>
    <t>6120 · Payroll Taxes</t>
  </si>
  <si>
    <t>6140 · Workman's Compensation</t>
  </si>
  <si>
    <t>6150 · Travel Allowance</t>
  </si>
  <si>
    <t>6160 · Retirement expense</t>
  </si>
  <si>
    <t>6561 · Payroll Outsourcing Expenses</t>
  </si>
  <si>
    <t>6570 · Hired Help Wages</t>
  </si>
  <si>
    <t>Total 6100 · Caretaker &amp; Help</t>
  </si>
  <si>
    <t>6200 · Ranch House</t>
  </si>
  <si>
    <t>Total 6200 · Ranch House</t>
  </si>
  <si>
    <t>6300 · Equipment Shed</t>
  </si>
  <si>
    <t>6320 · Electricity</t>
  </si>
  <si>
    <t>6330 · Telephone</t>
  </si>
  <si>
    <t>6340 · Maintenance</t>
  </si>
  <si>
    <t>6360 · Small Tools &amp; Equipment</t>
  </si>
  <si>
    <t>6370 · Supplies - expendable</t>
  </si>
  <si>
    <t>Total 6300 · Equipment Shed</t>
  </si>
  <si>
    <t>6500 · Beautification Committee</t>
  </si>
  <si>
    <t>6510 · Plants and tools</t>
  </si>
  <si>
    <t>Total 6500 · Beautification Committee</t>
  </si>
  <si>
    <t>6600 · Lakeside Committee</t>
  </si>
  <si>
    <t>6620 · Furniture</t>
  </si>
  <si>
    <t>6640 · Signs &amp; Misc.</t>
  </si>
  <si>
    <t>Total 6600 · Lakeside Committee</t>
  </si>
  <si>
    <t>6700 · Roads Committee</t>
  </si>
  <si>
    <t>6710 · FCR- Gravel</t>
  </si>
  <si>
    <t>6730 · FCR- Mag Chlor</t>
  </si>
  <si>
    <t>6750 · Culverts</t>
  </si>
  <si>
    <t>6760 · Equipment Rentals</t>
  </si>
  <si>
    <t>6740 · Road Contracting</t>
  </si>
  <si>
    <t>6790 · Road Sand</t>
  </si>
  <si>
    <t>Total 6700 · Roads Committee</t>
  </si>
  <si>
    <t>6800 · Firewise Program</t>
  </si>
  <si>
    <t>6810 · Mitigation Projects</t>
  </si>
  <si>
    <t>Total 6800 · Firewise Program</t>
  </si>
  <si>
    <t>6900 · Utilities Committee</t>
  </si>
  <si>
    <t>6910 · Electricity - pumps</t>
  </si>
  <si>
    <t>6915 · Scada phone</t>
  </si>
  <si>
    <t>6920 · Water Tests</t>
  </si>
  <si>
    <t>6921 · Propane for Backup Generators</t>
  </si>
  <si>
    <t>6925 · Chemicals</t>
  </si>
  <si>
    <t>6930 · Genset Operations</t>
  </si>
  <si>
    <t>6940 · System Repairs</t>
  </si>
  <si>
    <t>6950 · System Improvements</t>
  </si>
  <si>
    <t>6960 · Consultants</t>
  </si>
  <si>
    <t>6970 · Memberships &amp; Fees</t>
  </si>
  <si>
    <t>6980 · Training</t>
  </si>
  <si>
    <t>Total 6900 · Utilities Committee</t>
  </si>
  <si>
    <t>7000 · Common Property</t>
  </si>
  <si>
    <t>7050 · Common Property - Payroll</t>
  </si>
  <si>
    <t>7051 · Wages</t>
  </si>
  <si>
    <t>7052 · Payroll Taxes</t>
  </si>
  <si>
    <t>7053 · Payroll Expenses</t>
  </si>
  <si>
    <t>Total 7050 · Common Property - Payroll</t>
  </si>
  <si>
    <t>6520 · Cleanup Day</t>
  </si>
  <si>
    <t>7010 · Beetle Control - Sevin</t>
  </si>
  <si>
    <t>7030 · Weed &amp; Pest Control</t>
  </si>
  <si>
    <t>7040 · Forest Management</t>
  </si>
  <si>
    <t>7041 · Chipper Rental</t>
  </si>
  <si>
    <t>7070 · Signs</t>
  </si>
  <si>
    <t>Total 7000 · Common Property</t>
  </si>
  <si>
    <t>7100 · Equipment Operations</t>
  </si>
  <si>
    <t>7110 · Fuels, Lubricants &amp; Filters</t>
  </si>
  <si>
    <t>7120 · Licenses and Permits</t>
  </si>
  <si>
    <t>7130 · Grader Repairs &amp; Maintenance</t>
  </si>
  <si>
    <t>7140 · Dump Truck Repairs &amp; Maintenanc</t>
  </si>
  <si>
    <t>7160 · Backhoe Repairs &amp; Maintenance</t>
  </si>
  <si>
    <t>7170 · PickUp Repairs &amp; Maintenance</t>
  </si>
  <si>
    <t>7175 · Tractor Repairs &amp; Maintenance</t>
  </si>
  <si>
    <t>7180 · Air Curtain Burner Maintenance</t>
  </si>
  <si>
    <t>Total 7100 · Equipment Operations</t>
  </si>
  <si>
    <t>7200 · Services</t>
  </si>
  <si>
    <t>7210 · Insurance</t>
  </si>
  <si>
    <t>7220 · Bookkeeping &amp; Financial Reports</t>
  </si>
  <si>
    <t>7230 · Dumpsters</t>
  </si>
  <si>
    <t>Total 7200 · Services</t>
  </si>
  <si>
    <t>7300 · Activities</t>
  </si>
  <si>
    <t>7310 · Annual Meeting</t>
  </si>
  <si>
    <t>7330 · Special Events</t>
  </si>
  <si>
    <t>Total 7300 · Activities</t>
  </si>
  <si>
    <t>7400 · Board Operations</t>
  </si>
  <si>
    <t>7410 · Professional Services</t>
  </si>
  <si>
    <t>7420 · Administrative</t>
  </si>
  <si>
    <t>7430 · Discretionary Payments-Bonus</t>
  </si>
  <si>
    <t>7445 · AED Renewal Fees</t>
  </si>
  <si>
    <t>Total 7400 · Board Operations</t>
  </si>
  <si>
    <t>7900 · Dam Committee</t>
  </si>
  <si>
    <t>7915 · Dam Maintenance</t>
  </si>
  <si>
    <t>Total 7900 · Dam Committee</t>
  </si>
  <si>
    <t>Total Expense</t>
  </si>
  <si>
    <t>FY 2019 Forecast</t>
  </si>
  <si>
    <t>FY 2019 Budget</t>
  </si>
  <si>
    <t>FY 2020 Budget</t>
  </si>
  <si>
    <t>HOA dues allocated to Capital Reserve</t>
  </si>
  <si>
    <t>Operating Fund - Financing</t>
  </si>
  <si>
    <t>Total Financing Cash In</t>
  </si>
  <si>
    <t>Spillway Note Repayments</t>
  </si>
  <si>
    <t>Easement Note Repayments</t>
  </si>
  <si>
    <t>Interest Payments</t>
  </si>
  <si>
    <t>Total Financing Cash Out</t>
  </si>
  <si>
    <t>Net Cash Flow - Financing</t>
  </si>
  <si>
    <t>Total Net Cash Flow - Operating Fund</t>
  </si>
  <si>
    <t>Capital Reserve</t>
  </si>
  <si>
    <t xml:space="preserve">$40,000 of HOA dues </t>
  </si>
  <si>
    <t>Total Capital Reserve Cash In</t>
  </si>
  <si>
    <t>Capital Expenditures</t>
  </si>
  <si>
    <t>Meter Reader replacement</t>
  </si>
  <si>
    <t>Total Capital Reserve Cash Out</t>
  </si>
  <si>
    <t>Net Cash Flow - Capital Reserve Budget</t>
  </si>
  <si>
    <t>Cash - Bank of the San Juans</t>
  </si>
  <si>
    <t>Operating Fund</t>
  </si>
  <si>
    <t>Capital Reserve Fund</t>
  </si>
  <si>
    <t>Grant Fund</t>
  </si>
  <si>
    <t>Total Cash Balances</t>
  </si>
  <si>
    <t>Beginning of FY19</t>
  </si>
  <si>
    <t>Budget End of FY19</t>
  </si>
  <si>
    <t>Forecast End of FY19</t>
  </si>
  <si>
    <t>Budget End of FY2020</t>
  </si>
  <si>
    <t>Falls Creek Ranch Easement Notes</t>
  </si>
  <si>
    <t>Oct 2018 (Easements purchased in Dec 2017 and Jan 2018)</t>
  </si>
  <si>
    <t>Issue Date</t>
  </si>
  <si>
    <t>2 yr maturity date</t>
  </si>
  <si>
    <t>3 yr maturity date</t>
  </si>
  <si>
    <t>Resident</t>
  </si>
  <si>
    <t>Amount</t>
  </si>
  <si>
    <t>Term</t>
  </si>
  <si>
    <t>Rate p.a.</t>
  </si>
  <si>
    <t>Annual Interest</t>
  </si>
  <si>
    <t>Alan Fleisch</t>
  </si>
  <si>
    <t>2 yrs</t>
  </si>
  <si>
    <t>Steve Shedd</t>
  </si>
  <si>
    <t>Doug Parmentier</t>
  </si>
  <si>
    <t>Monty Davis</t>
  </si>
  <si>
    <t>Susan Mortan</t>
  </si>
  <si>
    <t>3 yrs</t>
  </si>
  <si>
    <t>Jim Fritz</t>
  </si>
  <si>
    <t>Mark Walsh</t>
  </si>
  <si>
    <t>Total</t>
  </si>
  <si>
    <t>Steve Allen</t>
  </si>
  <si>
    <t>John Ritchey</t>
  </si>
  <si>
    <t>Culverts</t>
  </si>
  <si>
    <t>6990 · Utilities  Misc</t>
  </si>
  <si>
    <t>Bank of the San Juans</t>
  </si>
  <si>
    <t>Account Designator</t>
  </si>
  <si>
    <t>Posted Date</t>
  </si>
  <si>
    <t>Serial Number</t>
  </si>
  <si>
    <t>Description</t>
  </si>
  <si>
    <t>Payments</t>
  </si>
  <si>
    <t>Deposits</t>
  </si>
  <si>
    <t>CR/DR</t>
  </si>
  <si>
    <t xml:space="preserve">Operating Acct      </t>
  </si>
  <si>
    <t>FALLS CREEK RANC  IMPOUND CCD 061121020136553</t>
  </si>
  <si>
    <t>DR</t>
  </si>
  <si>
    <t>FALLS CREEK RANC  IMPOUND CCD 061121020136552</t>
  </si>
  <si>
    <t>CHECK               1671 Payee: ELBERT REDFORD</t>
  </si>
  <si>
    <t>CHECK               1672 Payee: TAK TECHNOLOGY</t>
  </si>
  <si>
    <t>CHECK               1673 Payee: ELLIOTT, MEADOWS &amp; ASSOCIATES LLC</t>
  </si>
  <si>
    <t>CENTURYLINK       AUTO PAY CCD     14318490035 021000021227206</t>
  </si>
  <si>
    <t>WASTE MANAGEMENT  INTERNET 043305134759677 WEB</t>
  </si>
  <si>
    <t>DDA Regular Deposit</t>
  </si>
  <si>
    <t xml:space="preserve"> </t>
  </si>
  <si>
    <t>CR</t>
  </si>
  <si>
    <t>LA PLATA ELECTRI  LPEA PMTS 107002448280357 WEB</t>
  </si>
  <si>
    <t>Bill Paid-ZIONS BANK CREDIT CA RDS Conf #819</t>
  </si>
  <si>
    <t>LA PLATA COUNTY   CHECKPAYMT CHECK # 01336</t>
  </si>
  <si>
    <t>VERIZON WIRELESS  PAYMENTS CCD     046550631500001 021000022420021</t>
  </si>
  <si>
    <t>CHECK               1337</t>
  </si>
  <si>
    <t>CHECK               1670 Payee: SUMMIT SUPPLY CORP</t>
  </si>
  <si>
    <t>CHECK               1338</t>
  </si>
  <si>
    <t>CHECK               1675 Payee: WRIGHT WATER ENGINEERS, INC</t>
  </si>
  <si>
    <t>Bill Paid-KROEGERS HARDWARE Co nf #826</t>
  </si>
  <si>
    <t>CHECK               1674 Payee: FOUR CORNERS WELDING &amp; GAS SUPPLY</t>
  </si>
  <si>
    <t>FALLS CREEK RANC  Payroll</t>
  </si>
  <si>
    <t>Totals</t>
  </si>
  <si>
    <t>April water usage</t>
  </si>
  <si>
    <t>SUMMIT  Supply</t>
  </si>
  <si>
    <t>Capital Reserve Account</t>
  </si>
  <si>
    <t>McCarty</t>
  </si>
  <si>
    <t>Water crossings</t>
  </si>
  <si>
    <t>FY 2019</t>
  </si>
  <si>
    <t>FY 2018</t>
  </si>
  <si>
    <t>July</t>
  </si>
  <si>
    <t>Aug</t>
  </si>
  <si>
    <t>Fire repair</t>
  </si>
  <si>
    <t>Sept</t>
  </si>
  <si>
    <t>erosion control</t>
  </si>
  <si>
    <t>low water crossing</t>
  </si>
  <si>
    <t>December</t>
  </si>
  <si>
    <t>Meadowridge &amp; Oakcrest</t>
  </si>
  <si>
    <t>Culvert work-</t>
  </si>
  <si>
    <t>April</t>
  </si>
  <si>
    <t>Greenburg culverts</t>
  </si>
  <si>
    <t>Summit</t>
  </si>
  <si>
    <t>FCR Fire Recovery Costs</t>
  </si>
  <si>
    <t>Subtotal Road and erosion work</t>
  </si>
  <si>
    <t>Basin Coop</t>
  </si>
  <si>
    <t>straw bales</t>
  </si>
  <si>
    <t>Expense reim</t>
  </si>
  <si>
    <t>Seeds, straw logs, stakes</t>
  </si>
  <si>
    <t>Plants, signs, flow meter</t>
  </si>
  <si>
    <t>FY 2019 Total</t>
  </si>
  <si>
    <t>2-year total</t>
  </si>
  <si>
    <t>Subtotal Other</t>
  </si>
  <si>
    <t>Receipts</t>
  </si>
  <si>
    <t>Contributions from residents &amp; neighbors (In FY 2019)</t>
  </si>
  <si>
    <t>Net 2-yr cost</t>
  </si>
  <si>
    <t>August</t>
  </si>
  <si>
    <t>Water Task Force - well drilling</t>
  </si>
  <si>
    <t>Water - tank exterior paint</t>
  </si>
  <si>
    <t xml:space="preserve">  (Oct 2021 $20k)</t>
  </si>
  <si>
    <t>Apr 2019</t>
  </si>
  <si>
    <t>chk 1339</t>
  </si>
  <si>
    <t>Billpay</t>
  </si>
  <si>
    <t>Paid</t>
  </si>
  <si>
    <t>Spillway Notes - Principal &amp; Interest due May 31, 2019 - Final payments</t>
  </si>
  <si>
    <t>5 yrs</t>
  </si>
  <si>
    <t>Aug '18 - Apr 19</t>
  </si>
  <si>
    <t>$3,000 improved lot</t>
  </si>
  <si>
    <t>3%  - US median increase 2019</t>
  </si>
  <si>
    <t>FY20 Estimate</t>
  </si>
  <si>
    <t>Water fees Allocated to Capital Reserve</t>
  </si>
  <si>
    <t>For community events</t>
  </si>
  <si>
    <t>Legal including for water task force</t>
  </si>
  <si>
    <t>7215 Contractor services - 0</t>
  </si>
  <si>
    <t>Income - Notes or other sources</t>
  </si>
  <si>
    <t>Total Net Ordinary Income</t>
  </si>
  <si>
    <t>Financing Expenditures</t>
  </si>
  <si>
    <t xml:space="preserve">Set aside half of Oct 2020 $30k notes </t>
  </si>
  <si>
    <t xml:space="preserve">4250 · Water Fees </t>
  </si>
  <si>
    <t>FY19 100% of water usage</t>
  </si>
  <si>
    <t>FY20 100% of usage &amp; half of base fee</t>
  </si>
  <si>
    <t>Pipeline Engineering Study</t>
  </si>
  <si>
    <t xml:space="preserve">FY19 Pipeline study deferred </t>
  </si>
  <si>
    <t>FY20 Need to evaluate financing options</t>
  </si>
  <si>
    <t>FY19 fire mitigation contributions</t>
  </si>
  <si>
    <t>Water fee allocation to capital</t>
  </si>
  <si>
    <t xml:space="preserve">FY20 Increase $25/mo &amp; allocate to capital </t>
  </si>
  <si>
    <t>Assessments: FY20 No change</t>
  </si>
  <si>
    <t>6690 · Projects</t>
  </si>
  <si>
    <t>Paddle board rack, sand, shade</t>
  </si>
  <si>
    <t>6810-20 · Mitigation &amp; Administrative</t>
  </si>
  <si>
    <t>6820 · Administrative</t>
  </si>
  <si>
    <t>Allocate to capital</t>
  </si>
  <si>
    <t>6230-40 · Maintenance &amp; Improvements</t>
  </si>
  <si>
    <t>Added flood insurance after 416 fire</t>
  </si>
  <si>
    <t>WM costs keep going up</t>
  </si>
  <si>
    <t>Fire Hydrant replacement</t>
  </si>
  <si>
    <t>FY 20 Financing for well drilling TBD</t>
  </si>
  <si>
    <t>FY19 Easement Notes</t>
  </si>
  <si>
    <t>Available for operating funds as needed</t>
  </si>
  <si>
    <t>Includes $15k note set-aside</t>
  </si>
  <si>
    <t>FY19 Excludes $8k culverts (see capital)</t>
  </si>
  <si>
    <t>Fish; dam annual filing; dam inspection</t>
  </si>
  <si>
    <t>Increase is for upper main &amp; side roads</t>
  </si>
  <si>
    <t>FY2019</t>
  </si>
  <si>
    <t>1</t>
  </si>
  <si>
    <t>Fire mitigation</t>
  </si>
  <si>
    <t>Water Task Force</t>
  </si>
  <si>
    <t>CAPITAL Replacement</t>
  </si>
  <si>
    <t>Wright Water Engineers</t>
  </si>
  <si>
    <t>Southwest Hydrologic</t>
  </si>
  <si>
    <t>Operating costs of significance</t>
  </si>
  <si>
    <t>Scada system replacement batteries and repair - Timber Line Electric</t>
  </si>
  <si>
    <t>Contract snow removal - Z Excavation</t>
  </si>
  <si>
    <t>Culverts - Summit Supply</t>
  </si>
  <si>
    <t>Speed humps - reim E Kileen</t>
  </si>
  <si>
    <t>Road Gravel - Bonds Constr</t>
  </si>
  <si>
    <t>Replace lake fish with grass carp and trout - Rainbow springs</t>
  </si>
  <si>
    <t>Truck Sander - Durango Truck Accessories</t>
  </si>
  <si>
    <t>Well #1 pump replacement - Brooks Well Service</t>
  </si>
  <si>
    <t>$2,900 unimproved lot</t>
  </si>
  <si>
    <t>7090-Fire Recovery</t>
  </si>
  <si>
    <t>7095-Wages</t>
  </si>
  <si>
    <t>7096-Mud, Muck &amp; Mire</t>
  </si>
  <si>
    <t>Total 7090-Fire Recovery</t>
  </si>
  <si>
    <t>6705-Wages</t>
  </si>
  <si>
    <t>Maybe belong under 6800 -Firewise Program?</t>
  </si>
  <si>
    <t>7190-Water Task Force</t>
  </si>
  <si>
    <t>Create this line item</t>
  </si>
  <si>
    <t>6610-Wages</t>
  </si>
  <si>
    <t>Falls Creek Ranch Association                                          Budget FY2020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</si>
</sst>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51515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43" fontId="0" fillId="0" borderId="0" xfId="1" applyFont="1"/>
    <xf numFmtId="165" fontId="0" fillId="0" borderId="0" xfId="0" applyNumberFormat="1"/>
    <xf numFmtId="15" fontId="0" fillId="0" borderId="0" xfId="0" applyNumberFormat="1"/>
    <xf numFmtId="0" fontId="2" fillId="0" borderId="6" xfId="0" applyFont="1" applyBorder="1"/>
    <xf numFmtId="44" fontId="0" fillId="0" borderId="0" xfId="2" applyFont="1"/>
    <xf numFmtId="10" fontId="0" fillId="0" borderId="0" xfId="3" applyNumberFormat="1" applyFont="1"/>
    <xf numFmtId="0" fontId="2" fillId="0" borderId="7" xfId="0" applyFont="1" applyBorder="1"/>
    <xf numFmtId="44" fontId="2" fillId="0" borderId="8" xfId="2" applyFont="1" applyBorder="1"/>
    <xf numFmtId="0" fontId="2" fillId="0" borderId="8" xfId="0" applyFont="1" applyBorder="1"/>
    <xf numFmtId="9" fontId="2" fillId="0" borderId="9" xfId="3" applyFont="1" applyBorder="1"/>
    <xf numFmtId="9" fontId="0" fillId="0" borderId="0" xfId="3" applyFont="1"/>
    <xf numFmtId="44" fontId="2" fillId="0" borderId="6" xfId="0" applyNumberFormat="1" applyFont="1" applyBorder="1"/>
    <xf numFmtId="43" fontId="2" fillId="0" borderId="6" xfId="1" applyFont="1" applyBorder="1"/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right" vertical="center" inden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 indent="1"/>
    </xf>
    <xf numFmtId="4" fontId="3" fillId="0" borderId="0" xfId="0" applyNumberFormat="1" applyFont="1" applyFill="1" applyAlignment="1">
      <alignment horizontal="right" vertical="center" indent="1"/>
    </xf>
    <xf numFmtId="0" fontId="0" fillId="0" borderId="0" xfId="0" applyFill="1"/>
    <xf numFmtId="4" fontId="4" fillId="0" borderId="0" xfId="0" applyNumberFormat="1" applyFont="1" applyFill="1" applyAlignment="1">
      <alignment horizontal="right" vertical="center" indent="1"/>
    </xf>
    <xf numFmtId="0" fontId="5" fillId="0" borderId="0" xfId="4" applyFill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2" fillId="0" borderId="10" xfId="0" applyFont="1" applyBorder="1"/>
    <xf numFmtId="43" fontId="2" fillId="0" borderId="9" xfId="1" applyFont="1" applyBorder="1"/>
    <xf numFmtId="0" fontId="2" fillId="3" borderId="0" xfId="0" applyFont="1" applyFill="1"/>
    <xf numFmtId="0" fontId="0" fillId="3" borderId="0" xfId="0" applyFill="1"/>
    <xf numFmtId="43" fontId="0" fillId="3" borderId="0" xfId="1" applyFont="1" applyFill="1"/>
    <xf numFmtId="0" fontId="0" fillId="0" borderId="11" xfId="0" applyBorder="1"/>
    <xf numFmtId="0" fontId="0" fillId="0" borderId="12" xfId="0" applyBorder="1"/>
    <xf numFmtId="43" fontId="0" fillId="0" borderId="13" xfId="1" applyFont="1" applyBorder="1"/>
    <xf numFmtId="0" fontId="0" fillId="0" borderId="14" xfId="0" applyBorder="1"/>
    <xf numFmtId="0" fontId="0" fillId="0" borderId="0" xfId="0" applyBorder="1"/>
    <xf numFmtId="43" fontId="0" fillId="0" borderId="15" xfId="1" applyFont="1" applyBorder="1"/>
    <xf numFmtId="43" fontId="0" fillId="0" borderId="16" xfId="1" applyFont="1" applyBorder="1"/>
    <xf numFmtId="0" fontId="2" fillId="0" borderId="0" xfId="0" applyFont="1" applyBorder="1"/>
    <xf numFmtId="43" fontId="2" fillId="0" borderId="15" xfId="1" applyFont="1" applyBorder="1"/>
    <xf numFmtId="0" fontId="2" fillId="0" borderId="14" xfId="0" applyFont="1" applyBorder="1"/>
    <xf numFmtId="0" fontId="0" fillId="0" borderId="17" xfId="0" applyBorder="1"/>
    <xf numFmtId="0" fontId="0" fillId="0" borderId="10" xfId="0" applyBorder="1"/>
    <xf numFmtId="0" fontId="0" fillId="0" borderId="0" xfId="0" applyFill="1" applyBorder="1"/>
    <xf numFmtId="15" fontId="0" fillId="0" borderId="14" xfId="0" applyNumberFormat="1" applyBorder="1"/>
    <xf numFmtId="0" fontId="0" fillId="0" borderId="15" xfId="0" applyBorder="1"/>
    <xf numFmtId="0" fontId="0" fillId="0" borderId="16" xfId="0" applyBorder="1"/>
    <xf numFmtId="44" fontId="2" fillId="0" borderId="7" xfId="0" applyNumberFormat="1" applyFont="1" applyBorder="1"/>
    <xf numFmtId="0" fontId="0" fillId="0" borderId="18" xfId="0" applyBorder="1"/>
    <xf numFmtId="0" fontId="0" fillId="0" borderId="6" xfId="0" applyBorder="1"/>
    <xf numFmtId="0" fontId="2" fillId="0" borderId="6" xfId="0" applyFont="1" applyFill="1" applyBorder="1"/>
    <xf numFmtId="44" fontId="0" fillId="0" borderId="13" xfId="2" applyFont="1" applyBorder="1"/>
    <xf numFmtId="44" fontId="0" fillId="0" borderId="16" xfId="2" applyFont="1" applyBorder="1"/>
    <xf numFmtId="44" fontId="0" fillId="0" borderId="19" xfId="2" applyFont="1" applyBorder="1"/>
    <xf numFmtId="44" fontId="0" fillId="0" borderId="20" xfId="2" applyFont="1" applyBorder="1"/>
    <xf numFmtId="10" fontId="0" fillId="0" borderId="19" xfId="3" applyNumberFormat="1" applyFont="1" applyBorder="1"/>
    <xf numFmtId="10" fontId="0" fillId="0" borderId="20" xfId="3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9" xfId="0" applyFont="1" applyBorder="1"/>
    <xf numFmtId="0" fontId="6" fillId="0" borderId="18" xfId="0" applyFont="1" applyBorder="1"/>
    <xf numFmtId="0" fontId="6" fillId="0" borderId="20" xfId="0" applyFont="1" applyBorder="1"/>
    <xf numFmtId="9" fontId="6" fillId="0" borderId="0" xfId="0" applyNumberFormat="1" applyFont="1"/>
    <xf numFmtId="17" fontId="6" fillId="0" borderId="0" xfId="0" quotePrefix="1" applyNumberFormat="1" applyFont="1"/>
    <xf numFmtId="164" fontId="6" fillId="0" borderId="0" xfId="1" quotePrefix="1" applyNumberFormat="1" applyFont="1"/>
    <xf numFmtId="49" fontId="7" fillId="0" borderId="2" xfId="0" applyNumberFormat="1" applyFont="1" applyBorder="1" applyAlignment="1">
      <alignment horizontal="center" wrapText="1"/>
    </xf>
    <xf numFmtId="39" fontId="6" fillId="0" borderId="0" xfId="0" applyNumberFormat="1" applyFont="1"/>
    <xf numFmtId="39" fontId="6" fillId="0" borderId="3" xfId="0" applyNumberFormat="1" applyFont="1" applyBorder="1"/>
    <xf numFmtId="43" fontId="7" fillId="0" borderId="2" xfId="1" applyFont="1" applyBorder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49" fontId="8" fillId="0" borderId="2" xfId="0" applyNumberFormat="1" applyFont="1" applyBorder="1" applyAlignment="1">
      <alignment horizontal="center"/>
    </xf>
    <xf numFmtId="39" fontId="9" fillId="0" borderId="0" xfId="0" applyNumberFormat="1" applyFont="1"/>
    <xf numFmtId="49" fontId="9" fillId="0" borderId="0" xfId="0" applyNumberFormat="1" applyFont="1"/>
    <xf numFmtId="39" fontId="9" fillId="0" borderId="3" xfId="0" applyNumberFormat="1" applyFont="1" applyBorder="1"/>
    <xf numFmtId="39" fontId="9" fillId="0" borderId="0" xfId="0" applyNumberFormat="1" applyFont="1" applyBorder="1"/>
    <xf numFmtId="49" fontId="9" fillId="0" borderId="0" xfId="0" applyNumberFormat="1" applyFont="1" applyBorder="1"/>
    <xf numFmtId="39" fontId="9" fillId="0" borderId="4" xfId="0" applyNumberFormat="1" applyFont="1" applyBorder="1"/>
    <xf numFmtId="49" fontId="8" fillId="0" borderId="21" xfId="0" applyNumberFormat="1" applyFont="1" applyFill="1" applyBorder="1"/>
    <xf numFmtId="49" fontId="8" fillId="0" borderId="5" xfId="0" applyNumberFormat="1" applyFont="1" applyFill="1" applyBorder="1"/>
    <xf numFmtId="39" fontId="8" fillId="0" borderId="5" xfId="0" applyNumberFormat="1" applyFont="1" applyFill="1" applyBorder="1"/>
    <xf numFmtId="0" fontId="8" fillId="0" borderId="5" xfId="0" applyFont="1" applyFill="1" applyBorder="1"/>
    <xf numFmtId="39" fontId="8" fillId="0" borderId="22" xfId="0" applyNumberFormat="1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NumberFormat="1" applyFont="1"/>
    <xf numFmtId="0" fontId="8" fillId="0" borderId="0" xfId="0" applyNumberFormat="1" applyFont="1" applyAlignment="1">
      <alignment horizontal="center"/>
    </xf>
    <xf numFmtId="49" fontId="9" fillId="0" borderId="0" xfId="0" applyNumberFormat="1" applyFont="1" applyBorder="1" applyAlignment="1">
      <alignment horizontal="centerContinuous"/>
    </xf>
    <xf numFmtId="49" fontId="9" fillId="0" borderId="1" xfId="0" applyNumberFormat="1" applyFont="1" applyBorder="1" applyAlignment="1">
      <alignment horizontal="centerContinuous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9" fillId="0" borderId="0" xfId="0" applyFont="1" applyBorder="1"/>
    <xf numFmtId="0" fontId="9" fillId="0" borderId="0" xfId="0" applyNumberFormat="1" applyFont="1"/>
    <xf numFmtId="39" fontId="8" fillId="0" borderId="5" xfId="0" applyNumberFormat="1" applyFont="1" applyBorder="1"/>
    <xf numFmtId="17" fontId="9" fillId="0" borderId="0" xfId="0" applyNumberFormat="1" applyFont="1"/>
    <xf numFmtId="164" fontId="9" fillId="0" borderId="0" xfId="1" applyNumberFormat="1" applyFont="1"/>
    <xf numFmtId="39" fontId="8" fillId="0" borderId="0" xfId="0" applyNumberFormat="1" applyFont="1"/>
    <xf numFmtId="49" fontId="8" fillId="0" borderId="2" xfId="0" applyNumberFormat="1" applyFont="1" applyBorder="1" applyAlignment="1">
      <alignment horizontal="center" wrapText="1"/>
    </xf>
    <xf numFmtId="43" fontId="8" fillId="0" borderId="2" xfId="1" applyFont="1" applyBorder="1" applyAlignment="1">
      <alignment horizontal="center" wrapText="1"/>
    </xf>
    <xf numFmtId="43" fontId="9" fillId="0" borderId="0" xfId="1" applyFont="1"/>
    <xf numFmtId="0" fontId="2" fillId="0" borderId="0" xfId="0" applyFont="1"/>
    <xf numFmtId="0" fontId="0" fillId="0" borderId="0" xfId="0" quotePrefix="1"/>
    <xf numFmtId="43" fontId="0" fillId="0" borderId="0" xfId="0" applyNumberFormat="1"/>
    <xf numFmtId="164" fontId="9" fillId="4" borderId="0" xfId="1" applyNumberFormat="1" applyFont="1" applyFill="1" applyAlignment="1">
      <alignment horizontal="center"/>
    </xf>
    <xf numFmtId="49" fontId="8" fillId="4" borderId="0" xfId="0" applyNumberFormat="1" applyFont="1" applyFill="1"/>
    <xf numFmtId="0" fontId="8" fillId="4" borderId="0" xfId="0" applyFont="1" applyFill="1"/>
    <xf numFmtId="0" fontId="9" fillId="4" borderId="0" xfId="0" applyFont="1" applyFill="1"/>
    <xf numFmtId="0" fontId="6" fillId="4" borderId="0" xfId="0" applyFont="1" applyFill="1"/>
    <xf numFmtId="39" fontId="8" fillId="4" borderId="0" xfId="0" applyNumberFormat="1" applyFont="1" applyFill="1"/>
    <xf numFmtId="39" fontId="9" fillId="4" borderId="0" xfId="0" applyNumberFormat="1" applyFont="1" applyFill="1"/>
    <xf numFmtId="49" fontId="9" fillId="4" borderId="0" xfId="0" applyNumberFormat="1" applyFont="1" applyFill="1"/>
    <xf numFmtId="39" fontId="9" fillId="4" borderId="0" xfId="0" applyNumberFormat="1" applyFont="1" applyFill="1" applyBorder="1"/>
    <xf numFmtId="49" fontId="9" fillId="4" borderId="0" xfId="0" applyNumberFormat="1" applyFont="1" applyFill="1" applyBorder="1"/>
    <xf numFmtId="0" fontId="9" fillId="4" borderId="0" xfId="0" applyFont="1" applyFill="1" applyBorder="1"/>
    <xf numFmtId="164" fontId="9" fillId="4" borderId="0" xfId="0" applyNumberFormat="1" applyFont="1" applyFill="1"/>
    <xf numFmtId="0" fontId="8" fillId="4" borderId="0" xfId="0" applyNumberFormat="1" applyFont="1" applyFill="1"/>
    <xf numFmtId="39" fontId="9" fillId="4" borderId="3" xfId="0" applyNumberFormat="1" applyFont="1" applyFill="1" applyBorder="1"/>
    <xf numFmtId="49" fontId="2" fillId="0" borderId="2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123825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123825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189509</xdr:rowOff>
    </xdr:from>
    <xdr:to>
      <xdr:col>7</xdr:col>
      <xdr:colOff>981075</xdr:colOff>
      <xdr:row>16</xdr:row>
      <xdr:rowOff>37845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2009"/>
          <a:ext cx="5876925" cy="1943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58"/>
  <sheetViews>
    <sheetView tabSelected="1" zoomScale="115" zoomScaleNormal="115" workbookViewId="0">
      <pane xSplit="6" ySplit="2" topLeftCell="G109" activePane="bottomRight" state="frozenSplit"/>
      <selection pane="topRight" activeCell="G1" sqref="G1"/>
      <selection pane="bottomLeft" activeCell="A3" sqref="A3"/>
      <selection pane="bottomRight" activeCell="N2" sqref="N2"/>
    </sheetView>
  </sheetViews>
  <sheetFormatPr defaultRowHeight="12.75" x14ac:dyDescent="0.2"/>
  <cols>
    <col min="1" max="1" width="5.85546875" style="85" customWidth="1"/>
    <col min="2" max="5" width="3" style="84" customWidth="1"/>
    <col min="6" max="6" width="36.42578125" style="84" customWidth="1"/>
    <col min="7" max="7" width="18.42578125" style="93" hidden="1" customWidth="1"/>
    <col min="8" max="8" width="2.28515625" style="93" hidden="1" customWidth="1"/>
    <col min="9" max="9" width="18.140625" style="93" customWidth="1"/>
    <col min="10" max="10" width="2.28515625" style="93" customWidth="1"/>
    <col min="11" max="11" width="18.85546875" style="93" customWidth="1"/>
    <col min="12" max="12" width="2.42578125" style="88" customWidth="1"/>
    <col min="13" max="13" width="16.140625" style="93" customWidth="1"/>
    <col min="14" max="14" width="41" style="56" bestFit="1" customWidth="1"/>
    <col min="15" max="15" width="11.7109375" style="88" customWidth="1"/>
    <col min="16" max="16" width="10.5703125" style="88" bestFit="1" customWidth="1"/>
    <col min="17" max="17" width="13.7109375" style="88" customWidth="1"/>
    <col min="18" max="16384" width="9.140625" style="88"/>
  </cols>
  <sheetData>
    <row r="1" spans="1:14" ht="13.5" thickBot="1" x14ac:dyDescent="0.25">
      <c r="A1" s="68"/>
      <c r="B1" s="118" t="s">
        <v>299</v>
      </c>
      <c r="C1" s="119"/>
      <c r="D1" s="119"/>
      <c r="E1" s="119"/>
      <c r="F1" s="120"/>
      <c r="G1" s="86"/>
      <c r="H1" s="87"/>
      <c r="I1" s="86"/>
      <c r="J1" s="87"/>
      <c r="K1" s="86"/>
      <c r="M1" s="86"/>
    </row>
    <row r="2" spans="1:14" s="90" customFormat="1" ht="14.25" thickTop="1" thickBot="1" x14ac:dyDescent="0.25">
      <c r="A2" s="68"/>
      <c r="B2" s="121"/>
      <c r="C2" s="122"/>
      <c r="D2" s="122"/>
      <c r="E2" s="122"/>
      <c r="F2" s="123"/>
      <c r="G2" s="70" t="s">
        <v>235</v>
      </c>
      <c r="H2" s="89"/>
      <c r="I2" s="70" t="s">
        <v>110</v>
      </c>
      <c r="J2" s="89"/>
      <c r="K2" s="70" t="s">
        <v>109</v>
      </c>
      <c r="M2" s="70" t="s">
        <v>111</v>
      </c>
      <c r="N2" s="57"/>
    </row>
    <row r="3" spans="1:14" x14ac:dyDescent="0.2">
      <c r="A3" s="91">
        <f>A2+1</f>
        <v>1</v>
      </c>
      <c r="B3" s="69" t="s">
        <v>0</v>
      </c>
      <c r="C3" s="69"/>
      <c r="D3" s="69"/>
      <c r="E3" s="69"/>
      <c r="F3" s="69"/>
      <c r="G3" s="71"/>
      <c r="H3" s="72"/>
      <c r="I3" s="71"/>
      <c r="J3" s="72"/>
      <c r="K3" s="71"/>
      <c r="M3" s="71"/>
    </row>
    <row r="4" spans="1:14" x14ac:dyDescent="0.2">
      <c r="A4" s="91">
        <f>A3+1</f>
        <v>2</v>
      </c>
      <c r="B4" s="69"/>
      <c r="C4" s="69" t="s">
        <v>1</v>
      </c>
      <c r="D4" s="69"/>
      <c r="E4" s="69"/>
      <c r="F4" s="69"/>
      <c r="G4" s="71"/>
      <c r="H4" s="72"/>
      <c r="I4" s="71"/>
      <c r="J4" s="72"/>
      <c r="K4" s="71"/>
      <c r="M4" s="71"/>
    </row>
    <row r="5" spans="1:14" x14ac:dyDescent="0.2">
      <c r="A5" s="91">
        <f t="shared" ref="A5:A70" si="0">A4+1</f>
        <v>3</v>
      </c>
      <c r="B5" s="69"/>
      <c r="C5" s="69"/>
      <c r="D5" s="69" t="s">
        <v>2</v>
      </c>
      <c r="E5" s="69"/>
      <c r="F5" s="69"/>
      <c r="G5" s="71"/>
      <c r="H5" s="72"/>
      <c r="I5" s="71"/>
      <c r="J5" s="72"/>
      <c r="K5" s="71"/>
      <c r="M5" s="71"/>
      <c r="N5" s="58" t="s">
        <v>256</v>
      </c>
    </row>
    <row r="6" spans="1:14" x14ac:dyDescent="0.2">
      <c r="A6" s="91">
        <f t="shared" si="0"/>
        <v>4</v>
      </c>
      <c r="B6" s="69"/>
      <c r="C6" s="69"/>
      <c r="D6" s="69"/>
      <c r="E6" s="69" t="s">
        <v>3</v>
      </c>
      <c r="F6" s="69"/>
      <c r="G6" s="71">
        <v>169115.22</v>
      </c>
      <c r="H6" s="72"/>
      <c r="I6" s="71">
        <v>282000</v>
      </c>
      <c r="J6" s="72"/>
      <c r="K6" s="71">
        <v>282000</v>
      </c>
      <c r="M6" s="71">
        <v>282000</v>
      </c>
      <c r="N6" s="59" t="s">
        <v>236</v>
      </c>
    </row>
    <row r="7" spans="1:14" ht="13.5" thickBot="1" x14ac:dyDescent="0.25">
      <c r="A7" s="91">
        <f t="shared" si="0"/>
        <v>5</v>
      </c>
      <c r="B7" s="69"/>
      <c r="C7" s="69"/>
      <c r="D7" s="69"/>
      <c r="E7" s="69" t="s">
        <v>4</v>
      </c>
      <c r="F7" s="69"/>
      <c r="G7" s="73">
        <v>10434.780000000001</v>
      </c>
      <c r="H7" s="72"/>
      <c r="I7" s="73">
        <v>17400</v>
      </c>
      <c r="J7" s="72"/>
      <c r="K7" s="73">
        <v>17400</v>
      </c>
      <c r="M7" s="73">
        <v>17400</v>
      </c>
      <c r="N7" s="60" t="s">
        <v>289</v>
      </c>
    </row>
    <row r="8" spans="1:14" x14ac:dyDescent="0.2">
      <c r="A8" s="91">
        <f t="shared" si="0"/>
        <v>6</v>
      </c>
      <c r="B8" s="69"/>
      <c r="C8" s="69"/>
      <c r="D8" s="69" t="s">
        <v>5</v>
      </c>
      <c r="E8" s="69"/>
      <c r="F8" s="69"/>
      <c r="G8" s="71">
        <f>ROUND(SUM(G5:G7),5)</f>
        <v>179550</v>
      </c>
      <c r="H8" s="72"/>
      <c r="I8" s="71">
        <f>ROUND(SUM(I5:I7),5)</f>
        <v>299400</v>
      </c>
      <c r="J8" s="72"/>
      <c r="K8" s="71">
        <f>ROUND(SUM(K5:K7),5)</f>
        <v>299400</v>
      </c>
      <c r="M8" s="71">
        <f>ROUND(SUM(M5:M7),5)</f>
        <v>299400</v>
      </c>
      <c r="N8" s="56" t="s">
        <v>179</v>
      </c>
    </row>
    <row r="9" spans="1:14" x14ac:dyDescent="0.2">
      <c r="A9" s="91">
        <f t="shared" si="0"/>
        <v>7</v>
      </c>
      <c r="B9" s="69"/>
      <c r="C9" s="69"/>
      <c r="D9" s="69"/>
      <c r="E9" s="69"/>
      <c r="F9" s="69" t="s">
        <v>112</v>
      </c>
      <c r="G9" s="71"/>
      <c r="H9" s="72"/>
      <c r="I9" s="71">
        <v>-40000</v>
      </c>
      <c r="J9" s="72"/>
      <c r="K9" s="71">
        <v>-40000</v>
      </c>
      <c r="M9" s="71">
        <v>-40000</v>
      </c>
      <c r="N9" s="56" t="s">
        <v>261</v>
      </c>
    </row>
    <row r="10" spans="1:14" x14ac:dyDescent="0.2">
      <c r="A10" s="91">
        <f t="shared" si="0"/>
        <v>8</v>
      </c>
      <c r="B10" s="69"/>
      <c r="C10" s="69"/>
      <c r="D10" s="69" t="s">
        <v>7</v>
      </c>
      <c r="E10" s="69"/>
      <c r="F10" s="69"/>
      <c r="G10" s="71">
        <v>22696.37</v>
      </c>
      <c r="H10" s="72"/>
      <c r="I10" s="71">
        <v>30300</v>
      </c>
      <c r="J10" s="72"/>
      <c r="K10" s="71">
        <v>30300</v>
      </c>
      <c r="M10" s="71">
        <f>25*12*101*2</f>
        <v>60600</v>
      </c>
      <c r="N10" s="56" t="s">
        <v>255</v>
      </c>
    </row>
    <row r="11" spans="1:14" x14ac:dyDescent="0.2">
      <c r="A11" s="91">
        <f t="shared" si="0"/>
        <v>9</v>
      </c>
      <c r="B11" s="69"/>
      <c r="C11" s="69"/>
      <c r="D11" s="69" t="s">
        <v>8</v>
      </c>
      <c r="E11" s="69"/>
      <c r="F11" s="69"/>
      <c r="G11" s="74">
        <v>22847.67</v>
      </c>
      <c r="H11" s="75"/>
      <c r="I11" s="74">
        <v>22000</v>
      </c>
      <c r="J11" s="75"/>
      <c r="K11" s="74">
        <v>30000</v>
      </c>
      <c r="L11" s="92"/>
      <c r="M11" s="74">
        <v>30000</v>
      </c>
      <c r="N11" s="56" t="s">
        <v>261</v>
      </c>
    </row>
    <row r="12" spans="1:14" x14ac:dyDescent="0.2">
      <c r="A12" s="91">
        <f t="shared" si="0"/>
        <v>10</v>
      </c>
      <c r="B12" s="69"/>
      <c r="C12" s="69"/>
      <c r="D12" s="69"/>
      <c r="E12" s="69"/>
      <c r="F12" s="69" t="s">
        <v>239</v>
      </c>
      <c r="G12" s="71">
        <f>-G11</f>
        <v>-22847.67</v>
      </c>
      <c r="H12" s="72"/>
      <c r="I12" s="71">
        <f>-I11</f>
        <v>-22000</v>
      </c>
      <c r="J12" s="72"/>
      <c r="K12" s="71">
        <f>-K11</f>
        <v>-30000</v>
      </c>
      <c r="M12" s="71">
        <f>-M11-(M10/2)</f>
        <v>-60300</v>
      </c>
      <c r="N12" s="56" t="s">
        <v>254</v>
      </c>
    </row>
    <row r="13" spans="1:14" x14ac:dyDescent="0.2">
      <c r="A13" s="91">
        <f t="shared" si="0"/>
        <v>11</v>
      </c>
      <c r="B13" s="69"/>
      <c r="C13" s="69"/>
      <c r="D13" s="69" t="s">
        <v>6</v>
      </c>
      <c r="E13" s="69"/>
      <c r="F13" s="69"/>
      <c r="G13" s="71">
        <v>100</v>
      </c>
      <c r="H13" s="72"/>
      <c r="I13" s="71">
        <v>100</v>
      </c>
      <c r="J13" s="72"/>
      <c r="K13" s="71">
        <v>100</v>
      </c>
      <c r="M13" s="71">
        <v>100</v>
      </c>
    </row>
    <row r="14" spans="1:14" x14ac:dyDescent="0.2">
      <c r="A14" s="91">
        <f t="shared" si="0"/>
        <v>12</v>
      </c>
      <c r="B14" s="69"/>
      <c r="C14" s="69"/>
      <c r="D14" s="69" t="s">
        <v>9</v>
      </c>
      <c r="E14" s="69"/>
      <c r="F14" s="69"/>
      <c r="G14" s="71">
        <v>0</v>
      </c>
      <c r="H14" s="72"/>
      <c r="I14" s="71">
        <v>1</v>
      </c>
      <c r="J14" s="72"/>
      <c r="K14" s="71">
        <v>1</v>
      </c>
      <c r="M14" s="71">
        <v>1</v>
      </c>
    </row>
    <row r="15" spans="1:14" x14ac:dyDescent="0.2">
      <c r="A15" s="91">
        <f t="shared" si="0"/>
        <v>13</v>
      </c>
      <c r="B15" s="69"/>
      <c r="C15" s="69"/>
      <c r="D15" s="69" t="s">
        <v>10</v>
      </c>
      <c r="E15" s="69"/>
      <c r="F15" s="69"/>
      <c r="G15" s="71">
        <v>100</v>
      </c>
      <c r="H15" s="72"/>
      <c r="I15" s="71">
        <v>0</v>
      </c>
      <c r="J15" s="72"/>
      <c r="K15" s="71">
        <v>100</v>
      </c>
      <c r="M15" s="71">
        <v>0</v>
      </c>
    </row>
    <row r="16" spans="1:14" x14ac:dyDescent="0.2">
      <c r="A16" s="91">
        <f t="shared" si="0"/>
        <v>14</v>
      </c>
      <c r="B16" s="69"/>
      <c r="C16" s="69"/>
      <c r="D16" s="69" t="s">
        <v>11</v>
      </c>
      <c r="E16" s="69"/>
      <c r="F16" s="69"/>
      <c r="G16" s="71">
        <v>12.87</v>
      </c>
      <c r="H16" s="72"/>
      <c r="I16" s="71">
        <v>36</v>
      </c>
      <c r="J16" s="72"/>
      <c r="K16" s="71">
        <v>36</v>
      </c>
      <c r="M16" s="71">
        <v>36</v>
      </c>
    </row>
    <row r="17" spans="1:15" x14ac:dyDescent="0.2">
      <c r="A17" s="91">
        <f t="shared" si="0"/>
        <v>15</v>
      </c>
      <c r="B17" s="69"/>
      <c r="C17" s="69"/>
      <c r="D17" s="69" t="s">
        <v>12</v>
      </c>
      <c r="E17" s="69"/>
      <c r="F17" s="69"/>
      <c r="G17" s="71">
        <v>21700</v>
      </c>
      <c r="H17" s="72"/>
      <c r="I17" s="71">
        <v>0</v>
      </c>
      <c r="J17" s="72"/>
      <c r="K17" s="71">
        <v>21700</v>
      </c>
      <c r="M17" s="71">
        <v>0</v>
      </c>
      <c r="N17" s="56" t="s">
        <v>253</v>
      </c>
    </row>
    <row r="18" spans="1:15" x14ac:dyDescent="0.2">
      <c r="A18" s="91">
        <f t="shared" si="0"/>
        <v>16</v>
      </c>
      <c r="B18" s="69"/>
      <c r="C18" s="69"/>
      <c r="D18" s="69" t="s">
        <v>13</v>
      </c>
      <c r="E18" s="69"/>
      <c r="F18" s="69"/>
      <c r="G18" s="71">
        <v>136.85</v>
      </c>
      <c r="H18" s="72"/>
      <c r="I18" s="71">
        <v>0</v>
      </c>
      <c r="J18" s="72"/>
      <c r="K18" s="71">
        <v>150</v>
      </c>
      <c r="M18" s="71">
        <v>0</v>
      </c>
    </row>
    <row r="19" spans="1:15" x14ac:dyDescent="0.2">
      <c r="A19" s="91">
        <f t="shared" si="0"/>
        <v>17</v>
      </c>
      <c r="B19" s="69"/>
      <c r="C19" s="69"/>
      <c r="D19" s="69" t="s">
        <v>14</v>
      </c>
      <c r="E19" s="69"/>
      <c r="F19" s="69"/>
      <c r="G19" s="71">
        <v>2386</v>
      </c>
      <c r="H19" s="72"/>
      <c r="I19" s="71">
        <v>2021</v>
      </c>
      <c r="J19" s="72"/>
      <c r="K19" s="71">
        <v>2386</v>
      </c>
      <c r="M19" s="71">
        <v>3000</v>
      </c>
      <c r="N19" s="56" t="s">
        <v>238</v>
      </c>
    </row>
    <row r="20" spans="1:15" ht="13.5" thickBot="1" x14ac:dyDescent="0.25">
      <c r="A20" s="91">
        <f t="shared" si="0"/>
        <v>18</v>
      </c>
      <c r="B20" s="69"/>
      <c r="C20" s="69"/>
      <c r="D20" s="69" t="s">
        <v>15</v>
      </c>
      <c r="E20" s="69"/>
      <c r="F20" s="69"/>
      <c r="G20" s="73">
        <v>354</v>
      </c>
      <c r="H20" s="72"/>
      <c r="I20" s="73">
        <v>320</v>
      </c>
      <c r="J20" s="72"/>
      <c r="K20" s="73">
        <v>354</v>
      </c>
      <c r="M20" s="73">
        <v>500</v>
      </c>
      <c r="N20" s="56" t="s">
        <v>238</v>
      </c>
    </row>
    <row r="21" spans="1:15" x14ac:dyDescent="0.2">
      <c r="A21" s="91">
        <f t="shared" si="0"/>
        <v>19</v>
      </c>
      <c r="B21" s="69"/>
      <c r="C21" s="69" t="s">
        <v>16</v>
      </c>
      <c r="D21" s="69"/>
      <c r="E21" s="69"/>
      <c r="F21" s="69"/>
      <c r="G21" s="71">
        <f>ROUND(G4+SUM(G8:G20),5)</f>
        <v>227036.09</v>
      </c>
      <c r="H21" s="72"/>
      <c r="I21" s="71">
        <f>ROUND(+SUM(I8:I20),5)</f>
        <v>292178</v>
      </c>
      <c r="J21" s="72"/>
      <c r="K21" s="71">
        <f>ROUND(K4+SUM(K8:K20),5)</f>
        <v>314527</v>
      </c>
      <c r="M21" s="71">
        <f>ROUND(M4+SUM(M8:M20),5)</f>
        <v>293337</v>
      </c>
    </row>
    <row r="22" spans="1:15" x14ac:dyDescent="0.2">
      <c r="A22" s="91">
        <f t="shared" si="0"/>
        <v>20</v>
      </c>
      <c r="B22" s="69"/>
      <c r="C22" s="69" t="s">
        <v>17</v>
      </c>
      <c r="D22" s="69"/>
      <c r="E22" s="69"/>
      <c r="F22" s="69"/>
      <c r="G22" s="71"/>
      <c r="H22" s="72"/>
      <c r="I22" s="71"/>
      <c r="J22" s="72"/>
      <c r="K22" s="71"/>
      <c r="M22" s="71"/>
    </row>
    <row r="23" spans="1:15" x14ac:dyDescent="0.2">
      <c r="A23" s="91">
        <f t="shared" si="0"/>
        <v>21</v>
      </c>
      <c r="B23" s="69"/>
      <c r="C23" s="69"/>
      <c r="D23" s="69" t="s">
        <v>18</v>
      </c>
      <c r="E23" s="69"/>
      <c r="F23" s="69"/>
      <c r="G23" s="71"/>
      <c r="H23" s="72"/>
      <c r="I23" s="71"/>
      <c r="J23" s="72"/>
      <c r="K23" s="71"/>
      <c r="M23" s="71"/>
    </row>
    <row r="24" spans="1:15" x14ac:dyDescent="0.2">
      <c r="A24" s="91">
        <f t="shared" si="0"/>
        <v>22</v>
      </c>
      <c r="B24" s="69"/>
      <c r="C24" s="69"/>
      <c r="D24" s="69"/>
      <c r="E24" s="69" t="s">
        <v>19</v>
      </c>
      <c r="F24" s="69"/>
      <c r="G24" s="71">
        <v>44010.98</v>
      </c>
      <c r="H24" s="72"/>
      <c r="I24" s="71">
        <v>61467.31</v>
      </c>
      <c r="J24" s="72"/>
      <c r="K24" s="71">
        <v>61467.31</v>
      </c>
      <c r="M24" s="71">
        <f>I24*(1+O25)</f>
        <v>63311.329299999998</v>
      </c>
      <c r="N24" s="61" t="s">
        <v>237</v>
      </c>
      <c r="O24" s="61">
        <v>0.03</v>
      </c>
    </row>
    <row r="25" spans="1:15" x14ac:dyDescent="0.2">
      <c r="A25" s="91">
        <f t="shared" si="0"/>
        <v>23</v>
      </c>
      <c r="B25" s="69"/>
      <c r="C25" s="69"/>
      <c r="D25" s="69"/>
      <c r="E25" s="69" t="s">
        <v>20</v>
      </c>
      <c r="F25" s="69"/>
      <c r="G25" s="71">
        <v>3792.24</v>
      </c>
      <c r="H25" s="72"/>
      <c r="I25" s="71">
        <v>5532.13</v>
      </c>
      <c r="J25" s="72"/>
      <c r="K25" s="71">
        <v>5532.13</v>
      </c>
      <c r="M25" s="71">
        <f>I25*(1+O25)</f>
        <v>5698.0938999999998</v>
      </c>
      <c r="O25" s="61">
        <v>0.03</v>
      </c>
    </row>
    <row r="26" spans="1:15" x14ac:dyDescent="0.2">
      <c r="A26" s="91">
        <f t="shared" si="0"/>
        <v>24</v>
      </c>
      <c r="B26" s="69"/>
      <c r="C26" s="69"/>
      <c r="D26" s="69"/>
      <c r="E26" s="69" t="s">
        <v>21</v>
      </c>
      <c r="F26" s="69"/>
      <c r="G26" s="71">
        <v>2516</v>
      </c>
      <c r="H26" s="72"/>
      <c r="I26" s="71">
        <v>4302.3100000000004</v>
      </c>
      <c r="J26" s="72"/>
      <c r="K26" s="71">
        <v>4302.3100000000004</v>
      </c>
      <c r="M26" s="71">
        <f>I26*(1+O26)</f>
        <v>4431.3793000000005</v>
      </c>
      <c r="O26" s="61">
        <v>0.03</v>
      </c>
    </row>
    <row r="27" spans="1:15" x14ac:dyDescent="0.2">
      <c r="A27" s="91">
        <f t="shared" si="0"/>
        <v>25</v>
      </c>
      <c r="B27" s="69"/>
      <c r="C27" s="69"/>
      <c r="D27" s="69"/>
      <c r="E27" s="69" t="s">
        <v>22</v>
      </c>
      <c r="F27" s="69"/>
      <c r="G27" s="71">
        <v>0</v>
      </c>
      <c r="H27" s="72"/>
      <c r="I27" s="71">
        <v>300</v>
      </c>
      <c r="J27" s="72"/>
      <c r="K27" s="71">
        <v>300</v>
      </c>
      <c r="M27" s="71">
        <v>300</v>
      </c>
      <c r="O27" s="56"/>
    </row>
    <row r="28" spans="1:15" x14ac:dyDescent="0.2">
      <c r="A28" s="91">
        <f t="shared" si="0"/>
        <v>26</v>
      </c>
      <c r="B28" s="69"/>
      <c r="C28" s="69"/>
      <c r="D28" s="69"/>
      <c r="E28" s="69" t="s">
        <v>23</v>
      </c>
      <c r="F28" s="69"/>
      <c r="G28" s="71">
        <v>3080.79</v>
      </c>
      <c r="H28" s="72"/>
      <c r="I28" s="71">
        <v>4302.3100000000004</v>
      </c>
      <c r="J28" s="72"/>
      <c r="K28" s="71">
        <v>4302.3100000000004</v>
      </c>
      <c r="M28" s="71">
        <f>I28*(1+O28)</f>
        <v>4431.3793000000005</v>
      </c>
      <c r="O28" s="61">
        <v>0.03</v>
      </c>
    </row>
    <row r="29" spans="1:15" x14ac:dyDescent="0.2">
      <c r="A29" s="91">
        <f t="shared" si="0"/>
        <v>27</v>
      </c>
      <c r="B29" s="69"/>
      <c r="C29" s="69"/>
      <c r="D29" s="69"/>
      <c r="E29" s="69" t="s">
        <v>24</v>
      </c>
      <c r="F29" s="69"/>
      <c r="G29" s="71">
        <v>877.3</v>
      </c>
      <c r="H29" s="72"/>
      <c r="I29" s="71">
        <v>1030</v>
      </c>
      <c r="J29" s="72"/>
      <c r="K29" s="71">
        <v>1030</v>
      </c>
      <c r="M29" s="71">
        <f>I29*(1+O29)</f>
        <v>1060.9000000000001</v>
      </c>
      <c r="O29" s="61">
        <v>0.03</v>
      </c>
    </row>
    <row r="30" spans="1:15" ht="13.5" thickBot="1" x14ac:dyDescent="0.25">
      <c r="A30" s="91">
        <f t="shared" si="0"/>
        <v>28</v>
      </c>
      <c r="B30" s="69"/>
      <c r="C30" s="69"/>
      <c r="D30" s="69"/>
      <c r="E30" s="69" t="s">
        <v>25</v>
      </c>
      <c r="F30" s="69"/>
      <c r="G30" s="73">
        <v>0</v>
      </c>
      <c r="H30" s="72"/>
      <c r="I30" s="73">
        <v>500</v>
      </c>
      <c r="J30" s="72"/>
      <c r="K30" s="73">
        <v>500</v>
      </c>
      <c r="M30" s="73">
        <v>500</v>
      </c>
    </row>
    <row r="31" spans="1:15" x14ac:dyDescent="0.2">
      <c r="A31" s="91">
        <f t="shared" si="0"/>
        <v>29</v>
      </c>
      <c r="B31" s="69"/>
      <c r="C31" s="69"/>
      <c r="D31" s="69" t="s">
        <v>26</v>
      </c>
      <c r="E31" s="69"/>
      <c r="F31" s="69"/>
      <c r="G31" s="71">
        <f>ROUND(SUM(G23:G30),5)</f>
        <v>54277.31</v>
      </c>
      <c r="H31" s="72"/>
      <c r="I31" s="71">
        <f>ROUND(SUM(I23:I30),5)</f>
        <v>77434.06</v>
      </c>
      <c r="J31" s="72"/>
      <c r="K31" s="71">
        <f>ROUND(SUM(K23:K30),5)</f>
        <v>77434.06</v>
      </c>
      <c r="M31" s="71">
        <f>ROUND(SUM(M23:M30),5)</f>
        <v>79733.0818</v>
      </c>
    </row>
    <row r="32" spans="1:15" x14ac:dyDescent="0.2">
      <c r="A32" s="91">
        <f t="shared" si="0"/>
        <v>30</v>
      </c>
      <c r="B32" s="69"/>
      <c r="C32" s="69"/>
      <c r="D32" s="69" t="s">
        <v>27</v>
      </c>
      <c r="E32" s="69"/>
      <c r="F32" s="69"/>
      <c r="G32" s="71"/>
      <c r="H32" s="72"/>
      <c r="I32" s="71"/>
      <c r="J32" s="72"/>
      <c r="K32" s="71"/>
      <c r="M32" s="71"/>
    </row>
    <row r="33" spans="1:14" ht="13.5" thickBot="1" x14ac:dyDescent="0.25">
      <c r="A33" s="91">
        <f t="shared" si="0"/>
        <v>31</v>
      </c>
      <c r="B33" s="69"/>
      <c r="C33" s="69"/>
      <c r="D33" s="69"/>
      <c r="E33" s="69" t="s">
        <v>262</v>
      </c>
      <c r="F33" s="69"/>
      <c r="G33" s="73">
        <v>2033.44</v>
      </c>
      <c r="H33" s="72"/>
      <c r="I33" s="73">
        <v>1500</v>
      </c>
      <c r="J33" s="72"/>
      <c r="K33" s="73">
        <v>2100</v>
      </c>
      <c r="M33" s="73">
        <v>1500</v>
      </c>
    </row>
    <row r="34" spans="1:14" x14ac:dyDescent="0.2">
      <c r="A34" s="91">
        <f t="shared" si="0"/>
        <v>32</v>
      </c>
      <c r="B34" s="69"/>
      <c r="C34" s="69"/>
      <c r="D34" s="69" t="s">
        <v>28</v>
      </c>
      <c r="E34" s="69"/>
      <c r="F34" s="69"/>
      <c r="G34" s="71">
        <f>G33</f>
        <v>2033.44</v>
      </c>
      <c r="H34" s="72"/>
      <c r="I34" s="71">
        <f>I33</f>
        <v>1500</v>
      </c>
      <c r="J34" s="72"/>
      <c r="K34" s="71">
        <f>K33</f>
        <v>2100</v>
      </c>
      <c r="M34" s="71">
        <f>M33</f>
        <v>1500</v>
      </c>
    </row>
    <row r="35" spans="1:14" x14ac:dyDescent="0.2">
      <c r="A35" s="91">
        <f t="shared" si="0"/>
        <v>33</v>
      </c>
      <c r="B35" s="69"/>
      <c r="C35" s="69"/>
      <c r="D35" s="69" t="s">
        <v>29</v>
      </c>
      <c r="E35" s="69"/>
      <c r="F35" s="69"/>
      <c r="G35" s="71"/>
      <c r="H35" s="72"/>
      <c r="I35" s="71"/>
      <c r="J35" s="72"/>
      <c r="K35" s="71"/>
      <c r="M35" s="71"/>
    </row>
    <row r="36" spans="1:14" x14ac:dyDescent="0.2">
      <c r="A36" s="91">
        <f t="shared" si="0"/>
        <v>34</v>
      </c>
      <c r="B36" s="69"/>
      <c r="C36" s="69"/>
      <c r="D36" s="69"/>
      <c r="E36" s="69" t="s">
        <v>30</v>
      </c>
      <c r="F36" s="69"/>
      <c r="G36" s="71">
        <v>495.21</v>
      </c>
      <c r="H36" s="72"/>
      <c r="I36" s="71">
        <v>1200</v>
      </c>
      <c r="J36" s="72"/>
      <c r="K36" s="71">
        <v>731</v>
      </c>
      <c r="M36" s="71">
        <v>850</v>
      </c>
    </row>
    <row r="37" spans="1:14" x14ac:dyDescent="0.2">
      <c r="A37" s="91">
        <f t="shared" si="0"/>
        <v>35</v>
      </c>
      <c r="B37" s="69"/>
      <c r="C37" s="69"/>
      <c r="D37" s="69"/>
      <c r="E37" s="69" t="s">
        <v>31</v>
      </c>
      <c r="F37" s="69"/>
      <c r="G37" s="71">
        <v>1109.76</v>
      </c>
      <c r="H37" s="72"/>
      <c r="I37" s="71">
        <v>1200</v>
      </c>
      <c r="J37" s="72"/>
      <c r="K37" s="71">
        <v>1920</v>
      </c>
      <c r="M37" s="71">
        <v>2160</v>
      </c>
    </row>
    <row r="38" spans="1:14" x14ac:dyDescent="0.2">
      <c r="A38" s="91">
        <f t="shared" si="0"/>
        <v>36</v>
      </c>
      <c r="B38" s="69"/>
      <c r="C38" s="69"/>
      <c r="D38" s="69"/>
      <c r="E38" s="69" t="s">
        <v>32</v>
      </c>
      <c r="F38" s="69"/>
      <c r="G38" s="71">
        <v>352.09</v>
      </c>
      <c r="H38" s="72"/>
      <c r="I38" s="71">
        <v>500</v>
      </c>
      <c r="J38" s="72"/>
      <c r="K38" s="71">
        <v>652</v>
      </c>
      <c r="M38" s="71">
        <v>500</v>
      </c>
    </row>
    <row r="39" spans="1:14" x14ac:dyDescent="0.2">
      <c r="A39" s="91">
        <f t="shared" si="0"/>
        <v>37</v>
      </c>
      <c r="B39" s="69"/>
      <c r="C39" s="69"/>
      <c r="D39" s="69"/>
      <c r="E39" s="69" t="s">
        <v>33</v>
      </c>
      <c r="F39" s="69"/>
      <c r="G39" s="71">
        <v>672.01</v>
      </c>
      <c r="H39" s="72"/>
      <c r="I39" s="71">
        <v>600</v>
      </c>
      <c r="J39" s="72"/>
      <c r="K39" s="71">
        <v>672.01</v>
      </c>
      <c r="M39" s="71">
        <v>700</v>
      </c>
    </row>
    <row r="40" spans="1:14" ht="13.5" thickBot="1" x14ac:dyDescent="0.25">
      <c r="A40" s="91">
        <f t="shared" si="0"/>
        <v>38</v>
      </c>
      <c r="B40" s="69"/>
      <c r="C40" s="69"/>
      <c r="D40" s="69"/>
      <c r="E40" s="69" t="s">
        <v>34</v>
      </c>
      <c r="F40" s="69"/>
      <c r="G40" s="73">
        <v>188.03</v>
      </c>
      <c r="H40" s="72"/>
      <c r="I40" s="73">
        <v>200</v>
      </c>
      <c r="J40" s="72"/>
      <c r="K40" s="73">
        <v>188.03</v>
      </c>
      <c r="M40" s="73">
        <v>200</v>
      </c>
    </row>
    <row r="41" spans="1:14" x14ac:dyDescent="0.2">
      <c r="A41" s="91">
        <f t="shared" si="0"/>
        <v>39</v>
      </c>
      <c r="B41" s="69"/>
      <c r="C41" s="69"/>
      <c r="D41" s="69" t="s">
        <v>35</v>
      </c>
      <c r="E41" s="69"/>
      <c r="F41" s="69"/>
      <c r="G41" s="71">
        <f>ROUND(SUM(G35:G40),5)</f>
        <v>2817.1</v>
      </c>
      <c r="H41" s="72"/>
      <c r="I41" s="71">
        <f>ROUND(SUM(I35:I40),5)</f>
        <v>3700</v>
      </c>
      <c r="J41" s="72"/>
      <c r="K41" s="71">
        <f>ROUND(SUM(K35:K40),5)</f>
        <v>4163.04</v>
      </c>
      <c r="M41" s="71">
        <f>ROUND(SUM(M35:M40),5)</f>
        <v>4410</v>
      </c>
    </row>
    <row r="42" spans="1:14" x14ac:dyDescent="0.2">
      <c r="A42" s="91">
        <f t="shared" si="0"/>
        <v>40</v>
      </c>
      <c r="B42" s="69"/>
      <c r="C42" s="69"/>
      <c r="D42" s="69" t="s">
        <v>36</v>
      </c>
      <c r="E42" s="69"/>
      <c r="F42" s="69"/>
      <c r="G42" s="71"/>
      <c r="H42" s="72"/>
      <c r="I42" s="71"/>
      <c r="J42" s="72"/>
      <c r="K42" s="71"/>
      <c r="M42" s="71"/>
    </row>
    <row r="43" spans="1:14" ht="13.5" thickBot="1" x14ac:dyDescent="0.25">
      <c r="A43" s="91">
        <f t="shared" si="0"/>
        <v>41</v>
      </c>
      <c r="B43" s="69"/>
      <c r="C43" s="69"/>
      <c r="D43" s="69"/>
      <c r="E43" s="69" t="s">
        <v>37</v>
      </c>
      <c r="F43" s="69"/>
      <c r="G43" s="73">
        <v>49</v>
      </c>
      <c r="H43" s="72"/>
      <c r="I43" s="73">
        <v>300</v>
      </c>
      <c r="J43" s="72"/>
      <c r="K43" s="73">
        <v>300</v>
      </c>
      <c r="M43" s="73">
        <v>300</v>
      </c>
    </row>
    <row r="44" spans="1:14" x14ac:dyDescent="0.2">
      <c r="A44" s="91">
        <f t="shared" si="0"/>
        <v>42</v>
      </c>
      <c r="B44" s="69"/>
      <c r="C44" s="69"/>
      <c r="D44" s="69" t="s">
        <v>38</v>
      </c>
      <c r="E44" s="69"/>
      <c r="F44" s="69"/>
      <c r="G44" s="71">
        <f>ROUND(SUM(G42:G43),5)</f>
        <v>49</v>
      </c>
      <c r="H44" s="72"/>
      <c r="I44" s="71">
        <f>ROUND(SUM(I42:I43),5)</f>
        <v>300</v>
      </c>
      <c r="J44" s="72"/>
      <c r="K44" s="71">
        <f>ROUND(SUM(K42:K43),5)</f>
        <v>300</v>
      </c>
      <c r="M44" s="71">
        <f>ROUND(SUM(M42:M43),5)</f>
        <v>300</v>
      </c>
    </row>
    <row r="45" spans="1:14" x14ac:dyDescent="0.2">
      <c r="A45" s="91">
        <f t="shared" si="0"/>
        <v>43</v>
      </c>
      <c r="B45" s="69"/>
      <c r="C45" s="69"/>
      <c r="D45" s="69" t="s">
        <v>39</v>
      </c>
      <c r="E45" s="69"/>
      <c r="F45" s="69"/>
      <c r="G45" s="71"/>
      <c r="H45" s="72"/>
      <c r="I45" s="71"/>
      <c r="J45" s="72"/>
      <c r="K45" s="71"/>
      <c r="M45" s="71"/>
    </row>
    <row r="46" spans="1:14" s="107" customFormat="1" x14ac:dyDescent="0.2">
      <c r="A46" s="104"/>
      <c r="B46" s="105"/>
      <c r="C46" s="105"/>
      <c r="D46" s="105"/>
      <c r="E46" s="105" t="s">
        <v>298</v>
      </c>
      <c r="F46" s="105"/>
      <c r="G46" s="110"/>
      <c r="H46" s="111"/>
      <c r="I46" s="110"/>
      <c r="J46" s="111"/>
      <c r="K46" s="110"/>
      <c r="M46" s="110"/>
      <c r="N46" s="108"/>
    </row>
    <row r="47" spans="1:14" x14ac:dyDescent="0.2">
      <c r="A47" s="91">
        <f>A45+1</f>
        <v>44</v>
      </c>
      <c r="B47" s="69"/>
      <c r="C47" s="69"/>
      <c r="D47" s="69"/>
      <c r="E47" s="69" t="s">
        <v>40</v>
      </c>
      <c r="F47" s="69"/>
      <c r="G47" s="74">
        <v>2262.69</v>
      </c>
      <c r="H47" s="75"/>
      <c r="I47" s="74">
        <v>0</v>
      </c>
      <c r="J47" s="75"/>
      <c r="K47" s="74">
        <v>2262.69</v>
      </c>
      <c r="M47" s="71">
        <v>2300</v>
      </c>
    </row>
    <row r="48" spans="1:14" x14ac:dyDescent="0.2">
      <c r="A48" s="91">
        <f t="shared" si="0"/>
        <v>45</v>
      </c>
      <c r="B48" s="69"/>
      <c r="C48" s="69"/>
      <c r="D48" s="69"/>
      <c r="E48" s="69" t="s">
        <v>41</v>
      </c>
      <c r="F48" s="69"/>
      <c r="G48" s="71">
        <v>137.78</v>
      </c>
      <c r="H48" s="72"/>
      <c r="I48" s="71">
        <v>0</v>
      </c>
      <c r="J48" s="72"/>
      <c r="K48" s="71">
        <v>137.78</v>
      </c>
      <c r="M48" s="71">
        <f>500+125</f>
        <v>625</v>
      </c>
    </row>
    <row r="49" spans="1:16" ht="13.5" thickBot="1" x14ac:dyDescent="0.25">
      <c r="A49" s="91">
        <f t="shared" si="0"/>
        <v>46</v>
      </c>
      <c r="B49" s="69"/>
      <c r="C49" s="69"/>
      <c r="D49" s="69"/>
      <c r="E49" s="69" t="s">
        <v>257</v>
      </c>
      <c r="F49" s="69"/>
      <c r="G49" s="73">
        <v>0</v>
      </c>
      <c r="H49" s="72"/>
      <c r="I49" s="73">
        <v>3800</v>
      </c>
      <c r="J49" s="72"/>
      <c r="K49" s="73">
        <f>3663-2262.69-0.78</f>
        <v>1399.53</v>
      </c>
      <c r="M49" s="73">
        <f>1200+460+650+600</f>
        <v>2910</v>
      </c>
      <c r="N49" s="56" t="s">
        <v>258</v>
      </c>
    </row>
    <row r="50" spans="1:16" x14ac:dyDescent="0.2">
      <c r="A50" s="91">
        <f t="shared" si="0"/>
        <v>47</v>
      </c>
      <c r="B50" s="69"/>
      <c r="C50" s="69"/>
      <c r="D50" s="69" t="s">
        <v>42</v>
      </c>
      <c r="E50" s="69"/>
      <c r="F50" s="69"/>
      <c r="G50" s="71">
        <f>ROUND(SUM(G45:G49),5)</f>
        <v>2400.4699999999998</v>
      </c>
      <c r="H50" s="72"/>
      <c r="I50" s="71">
        <f>ROUND(SUM(I45:I49),5)</f>
        <v>3800</v>
      </c>
      <c r="J50" s="72"/>
      <c r="K50" s="71">
        <f>ROUND(SUM(K45:K49),5)</f>
        <v>3800</v>
      </c>
      <c r="M50" s="71">
        <f>ROUND(SUM(M45:M49),5)</f>
        <v>5835</v>
      </c>
    </row>
    <row r="51" spans="1:16" x14ac:dyDescent="0.2">
      <c r="A51" s="91">
        <f t="shared" si="0"/>
        <v>48</v>
      </c>
      <c r="B51" s="69"/>
      <c r="C51" s="69"/>
      <c r="D51" s="69" t="s">
        <v>43</v>
      </c>
      <c r="E51" s="69"/>
      <c r="F51" s="69"/>
      <c r="G51" s="71"/>
      <c r="H51" s="72"/>
      <c r="I51" s="71"/>
      <c r="J51" s="72"/>
      <c r="K51" s="71"/>
      <c r="M51" s="71"/>
    </row>
    <row r="52" spans="1:16" s="107" customFormat="1" x14ac:dyDescent="0.2">
      <c r="A52" s="104">
        <f>A50+1</f>
        <v>48</v>
      </c>
      <c r="B52" s="105"/>
      <c r="C52" s="105"/>
      <c r="D52" s="105"/>
      <c r="E52" s="105" t="s">
        <v>294</v>
      </c>
      <c r="F52" s="105"/>
      <c r="G52" s="110"/>
      <c r="H52" s="111"/>
      <c r="I52" s="110"/>
      <c r="J52" s="111"/>
      <c r="K52" s="110"/>
      <c r="M52" s="110"/>
      <c r="N52" s="108"/>
    </row>
    <row r="53" spans="1:16" x14ac:dyDescent="0.2">
      <c r="A53" s="91">
        <f>A51+1</f>
        <v>49</v>
      </c>
      <c r="B53" s="69"/>
      <c r="C53" s="69"/>
      <c r="D53" s="69"/>
      <c r="E53" s="69" t="s">
        <v>44</v>
      </c>
      <c r="F53" s="69"/>
      <c r="G53" s="71">
        <v>0</v>
      </c>
      <c r="H53" s="72"/>
      <c r="I53" s="71">
        <v>13000</v>
      </c>
      <c r="J53" s="72"/>
      <c r="K53" s="71">
        <v>13000</v>
      </c>
      <c r="M53" s="71">
        <v>25000</v>
      </c>
    </row>
    <row r="54" spans="1:16" x14ac:dyDescent="0.2">
      <c r="A54" s="91">
        <f t="shared" si="0"/>
        <v>50</v>
      </c>
      <c r="B54" s="69"/>
      <c r="C54" s="69"/>
      <c r="D54" s="69"/>
      <c r="E54" s="69" t="s">
        <v>45</v>
      </c>
      <c r="F54" s="69"/>
      <c r="G54" s="71">
        <v>0</v>
      </c>
      <c r="H54" s="72"/>
      <c r="I54" s="71">
        <v>12000</v>
      </c>
      <c r="J54" s="72"/>
      <c r="K54" s="71">
        <v>12000</v>
      </c>
      <c r="M54" s="71">
        <v>12000</v>
      </c>
    </row>
    <row r="55" spans="1:16" x14ac:dyDescent="0.2">
      <c r="A55" s="91">
        <f t="shared" si="0"/>
        <v>51</v>
      </c>
      <c r="B55" s="69"/>
      <c r="C55" s="69"/>
      <c r="D55" s="69"/>
      <c r="E55" s="69" t="s">
        <v>46</v>
      </c>
      <c r="F55" s="69"/>
      <c r="G55" s="71">
        <v>0</v>
      </c>
      <c r="H55" s="72"/>
      <c r="I55" s="71">
        <v>3000</v>
      </c>
      <c r="J55" s="72"/>
      <c r="K55" s="71">
        <v>0</v>
      </c>
      <c r="M55" s="71">
        <v>3000</v>
      </c>
    </row>
    <row r="56" spans="1:16" x14ac:dyDescent="0.2">
      <c r="A56" s="91">
        <f t="shared" si="0"/>
        <v>52</v>
      </c>
      <c r="B56" s="69"/>
      <c r="C56" s="69"/>
      <c r="D56" s="69"/>
      <c r="E56" s="69" t="s">
        <v>47</v>
      </c>
      <c r="F56" s="69"/>
      <c r="G56" s="71">
        <v>11130</v>
      </c>
      <c r="H56" s="72"/>
      <c r="I56" s="71">
        <v>2000</v>
      </c>
      <c r="J56" s="72"/>
      <c r="K56" s="71">
        <v>11130</v>
      </c>
      <c r="M56" s="71">
        <v>5000</v>
      </c>
    </row>
    <row r="57" spans="1:16" x14ac:dyDescent="0.2">
      <c r="A57" s="91">
        <f t="shared" si="0"/>
        <v>53</v>
      </c>
      <c r="B57" s="69"/>
      <c r="C57" s="69"/>
      <c r="D57" s="69"/>
      <c r="E57" s="69" t="s">
        <v>48</v>
      </c>
      <c r="F57" s="69"/>
      <c r="G57" s="71">
        <v>9150</v>
      </c>
      <c r="H57" s="72"/>
      <c r="I57" s="71">
        <v>11000</v>
      </c>
      <c r="J57" s="72"/>
      <c r="K57" s="71">
        <v>9150</v>
      </c>
      <c r="M57" s="71">
        <v>15000</v>
      </c>
    </row>
    <row r="58" spans="1:16" ht="13.5" thickBot="1" x14ac:dyDescent="0.25">
      <c r="A58" s="91">
        <f t="shared" si="0"/>
        <v>54</v>
      </c>
      <c r="B58" s="69"/>
      <c r="C58" s="69"/>
      <c r="D58" s="69"/>
      <c r="E58" s="69" t="s">
        <v>49</v>
      </c>
      <c r="F58" s="69"/>
      <c r="G58" s="73">
        <v>211</v>
      </c>
      <c r="H58" s="72"/>
      <c r="I58" s="73">
        <v>0</v>
      </c>
      <c r="J58" s="72"/>
      <c r="K58" s="73">
        <v>211</v>
      </c>
      <c r="M58" s="73">
        <v>0</v>
      </c>
    </row>
    <row r="59" spans="1:16" x14ac:dyDescent="0.2">
      <c r="A59" s="91">
        <f t="shared" si="0"/>
        <v>55</v>
      </c>
      <c r="B59" s="69"/>
      <c r="C59" s="69"/>
      <c r="D59" s="69" t="s">
        <v>50</v>
      </c>
      <c r="E59" s="69"/>
      <c r="F59" s="69"/>
      <c r="G59" s="71">
        <f>ROUND(SUM(G51:G58),5)</f>
        <v>20491</v>
      </c>
      <c r="H59" s="72"/>
      <c r="I59" s="71">
        <f>ROUND(SUM(I51:I58),5)</f>
        <v>41000</v>
      </c>
      <c r="J59" s="72"/>
      <c r="K59" s="71">
        <f>ROUND(SUM(K51:K58),5)</f>
        <v>45491</v>
      </c>
      <c r="M59" s="71">
        <f>ROUND(SUM(M51:M58),5)</f>
        <v>60000</v>
      </c>
      <c r="N59" s="56" t="s">
        <v>272</v>
      </c>
    </row>
    <row r="60" spans="1:16" x14ac:dyDescent="0.2">
      <c r="A60" s="91">
        <f t="shared" si="0"/>
        <v>56</v>
      </c>
      <c r="B60" s="69"/>
      <c r="C60" s="69"/>
      <c r="D60" s="69" t="s">
        <v>51</v>
      </c>
      <c r="E60" s="69"/>
      <c r="F60" s="69"/>
      <c r="G60" s="71"/>
      <c r="H60" s="72"/>
      <c r="I60" s="71"/>
      <c r="J60" s="72"/>
      <c r="K60" s="71"/>
      <c r="M60" s="71"/>
    </row>
    <row r="61" spans="1:16" ht="13.5" thickBot="1" x14ac:dyDescent="0.25">
      <c r="A61" s="91">
        <f t="shared" si="0"/>
        <v>57</v>
      </c>
      <c r="B61" s="69"/>
      <c r="C61" s="69"/>
      <c r="D61" s="69"/>
      <c r="E61" s="69" t="s">
        <v>259</v>
      </c>
      <c r="F61" s="69"/>
      <c r="G61" s="73">
        <v>773.83</v>
      </c>
      <c r="H61" s="72"/>
      <c r="I61" s="73">
        <v>650</v>
      </c>
      <c r="J61" s="72"/>
      <c r="K61" s="73">
        <v>773.83</v>
      </c>
      <c r="M61" s="73">
        <v>1000</v>
      </c>
      <c r="P61" s="69" t="s">
        <v>52</v>
      </c>
    </row>
    <row r="62" spans="1:16" x14ac:dyDescent="0.2">
      <c r="A62" s="91">
        <f t="shared" si="0"/>
        <v>58</v>
      </c>
      <c r="B62" s="69"/>
      <c r="C62" s="69"/>
      <c r="D62" s="69" t="s">
        <v>53</v>
      </c>
      <c r="E62" s="69"/>
      <c r="F62" s="69"/>
      <c r="G62" s="71">
        <f>G61</f>
        <v>773.83</v>
      </c>
      <c r="H62" s="72"/>
      <c r="I62" s="71">
        <f>I61</f>
        <v>650</v>
      </c>
      <c r="J62" s="72"/>
      <c r="K62" s="71">
        <f>K61</f>
        <v>773.83</v>
      </c>
      <c r="M62" s="71">
        <f>M61</f>
        <v>1000</v>
      </c>
      <c r="P62" s="69" t="s">
        <v>260</v>
      </c>
    </row>
    <row r="63" spans="1:16" x14ac:dyDescent="0.2">
      <c r="A63" s="91">
        <f t="shared" si="0"/>
        <v>59</v>
      </c>
      <c r="B63" s="69"/>
      <c r="C63" s="69"/>
      <c r="D63" s="69" t="s">
        <v>54</v>
      </c>
      <c r="E63" s="69"/>
      <c r="F63" s="69"/>
      <c r="G63" s="71"/>
      <c r="H63" s="72"/>
      <c r="I63" s="71"/>
      <c r="J63" s="72"/>
      <c r="K63" s="71"/>
      <c r="M63" s="71"/>
    </row>
    <row r="64" spans="1:16" x14ac:dyDescent="0.2">
      <c r="A64" s="91">
        <f t="shared" si="0"/>
        <v>60</v>
      </c>
      <c r="B64" s="69"/>
      <c r="C64" s="69"/>
      <c r="D64" s="69"/>
      <c r="E64" s="69" t="s">
        <v>55</v>
      </c>
      <c r="F64" s="69"/>
      <c r="G64" s="71">
        <v>1386.84</v>
      </c>
      <c r="H64" s="72"/>
      <c r="I64" s="71">
        <v>1900</v>
      </c>
      <c r="J64" s="72"/>
      <c r="K64" s="71">
        <v>2246</v>
      </c>
      <c r="M64" s="71">
        <v>3200</v>
      </c>
    </row>
    <row r="65" spans="1:14" x14ac:dyDescent="0.2">
      <c r="A65" s="91">
        <f t="shared" si="0"/>
        <v>61</v>
      </c>
      <c r="B65" s="69"/>
      <c r="C65" s="69"/>
      <c r="D65" s="69"/>
      <c r="E65" s="69" t="s">
        <v>56</v>
      </c>
      <c r="F65" s="69"/>
      <c r="G65" s="71">
        <v>986.16</v>
      </c>
      <c r="H65" s="72"/>
      <c r="I65" s="71">
        <v>1600</v>
      </c>
      <c r="J65" s="72"/>
      <c r="K65" s="71">
        <v>1500</v>
      </c>
      <c r="M65" s="71">
        <v>1500</v>
      </c>
    </row>
    <row r="66" spans="1:14" x14ac:dyDescent="0.2">
      <c r="A66" s="91">
        <f t="shared" si="0"/>
        <v>62</v>
      </c>
      <c r="B66" s="69"/>
      <c r="C66" s="69"/>
      <c r="D66" s="69"/>
      <c r="E66" s="69" t="s">
        <v>57</v>
      </c>
      <c r="F66" s="69"/>
      <c r="G66" s="71">
        <v>1261.1400000000001</v>
      </c>
      <c r="H66" s="72"/>
      <c r="I66" s="71">
        <v>7600</v>
      </c>
      <c r="J66" s="72"/>
      <c r="K66" s="71">
        <v>7600</v>
      </c>
      <c r="M66" s="71">
        <v>7600</v>
      </c>
    </row>
    <row r="67" spans="1:14" x14ac:dyDescent="0.2">
      <c r="A67" s="91">
        <f t="shared" si="0"/>
        <v>63</v>
      </c>
      <c r="B67" s="69"/>
      <c r="C67" s="69"/>
      <c r="D67" s="69"/>
      <c r="E67" s="69" t="s">
        <v>58</v>
      </c>
      <c r="F67" s="69"/>
      <c r="G67" s="71">
        <v>165.48</v>
      </c>
      <c r="H67" s="72"/>
      <c r="I67" s="71">
        <v>250</v>
      </c>
      <c r="J67" s="72"/>
      <c r="K67" s="71">
        <v>230</v>
      </c>
      <c r="M67" s="71">
        <v>230</v>
      </c>
    </row>
    <row r="68" spans="1:14" x14ac:dyDescent="0.2">
      <c r="A68" s="91">
        <f t="shared" si="0"/>
        <v>64</v>
      </c>
      <c r="B68" s="69"/>
      <c r="C68" s="69"/>
      <c r="D68" s="69"/>
      <c r="E68" s="69" t="s">
        <v>59</v>
      </c>
      <c r="F68" s="69"/>
      <c r="G68" s="71">
        <v>67.62</v>
      </c>
      <c r="H68" s="72"/>
      <c r="I68" s="71">
        <v>100</v>
      </c>
      <c r="J68" s="72"/>
      <c r="K68" s="71">
        <v>100</v>
      </c>
      <c r="M68" s="71">
        <v>100</v>
      </c>
    </row>
    <row r="69" spans="1:14" x14ac:dyDescent="0.2">
      <c r="A69" s="91">
        <f t="shared" si="0"/>
        <v>65</v>
      </c>
      <c r="B69" s="69"/>
      <c r="C69" s="69"/>
      <c r="D69" s="69"/>
      <c r="E69" s="69" t="s">
        <v>60</v>
      </c>
      <c r="F69" s="69"/>
      <c r="G69" s="71">
        <v>218</v>
      </c>
      <c r="H69" s="72"/>
      <c r="I69" s="71">
        <v>500</v>
      </c>
      <c r="J69" s="72"/>
      <c r="K69" s="71">
        <v>1200</v>
      </c>
      <c r="M69" s="71">
        <v>600</v>
      </c>
    </row>
    <row r="70" spans="1:14" x14ac:dyDescent="0.2">
      <c r="A70" s="91">
        <f t="shared" si="0"/>
        <v>66</v>
      </c>
      <c r="B70" s="69"/>
      <c r="C70" s="69"/>
      <c r="D70" s="69"/>
      <c r="E70" s="69" t="s">
        <v>61</v>
      </c>
      <c r="F70" s="69"/>
      <c r="G70" s="71">
        <v>3362.31</v>
      </c>
      <c r="H70" s="72"/>
      <c r="I70" s="71">
        <v>6500</v>
      </c>
      <c r="J70" s="72"/>
      <c r="K70" s="71">
        <v>4000</v>
      </c>
      <c r="M70" s="71">
        <v>6500</v>
      </c>
    </row>
    <row r="71" spans="1:14" x14ac:dyDescent="0.2">
      <c r="A71" s="91">
        <f t="shared" ref="A71:A137" si="1">A70+1</f>
        <v>67</v>
      </c>
      <c r="B71" s="69"/>
      <c r="C71" s="69"/>
      <c r="D71" s="69"/>
      <c r="E71" s="69" t="s">
        <v>62</v>
      </c>
      <c r="F71" s="69"/>
      <c r="G71" s="71">
        <v>854.2</v>
      </c>
      <c r="H71" s="72"/>
      <c r="I71" s="71">
        <v>0</v>
      </c>
      <c r="J71" s="72"/>
      <c r="K71" s="71">
        <v>150</v>
      </c>
      <c r="M71" s="71">
        <v>150</v>
      </c>
    </row>
    <row r="72" spans="1:14" x14ac:dyDescent="0.2">
      <c r="A72" s="91">
        <f t="shared" si="1"/>
        <v>68</v>
      </c>
      <c r="B72" s="69"/>
      <c r="C72" s="69"/>
      <c r="D72" s="69"/>
      <c r="E72" s="69" t="s">
        <v>63</v>
      </c>
      <c r="F72" s="69"/>
      <c r="G72" s="71">
        <v>0</v>
      </c>
      <c r="H72" s="72"/>
      <c r="I72" s="71">
        <v>0</v>
      </c>
      <c r="J72" s="72"/>
      <c r="K72" s="71">
        <v>0</v>
      </c>
      <c r="M72" s="71">
        <v>0</v>
      </c>
    </row>
    <row r="73" spans="1:14" x14ac:dyDescent="0.2">
      <c r="A73" s="91">
        <f t="shared" si="1"/>
        <v>69</v>
      </c>
      <c r="B73" s="69"/>
      <c r="C73" s="69"/>
      <c r="D73" s="69"/>
      <c r="E73" s="69" t="s">
        <v>64</v>
      </c>
      <c r="F73" s="69"/>
      <c r="G73" s="71">
        <v>4353.84</v>
      </c>
      <c r="H73" s="72"/>
      <c r="I73" s="71">
        <v>4500</v>
      </c>
      <c r="J73" s="72"/>
      <c r="K73" s="71">
        <v>4500</v>
      </c>
      <c r="M73" s="71">
        <v>4500</v>
      </c>
    </row>
    <row r="74" spans="1:14" x14ac:dyDescent="0.2">
      <c r="A74" s="91">
        <f t="shared" si="1"/>
        <v>70</v>
      </c>
      <c r="B74" s="69"/>
      <c r="C74" s="69"/>
      <c r="D74" s="69"/>
      <c r="E74" s="69" t="s">
        <v>65</v>
      </c>
      <c r="F74" s="69"/>
      <c r="G74" s="71">
        <v>0</v>
      </c>
      <c r="H74" s="72"/>
      <c r="I74" s="71">
        <v>500</v>
      </c>
      <c r="J74" s="72"/>
      <c r="K74" s="71">
        <v>500</v>
      </c>
      <c r="M74" s="71">
        <v>500</v>
      </c>
    </row>
    <row r="75" spans="1:14" ht="13.5" thickBot="1" x14ac:dyDescent="0.25">
      <c r="A75" s="91">
        <f t="shared" si="1"/>
        <v>71</v>
      </c>
      <c r="B75" s="69"/>
      <c r="C75" s="69"/>
      <c r="D75" s="69"/>
      <c r="E75" s="69" t="s">
        <v>160</v>
      </c>
      <c r="F75" s="69"/>
      <c r="G75" s="73">
        <v>5136.8999999999996</v>
      </c>
      <c r="H75" s="72"/>
      <c r="I75" s="73">
        <v>0</v>
      </c>
      <c r="J75" s="72"/>
      <c r="K75" s="73">
        <v>0</v>
      </c>
      <c r="M75" s="73">
        <v>0</v>
      </c>
    </row>
    <row r="76" spans="1:14" x14ac:dyDescent="0.2">
      <c r="A76" s="91">
        <f t="shared" si="1"/>
        <v>72</v>
      </c>
      <c r="B76" s="69"/>
      <c r="C76" s="69"/>
      <c r="D76" s="69" t="s">
        <v>66</v>
      </c>
      <c r="E76" s="69"/>
      <c r="F76" s="69"/>
      <c r="G76" s="71">
        <f>ROUND(SUM(G63:G75),5)</f>
        <v>17792.490000000002</v>
      </c>
      <c r="H76" s="72"/>
      <c r="I76" s="71">
        <f>ROUND(SUM(I63:I75),5)</f>
        <v>23450</v>
      </c>
      <c r="J76" s="72"/>
      <c r="K76" s="71">
        <f>ROUND(SUM(K63:K75),5)</f>
        <v>22026</v>
      </c>
      <c r="M76" s="71">
        <f>ROUND(SUM(M63:M75),5)</f>
        <v>24880</v>
      </c>
    </row>
    <row r="77" spans="1:14" x14ac:dyDescent="0.2">
      <c r="A77" s="91">
        <f t="shared" si="1"/>
        <v>73</v>
      </c>
      <c r="B77" s="69"/>
      <c r="C77" s="69"/>
      <c r="D77" s="69" t="s">
        <v>67</v>
      </c>
      <c r="E77" s="69"/>
      <c r="F77" s="69"/>
      <c r="G77" s="71"/>
      <c r="H77" s="72"/>
      <c r="I77" s="71"/>
      <c r="J77" s="72"/>
      <c r="K77" s="71"/>
      <c r="M77" s="71"/>
      <c r="N77" s="56" t="s">
        <v>179</v>
      </c>
    </row>
    <row r="78" spans="1:14" x14ac:dyDescent="0.2">
      <c r="A78" s="91">
        <f t="shared" si="1"/>
        <v>74</v>
      </c>
      <c r="B78" s="69"/>
      <c r="C78" s="69"/>
      <c r="D78" s="69"/>
      <c r="E78" s="69" t="s">
        <v>68</v>
      </c>
      <c r="F78" s="69"/>
      <c r="G78" s="71"/>
      <c r="H78" s="72"/>
      <c r="I78" s="71"/>
      <c r="J78" s="72"/>
      <c r="K78" s="71"/>
      <c r="M78" s="71"/>
    </row>
    <row r="79" spans="1:14" x14ac:dyDescent="0.2">
      <c r="A79" s="91">
        <f t="shared" si="1"/>
        <v>75</v>
      </c>
      <c r="B79" s="69"/>
      <c r="C79" s="69"/>
      <c r="D79" s="69"/>
      <c r="E79" s="69"/>
      <c r="F79" s="69" t="s">
        <v>69</v>
      </c>
      <c r="G79" s="71">
        <v>6055</v>
      </c>
      <c r="H79" s="72"/>
      <c r="I79" s="71">
        <v>5000</v>
      </c>
      <c r="J79" s="72"/>
      <c r="K79" s="71">
        <v>6800</v>
      </c>
      <c r="M79" s="71">
        <v>6850</v>
      </c>
    </row>
    <row r="80" spans="1:14" x14ac:dyDescent="0.2">
      <c r="A80" s="91">
        <f t="shared" si="1"/>
        <v>76</v>
      </c>
      <c r="B80" s="69"/>
      <c r="C80" s="69"/>
      <c r="D80" s="69"/>
      <c r="E80" s="69"/>
      <c r="F80" s="69" t="s">
        <v>70</v>
      </c>
      <c r="G80" s="71">
        <v>537.62</v>
      </c>
      <c r="H80" s="72"/>
      <c r="I80" s="71">
        <v>350</v>
      </c>
      <c r="J80" s="72"/>
      <c r="K80" s="71">
        <v>600</v>
      </c>
      <c r="M80" s="71">
        <v>600</v>
      </c>
    </row>
    <row r="81" spans="1:13" ht="13.5" thickBot="1" x14ac:dyDescent="0.25">
      <c r="A81" s="91">
        <f t="shared" si="1"/>
        <v>77</v>
      </c>
      <c r="B81" s="69"/>
      <c r="C81" s="69"/>
      <c r="D81" s="69"/>
      <c r="E81" s="69"/>
      <c r="F81" s="69" t="s">
        <v>71</v>
      </c>
      <c r="G81" s="73">
        <v>203.97</v>
      </c>
      <c r="H81" s="72"/>
      <c r="I81" s="73">
        <v>300</v>
      </c>
      <c r="J81" s="72"/>
      <c r="K81" s="73">
        <v>200</v>
      </c>
      <c r="M81" s="73">
        <v>200</v>
      </c>
    </row>
    <row r="82" spans="1:13" x14ac:dyDescent="0.2">
      <c r="A82" s="91">
        <f t="shared" si="1"/>
        <v>78</v>
      </c>
      <c r="B82" s="69"/>
      <c r="C82" s="69"/>
      <c r="D82" s="69"/>
      <c r="E82" s="69" t="s">
        <v>72</v>
      </c>
      <c r="F82" s="69"/>
      <c r="G82" s="71">
        <f>ROUND(SUM(G78:G81),5)</f>
        <v>6796.59</v>
      </c>
      <c r="H82" s="72"/>
      <c r="I82" s="71">
        <f>ROUND(SUM(I78:I81),5)</f>
        <v>5650</v>
      </c>
      <c r="J82" s="72"/>
      <c r="K82" s="71">
        <f>ROUND(SUM(K78:K81),5)</f>
        <v>7600</v>
      </c>
      <c r="M82" s="71">
        <f>ROUND(SUM(M78:M81),5)</f>
        <v>7650</v>
      </c>
    </row>
    <row r="83" spans="1:13" x14ac:dyDescent="0.2">
      <c r="A83" s="91">
        <f t="shared" si="1"/>
        <v>79</v>
      </c>
      <c r="B83" s="69"/>
      <c r="C83" s="69"/>
      <c r="D83" s="69"/>
      <c r="E83" s="69" t="s">
        <v>73</v>
      </c>
      <c r="F83" s="69"/>
      <c r="G83" s="71">
        <v>0</v>
      </c>
      <c r="H83" s="72"/>
      <c r="I83" s="71">
        <v>300</v>
      </c>
      <c r="J83" s="72"/>
      <c r="K83" s="71">
        <v>300</v>
      </c>
      <c r="M83" s="71">
        <v>300</v>
      </c>
    </row>
    <row r="84" spans="1:13" x14ac:dyDescent="0.2">
      <c r="A84" s="91">
        <f t="shared" si="1"/>
        <v>80</v>
      </c>
      <c r="B84" s="69"/>
      <c r="C84" s="69"/>
      <c r="D84" s="69"/>
      <c r="E84" s="69" t="s">
        <v>74</v>
      </c>
      <c r="F84" s="69"/>
      <c r="G84" s="71">
        <v>0</v>
      </c>
      <c r="H84" s="72"/>
      <c r="I84" s="71">
        <v>0</v>
      </c>
      <c r="J84" s="72"/>
      <c r="K84" s="71">
        <v>0</v>
      </c>
      <c r="M84" s="71">
        <v>0</v>
      </c>
    </row>
    <row r="85" spans="1:13" x14ac:dyDescent="0.2">
      <c r="A85" s="91">
        <f t="shared" si="1"/>
        <v>81</v>
      </c>
      <c r="B85" s="69"/>
      <c r="C85" s="69"/>
      <c r="D85" s="69"/>
      <c r="E85" s="69" t="s">
        <v>75</v>
      </c>
      <c r="F85" s="69"/>
      <c r="G85" s="71">
        <v>0</v>
      </c>
      <c r="H85" s="72"/>
      <c r="I85" s="71">
        <v>7000</v>
      </c>
      <c r="J85" s="72"/>
      <c r="K85" s="71">
        <v>3000</v>
      </c>
      <c r="M85" s="71">
        <v>5000</v>
      </c>
    </row>
    <row r="86" spans="1:13" x14ac:dyDescent="0.2">
      <c r="A86" s="91">
        <f t="shared" si="1"/>
        <v>82</v>
      </c>
      <c r="B86" s="69"/>
      <c r="C86" s="69"/>
      <c r="D86" s="69"/>
      <c r="E86" s="69" t="s">
        <v>76</v>
      </c>
      <c r="F86" s="69"/>
      <c r="G86" s="71">
        <v>115.12</v>
      </c>
      <c r="H86" s="72"/>
      <c r="I86" s="71">
        <v>7000</v>
      </c>
      <c r="J86" s="72"/>
      <c r="K86" s="71">
        <v>5000</v>
      </c>
      <c r="M86" s="71">
        <v>7000</v>
      </c>
    </row>
    <row r="87" spans="1:13" x14ac:dyDescent="0.2">
      <c r="A87" s="91">
        <f t="shared" si="1"/>
        <v>83</v>
      </c>
      <c r="B87" s="69"/>
      <c r="C87" s="69"/>
      <c r="D87" s="69"/>
      <c r="E87" s="69" t="s">
        <v>77</v>
      </c>
      <c r="F87" s="69"/>
      <c r="G87" s="71">
        <v>787.51</v>
      </c>
      <c r="H87" s="72"/>
      <c r="I87" s="71">
        <v>2500</v>
      </c>
      <c r="J87" s="72"/>
      <c r="K87" s="71">
        <v>2500</v>
      </c>
      <c r="M87" s="71">
        <v>2500</v>
      </c>
    </row>
    <row r="88" spans="1:13" ht="13.5" thickBot="1" x14ac:dyDescent="0.25">
      <c r="A88" s="91">
        <f t="shared" si="1"/>
        <v>84</v>
      </c>
      <c r="B88" s="69"/>
      <c r="C88" s="69"/>
      <c r="D88" s="69"/>
      <c r="E88" s="69" t="s">
        <v>78</v>
      </c>
      <c r="F88" s="69"/>
      <c r="G88" s="73">
        <v>0</v>
      </c>
      <c r="H88" s="72"/>
      <c r="I88" s="73">
        <v>200</v>
      </c>
      <c r="J88" s="72"/>
      <c r="K88" s="73">
        <v>200</v>
      </c>
      <c r="M88" s="73">
        <v>200</v>
      </c>
    </row>
    <row r="89" spans="1:13" x14ac:dyDescent="0.2">
      <c r="A89" s="91">
        <f t="shared" si="1"/>
        <v>85</v>
      </c>
      <c r="B89" s="69"/>
      <c r="C89" s="69"/>
      <c r="D89" s="69" t="s">
        <v>79</v>
      </c>
      <c r="E89" s="69"/>
      <c r="F89" s="69"/>
      <c r="G89" s="71">
        <f>ROUND(G77+SUM(G82:G88),5)</f>
        <v>7699.22</v>
      </c>
      <c r="H89" s="72"/>
      <c r="I89" s="71">
        <f>ROUND(I77+SUM(I82:I88),5)</f>
        <v>22650</v>
      </c>
      <c r="J89" s="72"/>
      <c r="K89" s="71">
        <f>ROUND(K77+SUM(K82:K88),5)</f>
        <v>18600</v>
      </c>
      <c r="M89" s="71">
        <f>ROUND(M77+SUM(M82:M88),5)</f>
        <v>22650</v>
      </c>
    </row>
    <row r="90" spans="1:13" x14ac:dyDescent="0.2">
      <c r="A90" s="91">
        <f t="shared" si="1"/>
        <v>86</v>
      </c>
      <c r="B90" s="69"/>
      <c r="C90" s="69"/>
      <c r="D90" s="69" t="s">
        <v>80</v>
      </c>
      <c r="E90" s="69"/>
      <c r="F90" s="69"/>
      <c r="G90" s="71"/>
      <c r="H90" s="72"/>
      <c r="I90" s="71"/>
      <c r="J90" s="72"/>
      <c r="K90" s="71"/>
      <c r="M90" s="71"/>
    </row>
    <row r="91" spans="1:13" x14ac:dyDescent="0.2">
      <c r="A91" s="91">
        <f t="shared" si="1"/>
        <v>87</v>
      </c>
      <c r="B91" s="69"/>
      <c r="C91" s="69"/>
      <c r="D91" s="69"/>
      <c r="E91" s="69" t="s">
        <v>81</v>
      </c>
      <c r="F91" s="69"/>
      <c r="G91" s="71">
        <v>3179.85</v>
      </c>
      <c r="H91" s="72"/>
      <c r="I91" s="71">
        <v>2500</v>
      </c>
      <c r="J91" s="72"/>
      <c r="K91" s="71">
        <f>3150+300</f>
        <v>3450</v>
      </c>
      <c r="M91" s="71">
        <v>3500</v>
      </c>
    </row>
    <row r="92" spans="1:13" x14ac:dyDescent="0.2">
      <c r="A92" s="91">
        <f t="shared" si="1"/>
        <v>88</v>
      </c>
      <c r="B92" s="69"/>
      <c r="C92" s="69"/>
      <c r="D92" s="69"/>
      <c r="E92" s="69" t="s">
        <v>82</v>
      </c>
      <c r="F92" s="69"/>
      <c r="G92" s="71">
        <v>537.05999999999995</v>
      </c>
      <c r="H92" s="72"/>
      <c r="I92" s="71">
        <v>350</v>
      </c>
      <c r="J92" s="72"/>
      <c r="K92" s="71">
        <v>537.05999999999995</v>
      </c>
      <c r="M92" s="71">
        <v>350</v>
      </c>
    </row>
    <row r="93" spans="1:13" x14ac:dyDescent="0.2">
      <c r="A93" s="91">
        <f t="shared" si="1"/>
        <v>89</v>
      </c>
      <c r="B93" s="69"/>
      <c r="C93" s="69"/>
      <c r="D93" s="69"/>
      <c r="E93" s="69" t="s">
        <v>83</v>
      </c>
      <c r="F93" s="69"/>
      <c r="G93" s="71">
        <v>2779.83</v>
      </c>
      <c r="H93" s="72"/>
      <c r="I93" s="71">
        <v>2000</v>
      </c>
      <c r="J93" s="72"/>
      <c r="K93" s="71">
        <v>2800</v>
      </c>
      <c r="M93" s="71">
        <v>3000</v>
      </c>
    </row>
    <row r="94" spans="1:13" x14ac:dyDescent="0.2">
      <c r="A94" s="91">
        <f t="shared" si="1"/>
        <v>90</v>
      </c>
      <c r="B94" s="69"/>
      <c r="C94" s="69"/>
      <c r="D94" s="69"/>
      <c r="E94" s="69" t="s">
        <v>84</v>
      </c>
      <c r="F94" s="69"/>
      <c r="G94" s="71">
        <v>0</v>
      </c>
      <c r="H94" s="72"/>
      <c r="I94" s="71">
        <v>1000</v>
      </c>
      <c r="J94" s="72"/>
      <c r="K94" s="71">
        <v>0</v>
      </c>
      <c r="M94" s="71">
        <v>1000</v>
      </c>
    </row>
    <row r="95" spans="1:13" x14ac:dyDescent="0.2">
      <c r="A95" s="91">
        <f t="shared" si="1"/>
        <v>91</v>
      </c>
      <c r="B95" s="69"/>
      <c r="C95" s="69"/>
      <c r="D95" s="69"/>
      <c r="E95" s="69" t="s">
        <v>85</v>
      </c>
      <c r="F95" s="69"/>
      <c r="G95" s="71">
        <v>1344.52</v>
      </c>
      <c r="H95" s="72"/>
      <c r="I95" s="71">
        <v>2000</v>
      </c>
      <c r="J95" s="72"/>
      <c r="K95" s="71">
        <v>1500</v>
      </c>
      <c r="M95" s="71">
        <v>2000</v>
      </c>
    </row>
    <row r="96" spans="1:13" x14ac:dyDescent="0.2">
      <c r="A96" s="91">
        <f t="shared" si="1"/>
        <v>92</v>
      </c>
      <c r="B96" s="69"/>
      <c r="C96" s="69"/>
      <c r="D96" s="69"/>
      <c r="E96" s="69" t="s">
        <v>86</v>
      </c>
      <c r="F96" s="69"/>
      <c r="G96" s="71">
        <v>1781.09</v>
      </c>
      <c r="H96" s="72"/>
      <c r="I96" s="71">
        <v>500</v>
      </c>
      <c r="J96" s="72"/>
      <c r="K96" s="71">
        <v>2100</v>
      </c>
      <c r="M96" s="71">
        <v>1000</v>
      </c>
    </row>
    <row r="97" spans="1:16" x14ac:dyDescent="0.2">
      <c r="A97" s="91">
        <f t="shared" si="1"/>
        <v>93</v>
      </c>
      <c r="B97" s="69"/>
      <c r="C97" s="69"/>
      <c r="D97" s="69"/>
      <c r="E97" s="69" t="s">
        <v>87</v>
      </c>
      <c r="F97" s="69"/>
      <c r="G97" s="71">
        <v>0</v>
      </c>
      <c r="H97" s="72"/>
      <c r="I97" s="71">
        <v>500</v>
      </c>
      <c r="J97" s="72"/>
      <c r="K97" s="71">
        <v>250</v>
      </c>
      <c r="M97" s="71">
        <v>500</v>
      </c>
    </row>
    <row r="98" spans="1:16" ht="13.5" thickBot="1" x14ac:dyDescent="0.25">
      <c r="A98" s="91">
        <f t="shared" si="1"/>
        <v>94</v>
      </c>
      <c r="B98" s="69"/>
      <c r="C98" s="69"/>
      <c r="D98" s="69"/>
      <c r="E98" s="69" t="s">
        <v>88</v>
      </c>
      <c r="F98" s="69"/>
      <c r="G98" s="73">
        <v>0</v>
      </c>
      <c r="H98" s="72"/>
      <c r="I98" s="73">
        <v>200</v>
      </c>
      <c r="J98" s="72"/>
      <c r="K98" s="73">
        <v>0</v>
      </c>
      <c r="M98" s="73">
        <v>0</v>
      </c>
    </row>
    <row r="99" spans="1:16" x14ac:dyDescent="0.2">
      <c r="A99" s="91">
        <f t="shared" si="1"/>
        <v>95</v>
      </c>
      <c r="B99" s="69"/>
      <c r="C99" s="69"/>
      <c r="D99" s="69" t="s">
        <v>89</v>
      </c>
      <c r="E99" s="69"/>
      <c r="F99" s="69"/>
      <c r="G99" s="71">
        <f>ROUND(SUM(G90:G98),5)</f>
        <v>9622.35</v>
      </c>
      <c r="H99" s="72"/>
      <c r="I99" s="71">
        <f>ROUND(SUM(I90:I98),5)</f>
        <v>9050</v>
      </c>
      <c r="J99" s="72"/>
      <c r="K99" s="71">
        <f>ROUND(SUM(K90:K98),5)</f>
        <v>10637.06</v>
      </c>
      <c r="M99" s="71">
        <f>ROUND(SUM(M90:M98),5)</f>
        <v>11350</v>
      </c>
    </row>
    <row r="100" spans="1:16" x14ac:dyDescent="0.2">
      <c r="A100" s="91">
        <f t="shared" si="1"/>
        <v>96</v>
      </c>
      <c r="B100" s="69"/>
      <c r="C100" s="69"/>
      <c r="D100" s="69" t="s">
        <v>90</v>
      </c>
      <c r="E100" s="69"/>
      <c r="F100" s="69"/>
      <c r="G100" s="71"/>
      <c r="H100" s="72"/>
      <c r="I100" s="71"/>
      <c r="J100" s="72"/>
      <c r="K100" s="71"/>
      <c r="M100" s="71"/>
    </row>
    <row r="101" spans="1:16" x14ac:dyDescent="0.2">
      <c r="A101" s="91">
        <f t="shared" si="1"/>
        <v>97</v>
      </c>
      <c r="B101" s="69"/>
      <c r="C101" s="69"/>
      <c r="D101" s="69"/>
      <c r="E101" s="69" t="s">
        <v>91</v>
      </c>
      <c r="F101" s="69"/>
      <c r="G101" s="71">
        <v>20554</v>
      </c>
      <c r="H101" s="72"/>
      <c r="I101" s="71">
        <v>20750</v>
      </c>
      <c r="J101" s="72"/>
      <c r="K101" s="71">
        <f>20554+2661</f>
        <v>23215</v>
      </c>
      <c r="M101" s="71">
        <v>24000</v>
      </c>
      <c r="N101" s="56" t="s">
        <v>263</v>
      </c>
      <c r="P101" s="88" t="s">
        <v>242</v>
      </c>
    </row>
    <row r="102" spans="1:16" x14ac:dyDescent="0.2">
      <c r="A102" s="91">
        <f t="shared" si="1"/>
        <v>98</v>
      </c>
      <c r="B102" s="69"/>
      <c r="C102" s="69"/>
      <c r="D102" s="69"/>
      <c r="E102" s="69" t="s">
        <v>92</v>
      </c>
      <c r="F102" s="69"/>
      <c r="G102" s="71">
        <v>10500</v>
      </c>
      <c r="H102" s="72"/>
      <c r="I102" s="71">
        <v>14725</v>
      </c>
      <c r="J102" s="72"/>
      <c r="K102" s="71">
        <f>12000+2500</f>
        <v>14500</v>
      </c>
      <c r="M102" s="71">
        <v>14725</v>
      </c>
    </row>
    <row r="103" spans="1:16" ht="13.5" thickBot="1" x14ac:dyDescent="0.25">
      <c r="A103" s="91">
        <f t="shared" si="1"/>
        <v>99</v>
      </c>
      <c r="B103" s="69"/>
      <c r="C103" s="69"/>
      <c r="D103" s="69"/>
      <c r="E103" s="69" t="s">
        <v>93</v>
      </c>
      <c r="F103" s="69"/>
      <c r="G103" s="73">
        <v>8847.58</v>
      </c>
      <c r="H103" s="72"/>
      <c r="I103" s="73">
        <v>12500</v>
      </c>
      <c r="J103" s="72"/>
      <c r="K103" s="73">
        <f>G103/8*12</f>
        <v>13271.369999999999</v>
      </c>
      <c r="M103" s="73">
        <v>14000</v>
      </c>
      <c r="N103" s="56" t="s">
        <v>264</v>
      </c>
    </row>
    <row r="104" spans="1:16" x14ac:dyDescent="0.2">
      <c r="A104" s="91">
        <f t="shared" si="1"/>
        <v>100</v>
      </c>
      <c r="B104" s="69"/>
      <c r="C104" s="69"/>
      <c r="D104" s="69" t="s">
        <v>94</v>
      </c>
      <c r="E104" s="69"/>
      <c r="F104" s="69"/>
      <c r="G104" s="71">
        <f>ROUND(SUM(G100:G103),5)</f>
        <v>39901.58</v>
      </c>
      <c r="H104" s="72"/>
      <c r="I104" s="71">
        <f>ROUND(SUM(I100:I103),5)</f>
        <v>47975</v>
      </c>
      <c r="J104" s="72"/>
      <c r="K104" s="71">
        <f>ROUND(SUM(K100:K103),5)</f>
        <v>50986.37</v>
      </c>
      <c r="M104" s="71">
        <f>ROUND(SUM(M100:M103),5)</f>
        <v>52725</v>
      </c>
    </row>
    <row r="105" spans="1:16" x14ac:dyDescent="0.2">
      <c r="A105" s="91">
        <f t="shared" si="1"/>
        <v>101</v>
      </c>
      <c r="B105" s="69"/>
      <c r="C105" s="69"/>
      <c r="D105" s="69" t="s">
        <v>95</v>
      </c>
      <c r="E105" s="69"/>
      <c r="F105" s="69"/>
      <c r="G105" s="71"/>
      <c r="H105" s="72"/>
      <c r="I105" s="71"/>
      <c r="J105" s="72"/>
      <c r="K105" s="71"/>
      <c r="M105" s="71"/>
    </row>
    <row r="106" spans="1:16" x14ac:dyDescent="0.2">
      <c r="A106" s="91">
        <f t="shared" si="1"/>
        <v>102</v>
      </c>
      <c r="B106" s="69"/>
      <c r="C106" s="69"/>
      <c r="D106" s="69"/>
      <c r="E106" s="69" t="s">
        <v>96</v>
      </c>
      <c r="F106" s="69"/>
      <c r="G106" s="71">
        <v>0</v>
      </c>
      <c r="H106" s="72"/>
      <c r="I106" s="71">
        <v>1250</v>
      </c>
      <c r="J106" s="72"/>
      <c r="K106" s="71">
        <v>1250</v>
      </c>
      <c r="M106" s="71">
        <v>1250</v>
      </c>
    </row>
    <row r="107" spans="1:16" ht="13.5" thickBot="1" x14ac:dyDescent="0.25">
      <c r="A107" s="91">
        <f t="shared" si="1"/>
        <v>103</v>
      </c>
      <c r="B107" s="69"/>
      <c r="C107" s="69"/>
      <c r="D107" s="69"/>
      <c r="E107" s="69" t="s">
        <v>97</v>
      </c>
      <c r="F107" s="69"/>
      <c r="G107" s="73">
        <v>0</v>
      </c>
      <c r="H107" s="72"/>
      <c r="I107" s="73">
        <v>100</v>
      </c>
      <c r="J107" s="72"/>
      <c r="K107" s="73">
        <v>100</v>
      </c>
      <c r="M107" s="73">
        <v>400</v>
      </c>
      <c r="N107" s="56" t="s">
        <v>240</v>
      </c>
    </row>
    <row r="108" spans="1:16" x14ac:dyDescent="0.2">
      <c r="A108" s="91">
        <f t="shared" si="1"/>
        <v>104</v>
      </c>
      <c r="B108" s="69"/>
      <c r="C108" s="69"/>
      <c r="D108" s="69" t="s">
        <v>98</v>
      </c>
      <c r="E108" s="69"/>
      <c r="F108" s="69"/>
      <c r="G108" s="71">
        <f>ROUND(SUM(G105:G107),5)</f>
        <v>0</v>
      </c>
      <c r="H108" s="72"/>
      <c r="I108" s="71">
        <f>ROUND(SUM(I105:I107),5)</f>
        <v>1350</v>
      </c>
      <c r="J108" s="72"/>
      <c r="K108" s="71">
        <f>ROUND(SUM(K105:K107),5)</f>
        <v>1350</v>
      </c>
      <c r="M108" s="71">
        <f>ROUND(SUM(M105:M107),5)</f>
        <v>1650</v>
      </c>
    </row>
    <row r="109" spans="1:16" x14ac:dyDescent="0.2">
      <c r="A109" s="91">
        <f t="shared" si="1"/>
        <v>105</v>
      </c>
      <c r="B109" s="69"/>
      <c r="C109" s="69"/>
      <c r="D109" s="69" t="s">
        <v>99</v>
      </c>
      <c r="E109" s="69"/>
      <c r="F109" s="69"/>
      <c r="G109" s="71"/>
      <c r="H109" s="72"/>
      <c r="I109" s="71"/>
      <c r="J109" s="72"/>
      <c r="K109" s="71"/>
      <c r="M109" s="71"/>
    </row>
    <row r="110" spans="1:16" x14ac:dyDescent="0.2">
      <c r="A110" s="91">
        <f t="shared" si="1"/>
        <v>106</v>
      </c>
      <c r="B110" s="69"/>
      <c r="C110" s="69"/>
      <c r="D110" s="69"/>
      <c r="E110" s="69" t="s">
        <v>100</v>
      </c>
      <c r="F110" s="69"/>
      <c r="G110" s="71">
        <v>2175.04</v>
      </c>
      <c r="H110" s="72"/>
      <c r="I110" s="71">
        <v>3000</v>
      </c>
      <c r="J110" s="72"/>
      <c r="K110" s="71">
        <v>4000</v>
      </c>
      <c r="M110" s="71">
        <v>4000</v>
      </c>
      <c r="N110" s="56" t="s">
        <v>241</v>
      </c>
    </row>
    <row r="111" spans="1:16" x14ac:dyDescent="0.2">
      <c r="A111" s="91">
        <f t="shared" si="1"/>
        <v>107</v>
      </c>
      <c r="B111" s="69"/>
      <c r="C111" s="69"/>
      <c r="D111" s="69"/>
      <c r="E111" s="69" t="s">
        <v>101</v>
      </c>
      <c r="F111" s="69"/>
      <c r="G111" s="71">
        <f>1466.44+76.5</f>
        <v>1542.94</v>
      </c>
      <c r="H111" s="72"/>
      <c r="I111" s="71">
        <v>1000</v>
      </c>
      <c r="J111" s="72"/>
      <c r="K111" s="71">
        <f>1000+76.5</f>
        <v>1076.5</v>
      </c>
      <c r="M111" s="71">
        <v>1000</v>
      </c>
    </row>
    <row r="112" spans="1:16" x14ac:dyDescent="0.2">
      <c r="A112" s="91">
        <f t="shared" si="1"/>
        <v>108</v>
      </c>
      <c r="B112" s="69"/>
      <c r="C112" s="69"/>
      <c r="D112" s="69"/>
      <c r="E112" s="69" t="s">
        <v>102</v>
      </c>
      <c r="F112" s="69"/>
      <c r="G112" s="71">
        <v>750</v>
      </c>
      <c r="H112" s="72"/>
      <c r="I112" s="71">
        <v>1500</v>
      </c>
      <c r="J112" s="72"/>
      <c r="K112" s="71">
        <v>750</v>
      </c>
      <c r="M112" s="71">
        <v>1000</v>
      </c>
    </row>
    <row r="113" spans="1:14" ht="13.5" thickBot="1" x14ac:dyDescent="0.25">
      <c r="A113" s="91">
        <f t="shared" si="1"/>
        <v>109</v>
      </c>
      <c r="B113" s="69"/>
      <c r="C113" s="69"/>
      <c r="D113" s="69"/>
      <c r="E113" s="69" t="s">
        <v>103</v>
      </c>
      <c r="F113" s="69"/>
      <c r="G113" s="73">
        <v>104</v>
      </c>
      <c r="H113" s="72"/>
      <c r="I113" s="73">
        <v>1000</v>
      </c>
      <c r="J113" s="72"/>
      <c r="K113" s="73">
        <v>600</v>
      </c>
      <c r="M113" s="73">
        <v>600</v>
      </c>
    </row>
    <row r="114" spans="1:14" x14ac:dyDescent="0.2">
      <c r="A114" s="91">
        <f t="shared" si="1"/>
        <v>110</v>
      </c>
      <c r="B114" s="69"/>
      <c r="C114" s="69"/>
      <c r="D114" s="69" t="s">
        <v>104</v>
      </c>
      <c r="E114" s="69"/>
      <c r="F114" s="69"/>
      <c r="G114" s="71">
        <f>ROUND(SUM(G109:G113),5)</f>
        <v>4571.9799999999996</v>
      </c>
      <c r="H114" s="72"/>
      <c r="I114" s="71">
        <f>ROUND(SUM(I109:I113),5)</f>
        <v>6500</v>
      </c>
      <c r="J114" s="72"/>
      <c r="K114" s="71">
        <f>ROUND(SUM(K109:K113),5)</f>
        <v>6426.5</v>
      </c>
      <c r="M114" s="71">
        <f>ROUND(SUM(M109:M113),5)</f>
        <v>6600</v>
      </c>
    </row>
    <row r="115" spans="1:14" x14ac:dyDescent="0.2">
      <c r="A115" s="91">
        <f t="shared" si="1"/>
        <v>111</v>
      </c>
      <c r="B115" s="69"/>
      <c r="C115" s="69"/>
      <c r="D115" s="69" t="s">
        <v>105</v>
      </c>
      <c r="E115" s="69"/>
      <c r="F115" s="69"/>
      <c r="G115" s="71"/>
      <c r="H115" s="72"/>
      <c r="I115" s="71"/>
      <c r="J115" s="72"/>
      <c r="K115" s="71"/>
      <c r="M115" s="71"/>
    </row>
    <row r="116" spans="1:14" ht="13.5" thickBot="1" x14ac:dyDescent="0.25">
      <c r="A116" s="91">
        <f t="shared" si="1"/>
        <v>112</v>
      </c>
      <c r="B116" s="69"/>
      <c r="C116" s="69"/>
      <c r="D116" s="69"/>
      <c r="E116" s="69" t="s">
        <v>106</v>
      </c>
      <c r="F116" s="69"/>
      <c r="G116" s="74">
        <v>0</v>
      </c>
      <c r="H116" s="72"/>
      <c r="I116" s="74">
        <v>2700</v>
      </c>
      <c r="J116" s="72"/>
      <c r="K116" s="74">
        <v>2700</v>
      </c>
      <c r="M116" s="74">
        <v>2700</v>
      </c>
      <c r="N116" s="56" t="s">
        <v>271</v>
      </c>
    </row>
    <row r="117" spans="1:14" x14ac:dyDescent="0.2">
      <c r="A117" s="91">
        <f t="shared" si="1"/>
        <v>113</v>
      </c>
      <c r="B117" s="69"/>
      <c r="C117" s="69"/>
      <c r="D117" s="69" t="s">
        <v>107</v>
      </c>
      <c r="E117" s="69"/>
      <c r="F117" s="69"/>
      <c r="G117" s="76">
        <f>ROUND(SUM(G115:G116),5)</f>
        <v>0</v>
      </c>
      <c r="H117" s="72"/>
      <c r="I117" s="76">
        <f>ROUND(SUM(I115:I116),5)</f>
        <v>2700</v>
      </c>
      <c r="J117" s="72"/>
      <c r="K117" s="76">
        <f>ROUND(SUM(K115:K116),5)</f>
        <v>2700</v>
      </c>
      <c r="M117" s="76">
        <f>ROUND(SUM(M115:M116),5)</f>
        <v>2700</v>
      </c>
    </row>
    <row r="118" spans="1:14" s="107" customFormat="1" x14ac:dyDescent="0.2">
      <c r="A118" s="104">
        <f t="shared" ref="A118:A124" si="2">A117+1</f>
        <v>114</v>
      </c>
      <c r="B118" s="105"/>
      <c r="C118" s="105"/>
      <c r="D118" s="105" t="s">
        <v>290</v>
      </c>
      <c r="E118" s="105"/>
      <c r="F118" s="105"/>
      <c r="G118" s="112">
        <f>24946.86</f>
        <v>24946.86</v>
      </c>
      <c r="H118" s="113"/>
      <c r="I118" s="112">
        <v>0</v>
      </c>
      <c r="J118" s="113"/>
      <c r="K118" s="112">
        <f>53306-8000</f>
        <v>45306</v>
      </c>
      <c r="L118" s="114"/>
      <c r="M118" s="112">
        <v>0</v>
      </c>
      <c r="N118" s="108" t="s">
        <v>270</v>
      </c>
    </row>
    <row r="119" spans="1:14" s="107" customFormat="1" x14ac:dyDescent="0.2">
      <c r="A119" s="104">
        <f t="shared" si="2"/>
        <v>115</v>
      </c>
      <c r="B119" s="105"/>
      <c r="C119" s="105"/>
      <c r="D119" s="105"/>
      <c r="E119" s="105" t="s">
        <v>291</v>
      </c>
      <c r="F119" s="105"/>
      <c r="G119" s="112"/>
      <c r="H119" s="113"/>
      <c r="I119" s="112"/>
      <c r="J119" s="113"/>
      <c r="K119" s="112"/>
      <c r="L119" s="114"/>
      <c r="M119" s="112"/>
      <c r="N119" s="108"/>
    </row>
    <row r="120" spans="1:14" s="107" customFormat="1" x14ac:dyDescent="0.2">
      <c r="A120" s="104">
        <f t="shared" si="2"/>
        <v>116</v>
      </c>
      <c r="B120" s="105"/>
      <c r="C120" s="105"/>
      <c r="D120" s="105"/>
      <c r="E120" s="105" t="s">
        <v>292</v>
      </c>
      <c r="F120" s="105"/>
      <c r="G120" s="112"/>
      <c r="H120" s="113"/>
      <c r="I120" s="112"/>
      <c r="J120" s="113"/>
      <c r="K120" s="112"/>
      <c r="L120" s="114"/>
      <c r="M120" s="112"/>
      <c r="N120" s="108" t="s">
        <v>295</v>
      </c>
    </row>
    <row r="121" spans="1:14" s="107" customFormat="1" x14ac:dyDescent="0.2">
      <c r="A121" s="104">
        <f t="shared" si="2"/>
        <v>117</v>
      </c>
      <c r="B121" s="105"/>
      <c r="C121" s="105"/>
      <c r="D121" s="105" t="s">
        <v>293</v>
      </c>
      <c r="E121" s="105"/>
      <c r="F121" s="105"/>
      <c r="G121" s="112"/>
      <c r="H121" s="113"/>
      <c r="I121" s="112"/>
      <c r="J121" s="113"/>
      <c r="K121" s="112"/>
      <c r="L121" s="114"/>
      <c r="M121" s="112"/>
      <c r="N121" s="108"/>
    </row>
    <row r="122" spans="1:14" s="107" customFormat="1" ht="13.5" thickBot="1" x14ac:dyDescent="0.25">
      <c r="A122" s="115">
        <f t="shared" si="2"/>
        <v>118</v>
      </c>
      <c r="B122" s="105"/>
      <c r="C122" s="105"/>
      <c r="D122" s="105" t="s">
        <v>296</v>
      </c>
      <c r="F122" s="116"/>
      <c r="G122" s="112">
        <v>1251.4000000000001</v>
      </c>
      <c r="H122" s="113"/>
      <c r="I122" s="112">
        <v>0</v>
      </c>
      <c r="J122" s="113"/>
      <c r="K122" s="112">
        <f>1251+15000+2310</f>
        <v>18561</v>
      </c>
      <c r="L122" s="114"/>
      <c r="M122" s="112">
        <v>0</v>
      </c>
      <c r="N122" s="108" t="s">
        <v>297</v>
      </c>
    </row>
    <row r="123" spans="1:14" ht="13.5" thickBot="1" x14ac:dyDescent="0.25">
      <c r="A123" s="91">
        <f>A122+1</f>
        <v>119</v>
      </c>
      <c r="B123" s="69"/>
      <c r="C123" s="69" t="s">
        <v>108</v>
      </c>
      <c r="D123" s="69"/>
      <c r="E123" s="69"/>
      <c r="F123" s="69"/>
      <c r="G123" s="76">
        <f>G118+G122+G117+G114+G108+G104+G99+G89+G76+G62+G59+G50+G44+G41+G34+G31</f>
        <v>188628.03000000003</v>
      </c>
      <c r="H123" s="72"/>
      <c r="I123" s="76">
        <f>I118+I122+I117+I114+I108+I104+I99+I89+I76+I62+I59+I50+I44+I41+I34+I31</f>
        <v>242059.06</v>
      </c>
      <c r="J123" s="72"/>
      <c r="K123" s="76">
        <f>K118+K122+K117+K114+K108+K104+K99+K89+K76+K62+K59+K50+K44+K41+K34+K31</f>
        <v>310654.86</v>
      </c>
      <c r="M123" s="76">
        <f>M118+M122+M117+M114+M108+M104+M99+M89+M76+M62+M59+M50+M44+M41+M34+M31</f>
        <v>275333.08179999999</v>
      </c>
    </row>
    <row r="124" spans="1:14" s="83" customFormat="1" ht="13.5" thickBot="1" x14ac:dyDescent="0.25">
      <c r="A124" s="91">
        <f t="shared" si="2"/>
        <v>120</v>
      </c>
      <c r="B124" s="77" t="s">
        <v>244</v>
      </c>
      <c r="C124" s="77"/>
      <c r="D124" s="78"/>
      <c r="E124" s="78"/>
      <c r="F124" s="78"/>
      <c r="G124" s="79">
        <f>ROUND(G3+G21-G123,5)</f>
        <v>38408.06</v>
      </c>
      <c r="H124" s="78"/>
      <c r="I124" s="79">
        <f>ROUND(I3+I21-I123,5)</f>
        <v>50118.94</v>
      </c>
      <c r="J124" s="78"/>
      <c r="K124" s="79">
        <f>ROUND(K3+K21-K123,5)</f>
        <v>3872.14</v>
      </c>
      <c r="L124" s="80"/>
      <c r="M124" s="81">
        <f>ROUND(M3+M21-M123,5)</f>
        <v>18003.9182</v>
      </c>
      <c r="N124" s="82"/>
    </row>
    <row r="125" spans="1:14" x14ac:dyDescent="0.2">
      <c r="A125" s="91">
        <f t="shared" si="1"/>
        <v>121</v>
      </c>
    </row>
    <row r="126" spans="1:14" x14ac:dyDescent="0.2">
      <c r="A126" s="91">
        <f t="shared" si="1"/>
        <v>122</v>
      </c>
      <c r="B126" s="69" t="s">
        <v>113</v>
      </c>
      <c r="C126" s="69"/>
      <c r="D126" s="69"/>
      <c r="E126" s="69"/>
      <c r="F126" s="69"/>
      <c r="G126" s="88"/>
      <c r="H126" s="88"/>
      <c r="I126" s="71"/>
      <c r="J126" s="88"/>
      <c r="K126" s="71"/>
      <c r="M126" s="71"/>
    </row>
    <row r="127" spans="1:14" ht="13.5" thickBot="1" x14ac:dyDescent="0.25">
      <c r="A127" s="91">
        <f t="shared" si="1"/>
        <v>123</v>
      </c>
      <c r="B127" s="69"/>
      <c r="C127" s="69" t="s">
        <v>243</v>
      </c>
      <c r="D127" s="69"/>
      <c r="E127" s="69"/>
      <c r="F127" s="69"/>
      <c r="G127" s="88"/>
      <c r="H127" s="88"/>
      <c r="I127" s="71">
        <v>0</v>
      </c>
      <c r="J127" s="88"/>
      <c r="K127" s="71">
        <v>50000</v>
      </c>
      <c r="M127" s="71">
        <v>0</v>
      </c>
      <c r="N127" s="56" t="s">
        <v>267</v>
      </c>
    </row>
    <row r="128" spans="1:14" ht="13.5" thickBot="1" x14ac:dyDescent="0.25">
      <c r="A128" s="91">
        <f t="shared" si="1"/>
        <v>124</v>
      </c>
      <c r="B128" s="69"/>
      <c r="C128" s="69"/>
      <c r="D128" s="69" t="s">
        <v>114</v>
      </c>
      <c r="E128" s="88"/>
      <c r="F128" s="88"/>
      <c r="G128" s="88"/>
      <c r="H128" s="83"/>
      <c r="I128" s="94">
        <f>I127</f>
        <v>0</v>
      </c>
      <c r="J128" s="83"/>
      <c r="K128" s="94">
        <f>K127</f>
        <v>50000</v>
      </c>
      <c r="L128" s="83"/>
      <c r="M128" s="94">
        <f>M127</f>
        <v>0</v>
      </c>
      <c r="N128" s="56" t="s">
        <v>266</v>
      </c>
    </row>
    <row r="129" spans="1:15" x14ac:dyDescent="0.2">
      <c r="A129" s="91">
        <f t="shared" si="1"/>
        <v>125</v>
      </c>
      <c r="B129" s="69"/>
      <c r="C129" s="69" t="s">
        <v>245</v>
      </c>
      <c r="D129" s="69"/>
      <c r="E129" s="69"/>
      <c r="F129" s="69"/>
      <c r="G129" s="88"/>
      <c r="H129" s="88"/>
      <c r="I129" s="71"/>
      <c r="J129" s="88"/>
      <c r="K129" s="71"/>
      <c r="M129" s="71"/>
      <c r="O129" s="95" t="s">
        <v>179</v>
      </c>
    </row>
    <row r="130" spans="1:15" x14ac:dyDescent="0.2">
      <c r="A130" s="91">
        <f t="shared" si="1"/>
        <v>126</v>
      </c>
      <c r="B130" s="69"/>
      <c r="C130" s="69"/>
      <c r="D130" s="69" t="s">
        <v>115</v>
      </c>
      <c r="E130" s="83"/>
      <c r="F130" s="69"/>
      <c r="G130" s="88"/>
      <c r="H130" s="88"/>
      <c r="I130" s="71">
        <v>30000</v>
      </c>
      <c r="J130" s="88"/>
      <c r="K130" s="71">
        <v>30000</v>
      </c>
      <c r="M130" s="71">
        <v>0</v>
      </c>
      <c r="O130" s="96" t="s">
        <v>179</v>
      </c>
    </row>
    <row r="131" spans="1:15" x14ac:dyDescent="0.2">
      <c r="A131" s="91">
        <f t="shared" si="1"/>
        <v>127</v>
      </c>
      <c r="B131" s="69"/>
      <c r="C131" s="69"/>
      <c r="D131" s="69" t="s">
        <v>116</v>
      </c>
      <c r="E131" s="83"/>
      <c r="F131" s="69"/>
      <c r="G131" s="88"/>
      <c r="H131" s="88"/>
      <c r="I131" s="71">
        <v>10000</v>
      </c>
      <c r="J131" s="88"/>
      <c r="K131" s="71">
        <v>0</v>
      </c>
      <c r="M131" s="71">
        <v>15000</v>
      </c>
      <c r="N131" s="62" t="s">
        <v>246</v>
      </c>
      <c r="O131" s="63" t="s">
        <v>228</v>
      </c>
    </row>
    <row r="132" spans="1:15" ht="13.5" thickBot="1" x14ac:dyDescent="0.25">
      <c r="A132" s="91">
        <f t="shared" si="1"/>
        <v>128</v>
      </c>
      <c r="B132" s="83"/>
      <c r="C132" s="83"/>
      <c r="D132" s="83" t="s">
        <v>117</v>
      </c>
      <c r="E132" s="83"/>
      <c r="F132" s="83"/>
      <c r="G132" s="88"/>
      <c r="H132" s="88"/>
      <c r="I132" s="73">
        <f>1350+2250</f>
        <v>3600</v>
      </c>
      <c r="J132" s="88"/>
      <c r="K132" s="73">
        <v>1350</v>
      </c>
      <c r="M132" s="73">
        <v>1850</v>
      </c>
      <c r="N132" s="63" t="s">
        <v>179</v>
      </c>
    </row>
    <row r="133" spans="1:15" ht="13.5" thickBot="1" x14ac:dyDescent="0.25">
      <c r="A133" s="91">
        <f t="shared" si="1"/>
        <v>129</v>
      </c>
      <c r="B133" s="83"/>
      <c r="C133" s="83"/>
      <c r="D133" s="69" t="s">
        <v>118</v>
      </c>
      <c r="E133" s="88"/>
      <c r="F133" s="88"/>
      <c r="G133" s="88"/>
      <c r="H133" s="88"/>
      <c r="I133" s="71">
        <f>SUM(I130:I132)</f>
        <v>43600</v>
      </c>
      <c r="J133" s="88"/>
      <c r="K133" s="71">
        <f>SUM(K130:K132)</f>
        <v>31350</v>
      </c>
      <c r="M133" s="71">
        <f>SUM(M130:M132)</f>
        <v>16850</v>
      </c>
    </row>
    <row r="134" spans="1:15" ht="13.5" thickBot="1" x14ac:dyDescent="0.25">
      <c r="A134" s="91">
        <f t="shared" si="1"/>
        <v>130</v>
      </c>
      <c r="B134" s="69" t="s">
        <v>119</v>
      </c>
      <c r="C134" s="69"/>
      <c r="D134" s="69"/>
      <c r="E134" s="69"/>
      <c r="F134" s="69"/>
      <c r="G134" s="88"/>
      <c r="H134" s="83"/>
      <c r="I134" s="94">
        <f>I128-I133</f>
        <v>-43600</v>
      </c>
      <c r="J134" s="83"/>
      <c r="K134" s="94">
        <f>K128-K133</f>
        <v>18650</v>
      </c>
      <c r="L134" s="83"/>
      <c r="M134" s="94">
        <f>M128-M133</f>
        <v>-16850</v>
      </c>
    </row>
    <row r="135" spans="1:15" ht="13.5" thickBot="1" x14ac:dyDescent="0.25">
      <c r="A135" s="91">
        <f t="shared" si="1"/>
        <v>131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M135" s="88"/>
    </row>
    <row r="136" spans="1:15" ht="13.5" thickBot="1" x14ac:dyDescent="0.25">
      <c r="A136" s="91">
        <f t="shared" si="1"/>
        <v>132</v>
      </c>
      <c r="B136" s="69" t="s">
        <v>120</v>
      </c>
      <c r="C136" s="69"/>
      <c r="D136" s="69"/>
      <c r="E136" s="69"/>
      <c r="F136" s="69"/>
      <c r="G136" s="88"/>
      <c r="H136" s="83"/>
      <c r="I136" s="94">
        <f>I124+I134</f>
        <v>6518.9400000000023</v>
      </c>
      <c r="J136" s="83"/>
      <c r="K136" s="94">
        <f>K124+K134</f>
        <v>22522.14</v>
      </c>
      <c r="L136" s="83"/>
      <c r="M136" s="94">
        <f>M124+M134</f>
        <v>1153.9182000000001</v>
      </c>
      <c r="N136" s="56" t="s">
        <v>179</v>
      </c>
    </row>
    <row r="137" spans="1:15" x14ac:dyDescent="0.2">
      <c r="A137" s="91">
        <f t="shared" si="1"/>
        <v>133</v>
      </c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M137" s="88"/>
      <c r="N137" s="56" t="s">
        <v>179</v>
      </c>
    </row>
    <row r="138" spans="1:15" x14ac:dyDescent="0.2">
      <c r="A138" s="91">
        <f t="shared" ref="A138:A157" si="3">A137+1</f>
        <v>134</v>
      </c>
      <c r="B138" s="69" t="s">
        <v>121</v>
      </c>
      <c r="C138" s="69"/>
      <c r="D138" s="69"/>
      <c r="E138" s="69"/>
      <c r="F138" s="69"/>
      <c r="G138" s="88"/>
      <c r="H138" s="88"/>
      <c r="I138" s="71"/>
      <c r="J138" s="88"/>
      <c r="K138" s="71"/>
      <c r="M138" s="71"/>
    </row>
    <row r="139" spans="1:15" x14ac:dyDescent="0.2">
      <c r="A139" s="91">
        <f t="shared" si="3"/>
        <v>135</v>
      </c>
      <c r="B139" s="69"/>
      <c r="C139" s="69" t="s">
        <v>1</v>
      </c>
      <c r="D139" s="69"/>
      <c r="E139" s="69"/>
      <c r="F139" s="69"/>
      <c r="G139" s="88"/>
      <c r="H139" s="88"/>
      <c r="I139" s="71"/>
      <c r="J139" s="88"/>
      <c r="K139" s="71"/>
      <c r="M139" s="71"/>
    </row>
    <row r="140" spans="1:15" x14ac:dyDescent="0.2">
      <c r="A140" s="91">
        <f t="shared" si="3"/>
        <v>136</v>
      </c>
      <c r="B140" s="69"/>
      <c r="C140" s="69"/>
      <c r="D140" s="69" t="s">
        <v>2</v>
      </c>
      <c r="E140" s="69"/>
      <c r="F140" s="69"/>
      <c r="G140" s="71">
        <v>40000</v>
      </c>
      <c r="H140" s="88"/>
      <c r="I140" s="71">
        <v>40000</v>
      </c>
      <c r="J140" s="88"/>
      <c r="K140" s="71">
        <v>40000</v>
      </c>
      <c r="M140" s="71">
        <v>40000</v>
      </c>
      <c r="N140" s="56" t="s">
        <v>122</v>
      </c>
    </row>
    <row r="141" spans="1:15" ht="13.5" thickBot="1" x14ac:dyDescent="0.25">
      <c r="A141" s="91">
        <f t="shared" si="3"/>
        <v>137</v>
      </c>
      <c r="B141" s="69"/>
      <c r="C141" s="69"/>
      <c r="D141" s="69" t="s">
        <v>247</v>
      </c>
      <c r="E141" s="88"/>
      <c r="F141" s="88"/>
      <c r="G141" s="73">
        <f>-G12</f>
        <v>22847.67</v>
      </c>
      <c r="H141" s="88"/>
      <c r="I141" s="73">
        <f>-I12</f>
        <v>22000</v>
      </c>
      <c r="J141" s="88"/>
      <c r="K141" s="73">
        <f>-K12</f>
        <v>30000</v>
      </c>
      <c r="M141" s="73">
        <f>-M12</f>
        <v>60300</v>
      </c>
      <c r="N141" s="56" t="s">
        <v>248</v>
      </c>
    </row>
    <row r="142" spans="1:15" x14ac:dyDescent="0.2">
      <c r="A142" s="91">
        <f t="shared" si="3"/>
        <v>138</v>
      </c>
      <c r="B142" s="69"/>
      <c r="C142" s="69"/>
      <c r="D142" s="69" t="s">
        <v>123</v>
      </c>
      <c r="E142" s="88"/>
      <c r="F142" s="88"/>
      <c r="G142" s="97">
        <f>ROUND(SUM(G140:G141),5)</f>
        <v>62847.67</v>
      </c>
      <c r="H142" s="88"/>
      <c r="I142" s="97">
        <f>ROUND(SUM(I140:I141),5)</f>
        <v>62000</v>
      </c>
      <c r="J142" s="83"/>
      <c r="K142" s="97">
        <f>ROUND(SUM(K140:K141),5)</f>
        <v>70000</v>
      </c>
      <c r="L142" s="83"/>
      <c r="M142" s="97">
        <f>ROUND(SUM(M140:M141),5)</f>
        <v>100300</v>
      </c>
      <c r="N142" s="56" t="s">
        <v>249</v>
      </c>
    </row>
    <row r="143" spans="1:15" x14ac:dyDescent="0.2">
      <c r="A143" s="91">
        <f t="shared" si="3"/>
        <v>139</v>
      </c>
      <c r="B143" s="69"/>
      <c r="C143" s="69" t="s">
        <v>124</v>
      </c>
      <c r="D143" s="69"/>
      <c r="E143" s="69"/>
      <c r="F143" s="69"/>
      <c r="G143" s="88"/>
      <c r="H143" s="88"/>
      <c r="I143" s="71"/>
      <c r="J143" s="88"/>
      <c r="K143" s="71"/>
      <c r="M143" s="71"/>
    </row>
    <row r="144" spans="1:15" s="107" customFormat="1" x14ac:dyDescent="0.2">
      <c r="A144" s="104">
        <f t="shared" si="3"/>
        <v>140</v>
      </c>
      <c r="B144" s="105"/>
      <c r="C144" s="105"/>
      <c r="D144" s="105" t="s">
        <v>250</v>
      </c>
      <c r="E144" s="106"/>
      <c r="F144" s="105"/>
      <c r="I144" s="110">
        <v>40000</v>
      </c>
      <c r="K144" s="110">
        <v>0</v>
      </c>
      <c r="M144" s="110">
        <v>0</v>
      </c>
      <c r="N144" s="108" t="s">
        <v>251</v>
      </c>
    </row>
    <row r="145" spans="1:15" s="107" customFormat="1" x14ac:dyDescent="0.2">
      <c r="A145" s="104">
        <f t="shared" si="3"/>
        <v>141</v>
      </c>
      <c r="B145" s="105"/>
      <c r="C145" s="105"/>
      <c r="D145" s="105" t="s">
        <v>226</v>
      </c>
      <c r="E145" s="106"/>
      <c r="F145" s="105"/>
      <c r="I145" s="110">
        <v>0</v>
      </c>
      <c r="K145" s="110">
        <v>0</v>
      </c>
      <c r="M145" s="110">
        <v>99000</v>
      </c>
      <c r="N145" s="108" t="s">
        <v>252</v>
      </c>
    </row>
    <row r="146" spans="1:15" s="107" customFormat="1" x14ac:dyDescent="0.2">
      <c r="A146" s="104">
        <f t="shared" si="3"/>
        <v>142</v>
      </c>
      <c r="B146" s="106"/>
      <c r="C146" s="106"/>
      <c r="D146" s="106" t="s">
        <v>227</v>
      </c>
      <c r="E146" s="106"/>
      <c r="F146" s="106"/>
      <c r="I146" s="112">
        <v>0</v>
      </c>
      <c r="J146" s="114"/>
      <c r="K146" s="112">
        <v>0</v>
      </c>
      <c r="L146" s="114"/>
      <c r="M146" s="112">
        <v>30000</v>
      </c>
      <c r="N146" s="108"/>
    </row>
    <row r="147" spans="1:15" s="107" customFormat="1" x14ac:dyDescent="0.2">
      <c r="A147" s="104">
        <f t="shared" si="3"/>
        <v>143</v>
      </c>
      <c r="B147" s="106"/>
      <c r="C147" s="106"/>
      <c r="D147" s="106" t="s">
        <v>125</v>
      </c>
      <c r="E147" s="106"/>
      <c r="F147" s="106"/>
      <c r="I147" s="112">
        <v>500</v>
      </c>
      <c r="J147" s="114"/>
      <c r="K147" s="112">
        <v>0</v>
      </c>
      <c r="L147" s="114"/>
      <c r="M147" s="112">
        <v>0</v>
      </c>
      <c r="N147" s="108"/>
    </row>
    <row r="148" spans="1:15" s="107" customFormat="1" x14ac:dyDescent="0.2">
      <c r="A148" s="104">
        <f t="shared" si="3"/>
        <v>144</v>
      </c>
      <c r="B148" s="106"/>
      <c r="C148" s="106"/>
      <c r="D148" s="106" t="s">
        <v>265</v>
      </c>
      <c r="E148" s="106"/>
      <c r="F148" s="106"/>
      <c r="I148" s="112">
        <v>0</v>
      </c>
      <c r="J148" s="114"/>
      <c r="K148" s="112">
        <v>0</v>
      </c>
      <c r="L148" s="114"/>
      <c r="M148" s="112">
        <v>6000</v>
      </c>
      <c r="N148" s="108"/>
    </row>
    <row r="149" spans="1:15" s="107" customFormat="1" ht="13.5" thickBot="1" x14ac:dyDescent="0.25">
      <c r="A149" s="104">
        <f t="shared" si="3"/>
        <v>145</v>
      </c>
      <c r="B149" s="106"/>
      <c r="C149" s="106"/>
      <c r="D149" s="106" t="s">
        <v>159</v>
      </c>
      <c r="E149" s="106"/>
      <c r="F149" s="106"/>
      <c r="I149" s="117">
        <v>0</v>
      </c>
      <c r="K149" s="117">
        <f>4500+3500</f>
        <v>8000</v>
      </c>
      <c r="M149" s="117">
        <v>0</v>
      </c>
      <c r="N149" s="108"/>
    </row>
    <row r="150" spans="1:15" s="107" customFormat="1" ht="13.5" thickBot="1" x14ac:dyDescent="0.25">
      <c r="A150" s="104">
        <f t="shared" si="3"/>
        <v>146</v>
      </c>
      <c r="B150" s="106"/>
      <c r="C150" s="106"/>
      <c r="D150" s="105" t="s">
        <v>126</v>
      </c>
      <c r="G150" s="109">
        <f>SUM(G144:G149)</f>
        <v>0</v>
      </c>
      <c r="I150" s="109">
        <f>SUM(I144:I149)</f>
        <v>40500</v>
      </c>
      <c r="J150" s="106"/>
      <c r="K150" s="109">
        <f>SUM(K144:K149)</f>
        <v>8000</v>
      </c>
      <c r="L150" s="106"/>
      <c r="M150" s="109">
        <f>SUM(M144:M149)</f>
        <v>135000</v>
      </c>
      <c r="N150" s="108"/>
    </row>
    <row r="151" spans="1:15" ht="13.5" thickBot="1" x14ac:dyDescent="0.25">
      <c r="A151" s="91">
        <f t="shared" si="3"/>
        <v>147</v>
      </c>
      <c r="B151" s="69" t="s">
        <v>127</v>
      </c>
      <c r="C151" s="69"/>
      <c r="D151" s="69"/>
      <c r="E151" s="69"/>
      <c r="F151" s="69"/>
      <c r="G151" s="94">
        <f>G142-G150</f>
        <v>62847.67</v>
      </c>
      <c r="H151" s="83"/>
      <c r="I151" s="94">
        <f>I142-I150</f>
        <v>21500</v>
      </c>
      <c r="J151" s="83"/>
      <c r="K151" s="94">
        <f>K142-K150</f>
        <v>62000</v>
      </c>
      <c r="L151" s="83"/>
      <c r="M151" s="94">
        <f>M142-M150</f>
        <v>-34700</v>
      </c>
    </row>
    <row r="152" spans="1:15" ht="13.5" thickBot="1" x14ac:dyDescent="0.25">
      <c r="A152" s="91">
        <f t="shared" si="3"/>
        <v>148</v>
      </c>
      <c r="B152" s="83"/>
      <c r="C152" s="83"/>
      <c r="D152" s="83"/>
      <c r="E152" s="83"/>
      <c r="F152" s="83"/>
      <c r="G152" s="88"/>
      <c r="H152" s="88"/>
      <c r="I152" s="88"/>
      <c r="J152" s="88"/>
      <c r="K152" s="88"/>
      <c r="M152" s="88"/>
    </row>
    <row r="153" spans="1:15" ht="28.5" customHeight="1" thickTop="1" thickBot="1" x14ac:dyDescent="0.25">
      <c r="A153" s="91">
        <f t="shared" si="3"/>
        <v>149</v>
      </c>
      <c r="B153" s="69" t="s">
        <v>128</v>
      </c>
      <c r="C153" s="88"/>
      <c r="D153" s="69"/>
      <c r="E153" s="69"/>
      <c r="F153" s="69"/>
      <c r="G153" s="70" t="s">
        <v>133</v>
      </c>
      <c r="H153" s="88"/>
      <c r="I153" s="98" t="s">
        <v>134</v>
      </c>
      <c r="J153" s="88"/>
      <c r="K153" s="98" t="s">
        <v>135</v>
      </c>
      <c r="M153" s="98" t="s">
        <v>136</v>
      </c>
      <c r="O153" s="64" t="s">
        <v>229</v>
      </c>
    </row>
    <row r="154" spans="1:15" ht="13.5" thickTop="1" x14ac:dyDescent="0.2">
      <c r="A154" s="91">
        <f t="shared" si="3"/>
        <v>150</v>
      </c>
      <c r="B154" s="69"/>
      <c r="C154" s="69"/>
      <c r="D154" s="69" t="s">
        <v>129</v>
      </c>
      <c r="E154" s="83"/>
      <c r="F154" s="69"/>
      <c r="G154" s="71">
        <v>77381</v>
      </c>
      <c r="H154" s="88"/>
      <c r="I154" s="71">
        <v>118993.94</v>
      </c>
      <c r="J154" s="88"/>
      <c r="K154" s="71">
        <f>121762-30000-5000</f>
        <v>86762</v>
      </c>
      <c r="M154" s="71">
        <f>K154+M136+M131</f>
        <v>102915.9182</v>
      </c>
      <c r="N154" s="56" t="s">
        <v>269</v>
      </c>
      <c r="O154" s="65">
        <v>184611</v>
      </c>
    </row>
    <row r="155" spans="1:15" x14ac:dyDescent="0.2">
      <c r="A155" s="91">
        <f t="shared" si="3"/>
        <v>151</v>
      </c>
      <c r="B155" s="69"/>
      <c r="C155" s="69"/>
      <c r="D155" s="69" t="s">
        <v>130</v>
      </c>
      <c r="E155" s="83"/>
      <c r="F155" s="69"/>
      <c r="G155" s="71">
        <v>207920</v>
      </c>
      <c r="H155" s="88"/>
      <c r="I155" s="71">
        <v>216892</v>
      </c>
      <c r="J155" s="88"/>
      <c r="K155" s="71">
        <f>242104</f>
        <v>242104</v>
      </c>
      <c r="M155" s="71">
        <f>242104-34700</f>
        <v>207404</v>
      </c>
      <c r="O155" s="65">
        <v>240767</v>
      </c>
    </row>
    <row r="156" spans="1:15" ht="13.5" thickBot="1" x14ac:dyDescent="0.25">
      <c r="A156" s="91">
        <f t="shared" si="3"/>
        <v>152</v>
      </c>
      <c r="B156" s="83"/>
      <c r="C156" s="83"/>
      <c r="D156" s="83" t="s">
        <v>131</v>
      </c>
      <c r="E156" s="83"/>
      <c r="F156" s="83"/>
      <c r="G156" s="73">
        <v>32000</v>
      </c>
      <c r="H156" s="88"/>
      <c r="I156" s="73">
        <v>32000</v>
      </c>
      <c r="J156" s="88"/>
      <c r="K156" s="73">
        <v>32000</v>
      </c>
      <c r="M156" s="73">
        <v>32000</v>
      </c>
      <c r="N156" s="56" t="s">
        <v>268</v>
      </c>
      <c r="O156" s="66">
        <v>32091</v>
      </c>
    </row>
    <row r="157" spans="1:15" ht="14.25" thickTop="1" thickBot="1" x14ac:dyDescent="0.25">
      <c r="A157" s="91">
        <f t="shared" si="3"/>
        <v>153</v>
      </c>
      <c r="B157" s="83"/>
      <c r="C157" s="83"/>
      <c r="D157" s="69" t="s">
        <v>132</v>
      </c>
      <c r="E157" s="88"/>
      <c r="F157" s="88"/>
      <c r="G157" s="99">
        <f>SUM(G154:G156)</f>
        <v>317301</v>
      </c>
      <c r="H157" s="100"/>
      <c r="I157" s="99">
        <f>SUM(I154:I156)</f>
        <v>367885.94</v>
      </c>
      <c r="J157" s="100"/>
      <c r="K157" s="99">
        <f>SUM(K154:K156)</f>
        <v>360866</v>
      </c>
      <c r="L157" s="100"/>
      <c r="M157" s="99">
        <f>SUM(M154:M156)</f>
        <v>342319.91820000001</v>
      </c>
      <c r="O157" s="67">
        <f>SUM(O154:O156)</f>
        <v>457469</v>
      </c>
    </row>
    <row r="158" spans="1:15" ht="13.5" thickTop="1" x14ac:dyDescent="0.2"/>
  </sheetData>
  <mergeCells count="1">
    <mergeCell ref="B1:F2"/>
  </mergeCells>
  <printOptions gridLines="1"/>
  <pageMargins left="0.25" right="0.2" top="0.5" bottom="0.5" header="0.1" footer="0.05"/>
  <pageSetup scale="67" fitToHeight="2" orientation="portrait" r:id="rId1"/>
  <ignoredErrors>
    <ignoredError sqref="L99:M99 L117:M117 G117:H117 G99:H99 I117 I99" formulaRange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123825</xdr:colOff>
                <xdr:row>1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123825</xdr:colOff>
                <xdr:row>1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BDB2-8A94-4DFB-B3B6-F76DCBF22729}">
  <sheetPr>
    <pageSetUpPr fitToPage="1"/>
  </sheetPr>
  <dimension ref="A1:E24"/>
  <sheetViews>
    <sheetView workbookViewId="0">
      <selection activeCell="A17" sqref="A17"/>
    </sheetView>
  </sheetViews>
  <sheetFormatPr defaultRowHeight="15" x14ac:dyDescent="0.25"/>
  <cols>
    <col min="1" max="2" width="14.7109375" customWidth="1"/>
    <col min="3" max="3" width="17.28515625" customWidth="1"/>
    <col min="4" max="4" width="24.7109375" customWidth="1"/>
    <col min="5" max="5" width="10.5703125" style="1" bestFit="1" customWidth="1"/>
  </cols>
  <sheetData>
    <row r="1" spans="1:5" x14ac:dyDescent="0.25">
      <c r="A1" s="27" t="s">
        <v>212</v>
      </c>
      <c r="B1" s="28"/>
      <c r="C1" s="28"/>
      <c r="D1" s="28"/>
      <c r="E1" s="29"/>
    </row>
    <row r="2" spans="1:5" x14ac:dyDescent="0.25">
      <c r="A2" s="30"/>
      <c r="B2" s="31"/>
      <c r="C2" s="31"/>
      <c r="D2" s="31"/>
      <c r="E2" s="32"/>
    </row>
    <row r="3" spans="1:5" x14ac:dyDescent="0.25">
      <c r="A3" s="39" t="s">
        <v>199</v>
      </c>
      <c r="B3" s="34" t="s">
        <v>200</v>
      </c>
      <c r="C3" s="34" t="s">
        <v>196</v>
      </c>
      <c r="D3" s="34" t="s">
        <v>197</v>
      </c>
      <c r="E3" s="38">
        <v>33645</v>
      </c>
    </row>
    <row r="4" spans="1:5" x14ac:dyDescent="0.25">
      <c r="A4" s="39"/>
      <c r="B4" s="34"/>
      <c r="C4" s="34"/>
      <c r="D4" s="34"/>
      <c r="E4" s="35"/>
    </row>
    <row r="5" spans="1:5" x14ac:dyDescent="0.25">
      <c r="A5" s="39" t="s">
        <v>198</v>
      </c>
      <c r="B5" s="34" t="s">
        <v>201</v>
      </c>
      <c r="C5" s="34" t="s">
        <v>196</v>
      </c>
      <c r="D5" s="34" t="s">
        <v>202</v>
      </c>
      <c r="E5" s="35">
        <v>4900</v>
      </c>
    </row>
    <row r="6" spans="1:5" x14ac:dyDescent="0.25">
      <c r="A6" s="33"/>
      <c r="B6" s="34" t="s">
        <v>203</v>
      </c>
      <c r="C6" s="34" t="s">
        <v>196</v>
      </c>
      <c r="D6" s="34" t="s">
        <v>204</v>
      </c>
      <c r="E6" s="35">
        <v>4225</v>
      </c>
    </row>
    <row r="7" spans="1:5" x14ac:dyDescent="0.25">
      <c r="A7" s="33"/>
      <c r="B7" s="34" t="s">
        <v>203</v>
      </c>
      <c r="C7" s="34" t="s">
        <v>196</v>
      </c>
      <c r="D7" s="34" t="s">
        <v>205</v>
      </c>
      <c r="E7" s="35">
        <v>4275</v>
      </c>
    </row>
    <row r="8" spans="1:5" x14ac:dyDescent="0.25">
      <c r="A8" s="33"/>
      <c r="B8" s="34" t="s">
        <v>206</v>
      </c>
      <c r="C8" s="34" t="s">
        <v>196</v>
      </c>
      <c r="D8" s="34" t="s">
        <v>208</v>
      </c>
      <c r="E8" s="35"/>
    </row>
    <row r="9" spans="1:5" x14ac:dyDescent="0.25">
      <c r="A9" s="33"/>
      <c r="B9" s="34"/>
      <c r="C9" s="34"/>
      <c r="D9" s="34" t="s">
        <v>207</v>
      </c>
      <c r="E9" s="35">
        <v>11130</v>
      </c>
    </row>
    <row r="10" spans="1:5" x14ac:dyDescent="0.25">
      <c r="A10" s="33"/>
      <c r="B10" s="34" t="s">
        <v>206</v>
      </c>
      <c r="C10" s="34" t="s">
        <v>211</v>
      </c>
      <c r="D10" s="34" t="s">
        <v>159</v>
      </c>
      <c r="E10" s="35">
        <v>4500</v>
      </c>
    </row>
    <row r="11" spans="1:5" x14ac:dyDescent="0.25">
      <c r="A11" s="33"/>
      <c r="B11" s="34" t="s">
        <v>209</v>
      </c>
      <c r="C11" s="34" t="s">
        <v>196</v>
      </c>
      <c r="D11" s="34" t="s">
        <v>210</v>
      </c>
      <c r="E11" s="35">
        <v>9230</v>
      </c>
    </row>
    <row r="12" spans="1:5" x14ac:dyDescent="0.25">
      <c r="A12" s="33"/>
      <c r="B12" s="34" t="s">
        <v>209</v>
      </c>
      <c r="C12" s="34" t="s">
        <v>211</v>
      </c>
      <c r="D12" s="34" t="s">
        <v>159</v>
      </c>
      <c r="E12" s="36">
        <v>3500</v>
      </c>
    </row>
    <row r="13" spans="1:5" x14ac:dyDescent="0.25">
      <c r="A13" s="33"/>
      <c r="B13" s="34"/>
      <c r="C13" s="37" t="s">
        <v>213</v>
      </c>
      <c r="D13" s="37"/>
      <c r="E13" s="38">
        <f>SUM(E5:E12)</f>
        <v>41760</v>
      </c>
    </row>
    <row r="14" spans="1:5" x14ac:dyDescent="0.25">
      <c r="A14" s="33"/>
      <c r="B14" s="34"/>
      <c r="C14" s="34"/>
      <c r="D14" s="34"/>
      <c r="E14" s="35"/>
    </row>
    <row r="15" spans="1:5" x14ac:dyDescent="0.25">
      <c r="A15" s="33"/>
      <c r="B15" s="42" t="s">
        <v>225</v>
      </c>
      <c r="C15" s="34" t="s">
        <v>214</v>
      </c>
      <c r="D15" s="34" t="s">
        <v>215</v>
      </c>
      <c r="E15" s="35">
        <v>5400</v>
      </c>
    </row>
    <row r="16" spans="1:5" x14ac:dyDescent="0.25">
      <c r="A16" s="33"/>
      <c r="B16" s="42" t="s">
        <v>225</v>
      </c>
      <c r="C16" s="34" t="s">
        <v>216</v>
      </c>
      <c r="D16" s="34" t="s">
        <v>217</v>
      </c>
      <c r="E16" s="35">
        <v>4485</v>
      </c>
    </row>
    <row r="17" spans="1:5" x14ac:dyDescent="0.25">
      <c r="A17" s="33"/>
      <c r="B17" s="42" t="s">
        <v>225</v>
      </c>
      <c r="C17" s="34" t="s">
        <v>216</v>
      </c>
      <c r="D17" s="34" t="s">
        <v>218</v>
      </c>
      <c r="E17" s="36">
        <v>1661</v>
      </c>
    </row>
    <row r="18" spans="1:5" x14ac:dyDescent="0.25">
      <c r="A18" s="33"/>
      <c r="B18" s="34"/>
      <c r="C18" s="37" t="s">
        <v>221</v>
      </c>
      <c r="D18" s="37"/>
      <c r="E18" s="38">
        <f>SUM(E15:E17)</f>
        <v>11546</v>
      </c>
    </row>
    <row r="19" spans="1:5" x14ac:dyDescent="0.25">
      <c r="A19" s="33"/>
      <c r="B19" s="7"/>
      <c r="C19" s="9"/>
      <c r="D19" s="9" t="s">
        <v>219</v>
      </c>
      <c r="E19" s="26">
        <f>E18+E13</f>
        <v>53306</v>
      </c>
    </row>
    <row r="20" spans="1:5" x14ac:dyDescent="0.25">
      <c r="A20" s="33"/>
      <c r="B20" s="7"/>
      <c r="C20" s="9"/>
      <c r="D20" s="9" t="s">
        <v>220</v>
      </c>
      <c r="E20" s="26">
        <f>E19+E3</f>
        <v>86951</v>
      </c>
    </row>
    <row r="21" spans="1:5" x14ac:dyDescent="0.25">
      <c r="A21" s="33"/>
      <c r="B21" s="34"/>
      <c r="C21" s="34"/>
      <c r="D21" s="34"/>
      <c r="E21" s="35"/>
    </row>
    <row r="22" spans="1:5" x14ac:dyDescent="0.25">
      <c r="A22" s="39" t="s">
        <v>222</v>
      </c>
      <c r="B22" s="37" t="s">
        <v>223</v>
      </c>
      <c r="C22" s="37"/>
      <c r="D22" s="37"/>
      <c r="E22" s="38">
        <v>21700</v>
      </c>
    </row>
    <row r="23" spans="1:5" x14ac:dyDescent="0.25">
      <c r="A23" s="33"/>
      <c r="B23" s="7"/>
      <c r="C23" s="9"/>
      <c r="D23" s="9" t="s">
        <v>224</v>
      </c>
      <c r="E23" s="26">
        <f>E20-E22</f>
        <v>65251</v>
      </c>
    </row>
    <row r="24" spans="1:5" x14ac:dyDescent="0.25">
      <c r="A24" s="40"/>
      <c r="B24" s="41"/>
      <c r="C24" s="41"/>
      <c r="D24" s="41"/>
      <c r="E24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7706-FA72-496F-BF76-1984C3424759}">
  <sheetPr>
    <pageSetUpPr fitToPage="1"/>
  </sheetPr>
  <dimension ref="A1:G23"/>
  <sheetViews>
    <sheetView topLeftCell="A8" zoomScaleNormal="100" workbookViewId="0">
      <selection activeCell="A10" sqref="A10"/>
    </sheetView>
  </sheetViews>
  <sheetFormatPr defaultRowHeight="15" x14ac:dyDescent="0.25"/>
  <cols>
    <col min="1" max="1" width="19.5703125" customWidth="1"/>
    <col min="2" max="2" width="17.28515625" customWidth="1"/>
    <col min="3" max="3" width="7.5703125" customWidth="1"/>
    <col min="5" max="5" width="16.85546875" customWidth="1"/>
    <col min="6" max="6" width="11.5703125" bestFit="1" customWidth="1"/>
  </cols>
  <sheetData>
    <row r="1" spans="1:5" x14ac:dyDescent="0.25">
      <c r="A1" t="s">
        <v>137</v>
      </c>
    </row>
    <row r="2" spans="1:5" x14ac:dyDescent="0.25">
      <c r="A2" t="s">
        <v>138</v>
      </c>
    </row>
    <row r="3" spans="1:5" x14ac:dyDescent="0.25">
      <c r="A3" t="s">
        <v>139</v>
      </c>
      <c r="B3" s="2">
        <v>43385</v>
      </c>
    </row>
    <row r="4" spans="1:5" x14ac:dyDescent="0.25">
      <c r="A4" t="s">
        <v>140</v>
      </c>
      <c r="B4" s="2">
        <v>44116</v>
      </c>
    </row>
    <row r="5" spans="1:5" x14ac:dyDescent="0.25">
      <c r="A5" t="s">
        <v>141</v>
      </c>
      <c r="B5" s="2">
        <v>44481</v>
      </c>
    </row>
    <row r="6" spans="1:5" x14ac:dyDescent="0.25">
      <c r="B6" s="3"/>
    </row>
    <row r="7" spans="1:5" x14ac:dyDescent="0.25">
      <c r="A7" s="4" t="s">
        <v>142</v>
      </c>
      <c r="B7" s="4" t="s">
        <v>143</v>
      </c>
      <c r="C7" s="4" t="s">
        <v>144</v>
      </c>
      <c r="D7" s="4" t="s">
        <v>145</v>
      </c>
      <c r="E7" s="4" t="s">
        <v>146</v>
      </c>
    </row>
    <row r="8" spans="1:5" x14ac:dyDescent="0.25">
      <c r="A8" t="s">
        <v>147</v>
      </c>
      <c r="B8" s="5">
        <v>10000</v>
      </c>
      <c r="C8" t="s">
        <v>148</v>
      </c>
      <c r="D8" s="6">
        <v>3.5000000000000003E-2</v>
      </c>
      <c r="E8" s="5">
        <f t="shared" ref="E8:E14" si="0">B8*D8</f>
        <v>350.00000000000006</v>
      </c>
    </row>
    <row r="9" spans="1:5" x14ac:dyDescent="0.25">
      <c r="A9" t="s">
        <v>149</v>
      </c>
      <c r="B9" s="5">
        <v>10000</v>
      </c>
      <c r="C9" t="s">
        <v>148</v>
      </c>
      <c r="D9" s="6">
        <v>3.5000000000000003E-2</v>
      </c>
      <c r="E9" s="5">
        <f t="shared" si="0"/>
        <v>350.00000000000006</v>
      </c>
    </row>
    <row r="10" spans="1:5" x14ac:dyDescent="0.25">
      <c r="A10" t="s">
        <v>150</v>
      </c>
      <c r="B10" s="5">
        <v>5000</v>
      </c>
      <c r="C10" t="s">
        <v>148</v>
      </c>
      <c r="D10" s="6">
        <v>3.5000000000000003E-2</v>
      </c>
      <c r="E10" s="5">
        <f t="shared" si="0"/>
        <v>175.00000000000003</v>
      </c>
    </row>
    <row r="11" spans="1:5" x14ac:dyDescent="0.25">
      <c r="A11" t="s">
        <v>151</v>
      </c>
      <c r="B11" s="5">
        <v>5000</v>
      </c>
      <c r="C11" t="s">
        <v>148</v>
      </c>
      <c r="D11" s="6">
        <v>3.5000000000000003E-2</v>
      </c>
      <c r="E11" s="5">
        <f t="shared" si="0"/>
        <v>175.00000000000003</v>
      </c>
    </row>
    <row r="12" spans="1:5" x14ac:dyDescent="0.25">
      <c r="A12" t="s">
        <v>152</v>
      </c>
      <c r="B12" s="5">
        <v>5000</v>
      </c>
      <c r="C12" t="s">
        <v>153</v>
      </c>
      <c r="D12" s="6">
        <v>0.04</v>
      </c>
      <c r="E12" s="5">
        <f t="shared" si="0"/>
        <v>200</v>
      </c>
    </row>
    <row r="13" spans="1:5" x14ac:dyDescent="0.25">
      <c r="A13" t="s">
        <v>154</v>
      </c>
      <c r="B13" s="5">
        <v>5000</v>
      </c>
      <c r="C13" t="s">
        <v>153</v>
      </c>
      <c r="D13" s="6">
        <v>0.04</v>
      </c>
      <c r="E13" s="5">
        <f t="shared" si="0"/>
        <v>200</v>
      </c>
    </row>
    <row r="14" spans="1:5" x14ac:dyDescent="0.25">
      <c r="A14" t="s">
        <v>155</v>
      </c>
      <c r="B14" s="5">
        <v>10000</v>
      </c>
      <c r="C14" t="s">
        <v>153</v>
      </c>
      <c r="D14" s="6">
        <v>0.04</v>
      </c>
      <c r="E14" s="5">
        <f t="shared" si="0"/>
        <v>400</v>
      </c>
    </row>
    <row r="15" spans="1:5" x14ac:dyDescent="0.25">
      <c r="A15" s="7" t="s">
        <v>156</v>
      </c>
      <c r="B15" s="8">
        <f>SUM(B8:B14)</f>
        <v>50000</v>
      </c>
      <c r="C15" s="9"/>
      <c r="D15" s="10"/>
      <c r="E15" s="8">
        <f>SUM(E8:E14)</f>
        <v>1850.0000000000002</v>
      </c>
    </row>
    <row r="16" spans="1:5" x14ac:dyDescent="0.25">
      <c r="D16" s="11"/>
    </row>
    <row r="19" spans="1:7" x14ac:dyDescent="0.25">
      <c r="A19" t="s">
        <v>233</v>
      </c>
    </row>
    <row r="20" spans="1:7" x14ac:dyDescent="0.25">
      <c r="A20" s="4" t="s">
        <v>142</v>
      </c>
      <c r="B20" s="4" t="s">
        <v>143</v>
      </c>
      <c r="C20" s="4" t="s">
        <v>144</v>
      </c>
      <c r="D20" s="4" t="s">
        <v>145</v>
      </c>
      <c r="E20" s="4" t="s">
        <v>146</v>
      </c>
      <c r="F20" s="7" t="s">
        <v>156</v>
      </c>
      <c r="G20" s="49" t="s">
        <v>232</v>
      </c>
    </row>
    <row r="21" spans="1:7" x14ac:dyDescent="0.25">
      <c r="A21" s="30" t="s">
        <v>157</v>
      </c>
      <c r="B21" s="52">
        <v>25000</v>
      </c>
      <c r="C21" s="31" t="s">
        <v>234</v>
      </c>
      <c r="D21" s="54">
        <v>4.4999999999999998E-2</v>
      </c>
      <c r="E21" s="52">
        <f>B21*D21</f>
        <v>1125</v>
      </c>
      <c r="F21" s="50">
        <f>E21+B21</f>
        <v>26125</v>
      </c>
      <c r="G21" s="47" t="s">
        <v>230</v>
      </c>
    </row>
    <row r="22" spans="1:7" x14ac:dyDescent="0.25">
      <c r="A22" s="40" t="s">
        <v>158</v>
      </c>
      <c r="B22" s="53">
        <v>5000</v>
      </c>
      <c r="C22" s="41" t="s">
        <v>234</v>
      </c>
      <c r="D22" s="55">
        <v>4.4999999999999998E-2</v>
      </c>
      <c r="E22" s="53">
        <f>B22*D22</f>
        <v>225</v>
      </c>
      <c r="F22" s="51">
        <f>E22+B22</f>
        <v>5225</v>
      </c>
      <c r="G22" s="47" t="s">
        <v>231</v>
      </c>
    </row>
    <row r="23" spans="1:7" x14ac:dyDescent="0.25">
      <c r="A23" s="12">
        <f>B23+E23</f>
        <v>31350</v>
      </c>
      <c r="B23" s="12">
        <f>SUM(B21:B22)</f>
        <v>30000</v>
      </c>
      <c r="C23" s="4"/>
      <c r="D23" s="4"/>
      <c r="E23" s="12">
        <f>SUM(E21:E22)</f>
        <v>1350</v>
      </c>
      <c r="F23" s="46">
        <f>SUM(F21:F22)</f>
        <v>31350</v>
      </c>
      <c r="G23" s="48"/>
    </row>
  </sheetData>
  <pageMargins left="0.45" right="0.4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EDDD-9960-4653-9D3F-032ADC928BEC}">
  <dimension ref="A2:Q25"/>
  <sheetViews>
    <sheetView workbookViewId="0">
      <selection activeCell="L14" sqref="L14"/>
    </sheetView>
  </sheetViews>
  <sheetFormatPr defaultRowHeight="15" x14ac:dyDescent="0.25"/>
  <cols>
    <col min="1" max="1" width="10.140625" bestFit="1" customWidth="1"/>
    <col min="4" max="4" width="12.28515625" customWidth="1"/>
    <col min="5" max="5" width="11.28515625" customWidth="1"/>
    <col min="6" max="6" width="12.28515625" customWidth="1"/>
    <col min="8" max="8" width="14.85546875" customWidth="1"/>
    <col min="9" max="9" width="13.42578125" customWidth="1"/>
    <col min="11" max="11" width="18.42578125" bestFit="1" customWidth="1"/>
    <col min="12" max="12" width="11.7109375" bestFit="1" customWidth="1"/>
    <col min="14" max="14" width="66.5703125" bestFit="1" customWidth="1"/>
    <col min="15" max="15" width="11.140625" bestFit="1" customWidth="1"/>
  </cols>
  <sheetData>
    <row r="2" spans="1:17" x14ac:dyDescent="0.25">
      <c r="K2" s="4" t="s">
        <v>162</v>
      </c>
      <c r="L2" s="4" t="s">
        <v>163</v>
      </c>
      <c r="M2" s="4" t="s">
        <v>164</v>
      </c>
      <c r="N2" s="4" t="s">
        <v>165</v>
      </c>
      <c r="O2" s="13" t="s">
        <v>166</v>
      </c>
      <c r="P2" s="13" t="s">
        <v>167</v>
      </c>
      <c r="Q2" s="4" t="s">
        <v>168</v>
      </c>
    </row>
    <row r="3" spans="1:17" x14ac:dyDescent="0.25">
      <c r="K3" t="s">
        <v>169</v>
      </c>
      <c r="L3" s="14">
        <v>43591</v>
      </c>
      <c r="M3">
        <v>0</v>
      </c>
      <c r="N3" t="s">
        <v>170</v>
      </c>
      <c r="O3" s="1">
        <v>50.42</v>
      </c>
      <c r="P3" s="1"/>
      <c r="Q3" t="s">
        <v>171</v>
      </c>
    </row>
    <row r="4" spans="1:17" x14ac:dyDescent="0.25">
      <c r="K4" t="s">
        <v>169</v>
      </c>
      <c r="L4" s="14">
        <v>43591</v>
      </c>
      <c r="M4">
        <v>0</v>
      </c>
      <c r="N4" t="s">
        <v>172</v>
      </c>
      <c r="O4" s="1">
        <v>175.05</v>
      </c>
      <c r="P4" s="1"/>
      <c r="Q4" t="s">
        <v>171</v>
      </c>
    </row>
    <row r="5" spans="1:17" x14ac:dyDescent="0.25">
      <c r="A5" s="30" t="s">
        <v>161</v>
      </c>
      <c r="B5" s="31"/>
      <c r="C5" s="31"/>
      <c r="D5" s="31"/>
      <c r="E5" s="31"/>
      <c r="F5" s="31" t="s">
        <v>156</v>
      </c>
      <c r="G5" s="31"/>
      <c r="H5" s="32">
        <f>169018.78+32091.42+240767.85</f>
        <v>441878.05000000005</v>
      </c>
      <c r="K5" t="s">
        <v>169</v>
      </c>
      <c r="L5" s="14">
        <v>43591</v>
      </c>
      <c r="M5">
        <v>1671</v>
      </c>
      <c r="N5" t="s">
        <v>173</v>
      </c>
      <c r="O5" s="1">
        <v>312.58</v>
      </c>
      <c r="P5" s="1"/>
      <c r="Q5" t="s">
        <v>171</v>
      </c>
    </row>
    <row r="6" spans="1:17" x14ac:dyDescent="0.25">
      <c r="A6" s="43">
        <v>43606</v>
      </c>
      <c r="B6" s="34"/>
      <c r="C6" s="34"/>
      <c r="D6" s="34"/>
      <c r="E6" s="34"/>
      <c r="F6" s="34"/>
      <c r="G6" s="34"/>
      <c r="H6" s="44"/>
      <c r="K6" t="s">
        <v>169</v>
      </c>
      <c r="L6" s="14">
        <v>43591</v>
      </c>
      <c r="M6">
        <v>1672</v>
      </c>
      <c r="N6" t="s">
        <v>174</v>
      </c>
      <c r="O6" s="1">
        <v>100</v>
      </c>
      <c r="P6" s="1"/>
      <c r="Q6" t="s">
        <v>171</v>
      </c>
    </row>
    <row r="7" spans="1:17" x14ac:dyDescent="0.25">
      <c r="A7" s="33"/>
      <c r="B7" s="34"/>
      <c r="C7" s="34"/>
      <c r="D7" s="34"/>
      <c r="E7" s="34"/>
      <c r="F7" s="34"/>
      <c r="G7" s="34"/>
      <c r="H7" s="44"/>
      <c r="K7" t="s">
        <v>169</v>
      </c>
      <c r="L7" s="14">
        <v>43591</v>
      </c>
      <c r="M7">
        <v>1673</v>
      </c>
      <c r="N7" t="s">
        <v>175</v>
      </c>
      <c r="O7" s="1">
        <v>1000</v>
      </c>
      <c r="P7" s="1"/>
      <c r="Q7" t="s">
        <v>171</v>
      </c>
    </row>
    <row r="8" spans="1:17" x14ac:dyDescent="0.25">
      <c r="A8" s="33"/>
      <c r="B8" s="34"/>
      <c r="C8" s="34"/>
      <c r="D8" s="34"/>
      <c r="E8" s="34"/>
      <c r="F8" s="34"/>
      <c r="G8" s="34"/>
      <c r="H8" s="44"/>
      <c r="K8" t="s">
        <v>169</v>
      </c>
      <c r="L8" s="14">
        <v>43592</v>
      </c>
      <c r="M8">
        <v>0</v>
      </c>
      <c r="N8" t="s">
        <v>176</v>
      </c>
      <c r="O8" s="1">
        <v>116.32</v>
      </c>
      <c r="P8" s="1"/>
      <c r="Q8" t="s">
        <v>171</v>
      </c>
    </row>
    <row r="9" spans="1:17" x14ac:dyDescent="0.25">
      <c r="A9" s="33"/>
      <c r="B9" s="34"/>
      <c r="C9" s="34"/>
      <c r="D9" s="34"/>
      <c r="E9" s="34"/>
      <c r="F9" s="34"/>
      <c r="G9" s="34"/>
      <c r="H9" s="44"/>
      <c r="K9" t="s">
        <v>169</v>
      </c>
      <c r="L9" s="14">
        <v>43592</v>
      </c>
      <c r="M9">
        <v>0</v>
      </c>
      <c r="N9" t="s">
        <v>177</v>
      </c>
      <c r="O9" s="1">
        <v>837.16</v>
      </c>
      <c r="P9" s="1"/>
      <c r="Q9" t="s">
        <v>171</v>
      </c>
    </row>
    <row r="10" spans="1:17" x14ac:dyDescent="0.25">
      <c r="A10" s="33"/>
      <c r="B10" s="34"/>
      <c r="C10" s="34"/>
      <c r="D10" s="34"/>
      <c r="E10" s="34"/>
      <c r="F10" s="34"/>
      <c r="G10" s="34"/>
      <c r="H10" s="44"/>
      <c r="K10" t="s">
        <v>169</v>
      </c>
      <c r="L10" s="14">
        <v>43593</v>
      </c>
      <c r="M10">
        <v>0</v>
      </c>
      <c r="N10" t="s">
        <v>178</v>
      </c>
      <c r="O10" s="1" t="s">
        <v>179</v>
      </c>
      <c r="P10" s="1">
        <v>774.76</v>
      </c>
      <c r="Q10" t="s">
        <v>180</v>
      </c>
    </row>
    <row r="11" spans="1:17" x14ac:dyDescent="0.25">
      <c r="A11" s="33"/>
      <c r="B11" s="34"/>
      <c r="C11" s="34"/>
      <c r="D11" s="34"/>
      <c r="E11" s="34"/>
      <c r="F11" s="34"/>
      <c r="G11" s="34"/>
      <c r="H11" s="44"/>
      <c r="K11" t="s">
        <v>169</v>
      </c>
      <c r="L11" s="14">
        <v>43593</v>
      </c>
      <c r="M11">
        <v>0</v>
      </c>
      <c r="N11" t="s">
        <v>181</v>
      </c>
      <c r="O11" s="1">
        <v>234.85</v>
      </c>
      <c r="P11" s="1"/>
      <c r="Q11" t="s">
        <v>171</v>
      </c>
    </row>
    <row r="12" spans="1:17" x14ac:dyDescent="0.25">
      <c r="A12" s="33"/>
      <c r="B12" s="34"/>
      <c r="C12" s="34"/>
      <c r="D12" s="34"/>
      <c r="E12" s="34"/>
      <c r="F12" s="34"/>
      <c r="G12" s="34"/>
      <c r="H12" s="44"/>
      <c r="K12" t="s">
        <v>169</v>
      </c>
      <c r="L12" s="14">
        <v>43593</v>
      </c>
      <c r="M12">
        <v>0</v>
      </c>
      <c r="N12" t="s">
        <v>182</v>
      </c>
      <c r="O12" s="1">
        <v>730.56</v>
      </c>
      <c r="P12" s="1"/>
      <c r="Q12" t="s">
        <v>171</v>
      </c>
    </row>
    <row r="13" spans="1:17" x14ac:dyDescent="0.25">
      <c r="A13" s="33"/>
      <c r="B13" s="34"/>
      <c r="C13" s="34"/>
      <c r="D13" s="34"/>
      <c r="E13" s="34"/>
      <c r="F13" s="34"/>
      <c r="G13" s="34"/>
      <c r="H13" s="44"/>
      <c r="K13" t="s">
        <v>169</v>
      </c>
      <c r="L13" s="14">
        <v>43593</v>
      </c>
      <c r="M13">
        <v>1336</v>
      </c>
      <c r="N13" t="s">
        <v>183</v>
      </c>
      <c r="O13" s="1">
        <v>104.27</v>
      </c>
      <c r="P13" s="1"/>
      <c r="Q13" t="s">
        <v>171</v>
      </c>
    </row>
    <row r="14" spans="1:17" x14ac:dyDescent="0.25">
      <c r="A14" s="33"/>
      <c r="B14" s="34"/>
      <c r="C14" s="34"/>
      <c r="D14" s="34"/>
      <c r="E14" s="34"/>
      <c r="F14" s="34"/>
      <c r="G14" s="34"/>
      <c r="H14" s="44"/>
      <c r="K14" t="s">
        <v>169</v>
      </c>
      <c r="L14" s="14">
        <v>43594</v>
      </c>
      <c r="M14">
        <v>0</v>
      </c>
      <c r="N14" t="s">
        <v>184</v>
      </c>
      <c r="O14" s="1">
        <v>183.29</v>
      </c>
      <c r="P14" s="1"/>
      <c r="Q14" t="s">
        <v>171</v>
      </c>
    </row>
    <row r="15" spans="1:17" x14ac:dyDescent="0.25">
      <c r="A15" s="33"/>
      <c r="B15" s="34"/>
      <c r="C15" s="34"/>
      <c r="D15" s="34"/>
      <c r="E15" s="34"/>
      <c r="F15" s="34"/>
      <c r="G15" s="34"/>
      <c r="H15" s="44"/>
      <c r="K15" t="s">
        <v>169</v>
      </c>
      <c r="L15" s="14">
        <v>43595</v>
      </c>
      <c r="M15">
        <v>0</v>
      </c>
      <c r="N15" t="s">
        <v>178</v>
      </c>
      <c r="O15" s="1" t="s">
        <v>179</v>
      </c>
      <c r="P15" s="1">
        <v>270.7</v>
      </c>
      <c r="Q15" t="s">
        <v>180</v>
      </c>
    </row>
    <row r="16" spans="1:17" x14ac:dyDescent="0.25">
      <c r="A16" s="40"/>
      <c r="B16" s="41"/>
      <c r="C16" s="41"/>
      <c r="D16" s="41"/>
      <c r="E16" s="41"/>
      <c r="F16" s="41"/>
      <c r="G16" s="41"/>
      <c r="H16" s="45"/>
      <c r="K16" t="s">
        <v>169</v>
      </c>
      <c r="L16" s="14">
        <v>43595</v>
      </c>
      <c r="M16">
        <v>1337</v>
      </c>
      <c r="N16" t="s">
        <v>185</v>
      </c>
      <c r="O16" s="1">
        <v>191.13</v>
      </c>
      <c r="P16" s="1"/>
      <c r="Q16" t="s">
        <v>171</v>
      </c>
    </row>
    <row r="17" spans="1:17" x14ac:dyDescent="0.25">
      <c r="K17" t="s">
        <v>169</v>
      </c>
      <c r="L17" s="14">
        <v>43595</v>
      </c>
      <c r="M17">
        <v>1670</v>
      </c>
      <c r="N17" t="s">
        <v>186</v>
      </c>
      <c r="O17" s="1">
        <v>397.99</v>
      </c>
      <c r="P17" s="1"/>
      <c r="Q17" t="s">
        <v>171</v>
      </c>
    </row>
    <row r="18" spans="1:17" x14ac:dyDescent="0.25">
      <c r="A18" s="25" t="s">
        <v>195</v>
      </c>
      <c r="B18" s="25"/>
      <c r="C18" s="25"/>
      <c r="K18" t="s">
        <v>169</v>
      </c>
      <c r="L18" s="14">
        <v>43599</v>
      </c>
      <c r="M18">
        <v>1338</v>
      </c>
      <c r="N18" t="s">
        <v>187</v>
      </c>
      <c r="O18" s="1">
        <v>1786.12</v>
      </c>
      <c r="P18" s="1"/>
      <c r="Q18" t="s">
        <v>171</v>
      </c>
    </row>
    <row r="19" spans="1:17" x14ac:dyDescent="0.25">
      <c r="A19" s="15">
        <v>43585</v>
      </c>
      <c r="B19" s="17" t="s">
        <v>193</v>
      </c>
      <c r="D19" s="16">
        <v>1272.71</v>
      </c>
      <c r="E19" s="16">
        <v>240765.86</v>
      </c>
      <c r="K19" t="s">
        <v>169</v>
      </c>
      <c r="L19" s="14">
        <v>43599</v>
      </c>
      <c r="M19">
        <v>1675</v>
      </c>
      <c r="N19" t="s">
        <v>188</v>
      </c>
      <c r="O19" s="1">
        <v>4354.25</v>
      </c>
      <c r="P19" s="1"/>
      <c r="Q19" t="s">
        <v>171</v>
      </c>
    </row>
    <row r="20" spans="1:17" ht="14.25" customHeight="1" x14ac:dyDescent="0.25">
      <c r="A20" s="18">
        <v>43581</v>
      </c>
      <c r="B20" s="24" t="s">
        <v>194</v>
      </c>
      <c r="D20" s="22">
        <v>-3479.74</v>
      </c>
      <c r="E20" s="20">
        <v>239493.15</v>
      </c>
      <c r="K20" t="s">
        <v>169</v>
      </c>
      <c r="L20" s="14">
        <v>43600</v>
      </c>
      <c r="M20">
        <v>0</v>
      </c>
      <c r="N20" t="s">
        <v>189</v>
      </c>
      <c r="O20" s="1">
        <v>237.58</v>
      </c>
      <c r="P20" s="1"/>
      <c r="Q20" t="s">
        <v>171</v>
      </c>
    </row>
    <row r="21" spans="1:17" x14ac:dyDescent="0.25">
      <c r="A21" s="18"/>
      <c r="C21" s="21"/>
      <c r="D21" s="22"/>
      <c r="E21" s="19"/>
      <c r="F21" s="20"/>
      <c r="K21" t="s">
        <v>169</v>
      </c>
      <c r="L21" s="14">
        <v>43600</v>
      </c>
      <c r="M21">
        <v>1674</v>
      </c>
      <c r="N21" t="s">
        <v>190</v>
      </c>
      <c r="O21" s="1">
        <v>112.5</v>
      </c>
      <c r="P21" s="1"/>
      <c r="Q21" t="s">
        <v>171</v>
      </c>
    </row>
    <row r="22" spans="1:17" x14ac:dyDescent="0.25">
      <c r="A22" s="18"/>
      <c r="B22" s="23"/>
      <c r="C22" s="21"/>
      <c r="D22" s="22"/>
      <c r="E22" s="19"/>
      <c r="F22" s="20"/>
      <c r="K22" t="s">
        <v>169</v>
      </c>
      <c r="L22" s="14">
        <v>43606</v>
      </c>
      <c r="M22">
        <v>0</v>
      </c>
      <c r="N22" t="s">
        <v>191</v>
      </c>
      <c r="O22" s="1">
        <v>63.95</v>
      </c>
      <c r="P22" s="1"/>
      <c r="Q22" t="s">
        <v>171</v>
      </c>
    </row>
    <row r="23" spans="1:17" x14ac:dyDescent="0.25">
      <c r="A23" s="18"/>
      <c r="B23" s="23"/>
      <c r="C23" s="21"/>
      <c r="D23" s="22"/>
      <c r="E23" s="19"/>
      <c r="F23" s="20"/>
      <c r="K23" t="s">
        <v>169</v>
      </c>
      <c r="L23" s="14">
        <v>43606</v>
      </c>
      <c r="M23">
        <v>0</v>
      </c>
      <c r="N23" t="s">
        <v>191</v>
      </c>
      <c r="O23" s="1">
        <v>1308.74</v>
      </c>
      <c r="P23" s="1"/>
      <c r="Q23" t="s">
        <v>171</v>
      </c>
    </row>
    <row r="24" spans="1:17" x14ac:dyDescent="0.25">
      <c r="K24" t="s">
        <v>169</v>
      </c>
      <c r="L24" s="14">
        <v>43606</v>
      </c>
      <c r="M24">
        <v>0</v>
      </c>
      <c r="N24" t="s">
        <v>191</v>
      </c>
      <c r="O24" s="1">
        <v>4341.5600000000004</v>
      </c>
      <c r="P24" s="1"/>
      <c r="Q24" t="s">
        <v>171</v>
      </c>
    </row>
    <row r="25" spans="1:17" x14ac:dyDescent="0.25">
      <c r="N25" s="4" t="s">
        <v>192</v>
      </c>
      <c r="O25" s="13">
        <f>SUM(O3:O24)</f>
        <v>16638.32</v>
      </c>
      <c r="P25" s="13">
        <f>SUM(P3:P24)</f>
        <v>1045.46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933-2B47-45C6-8D1C-A83974108031}">
  <dimension ref="A1:C29"/>
  <sheetViews>
    <sheetView topLeftCell="A21" workbookViewId="0">
      <selection activeCell="C4" sqref="C4"/>
    </sheetView>
  </sheetViews>
  <sheetFormatPr defaultRowHeight="15" x14ac:dyDescent="0.25"/>
  <cols>
    <col min="1" max="1" width="3.42578125" customWidth="1"/>
    <col min="2" max="2" width="15.28515625" customWidth="1"/>
    <col min="3" max="3" width="41" customWidth="1"/>
  </cols>
  <sheetData>
    <row r="1" spans="1:3" x14ac:dyDescent="0.25">
      <c r="A1" s="101" t="s">
        <v>273</v>
      </c>
    </row>
    <row r="2" spans="1:3" x14ac:dyDescent="0.25">
      <c r="A2" s="101" t="s">
        <v>277</v>
      </c>
    </row>
    <row r="3" spans="1:3" x14ac:dyDescent="0.25">
      <c r="A3" s="102" t="s">
        <v>274</v>
      </c>
      <c r="B3" s="1">
        <v>8845</v>
      </c>
      <c r="C3" t="s">
        <v>288</v>
      </c>
    </row>
    <row r="4" spans="1:3" x14ac:dyDescent="0.25">
      <c r="B4" s="1">
        <f>3500+4582</f>
        <v>8082</v>
      </c>
      <c r="C4" t="s">
        <v>283</v>
      </c>
    </row>
    <row r="5" spans="1:3" x14ac:dyDescent="0.25">
      <c r="B5" s="1">
        <v>7162</v>
      </c>
      <c r="C5" t="s">
        <v>287</v>
      </c>
    </row>
    <row r="7" spans="1:3" x14ac:dyDescent="0.25">
      <c r="B7" s="1"/>
    </row>
    <row r="8" spans="1:3" x14ac:dyDescent="0.25">
      <c r="B8" s="1"/>
    </row>
    <row r="9" spans="1:3" x14ac:dyDescent="0.25">
      <c r="B9" s="1">
        <f>SUM(B3:B8)</f>
        <v>24089</v>
      </c>
      <c r="C9" t="s">
        <v>156</v>
      </c>
    </row>
    <row r="11" spans="1:3" x14ac:dyDescent="0.25">
      <c r="A11" s="101" t="s">
        <v>280</v>
      </c>
    </row>
    <row r="12" spans="1:3" x14ac:dyDescent="0.25">
      <c r="A12" s="102" t="s">
        <v>274</v>
      </c>
      <c r="B12" s="1">
        <v>4488</v>
      </c>
      <c r="C12" t="s">
        <v>281</v>
      </c>
    </row>
    <row r="13" spans="1:3" x14ac:dyDescent="0.25">
      <c r="B13" s="1">
        <v>7350</v>
      </c>
      <c r="C13" t="s">
        <v>282</v>
      </c>
    </row>
    <row r="14" spans="1:3" x14ac:dyDescent="0.25">
      <c r="B14" s="1">
        <v>27000</v>
      </c>
      <c r="C14" t="s">
        <v>285</v>
      </c>
    </row>
    <row r="15" spans="1:3" x14ac:dyDescent="0.25">
      <c r="B15" s="1">
        <v>3500</v>
      </c>
      <c r="C15" t="s">
        <v>286</v>
      </c>
    </row>
    <row r="16" spans="1:3" x14ac:dyDescent="0.25">
      <c r="B16" s="1">
        <v>2063</v>
      </c>
      <c r="C16" t="s">
        <v>284</v>
      </c>
    </row>
    <row r="17" spans="1:3" x14ac:dyDescent="0.25">
      <c r="B17" s="1">
        <f>SUM(B10:B16)</f>
        <v>44401</v>
      </c>
      <c r="C17" t="s">
        <v>156</v>
      </c>
    </row>
    <row r="18" spans="1:3" x14ac:dyDescent="0.25">
      <c r="B18" s="1"/>
    </row>
    <row r="19" spans="1:3" x14ac:dyDescent="0.25">
      <c r="A19" s="101" t="s">
        <v>275</v>
      </c>
    </row>
    <row r="20" spans="1:3" x14ac:dyDescent="0.25">
      <c r="A20" s="102" t="s">
        <v>274</v>
      </c>
    </row>
    <row r="24" spans="1:3" x14ac:dyDescent="0.25">
      <c r="A24" s="101" t="s">
        <v>276</v>
      </c>
    </row>
    <row r="25" spans="1:3" x14ac:dyDescent="0.25">
      <c r="A25" s="102" t="s">
        <v>274</v>
      </c>
      <c r="B25" s="1">
        <f>3830.5+4354.25+6611.5</f>
        <v>14796.25</v>
      </c>
      <c r="C25" t="s">
        <v>278</v>
      </c>
    </row>
    <row r="26" spans="1:3" x14ac:dyDescent="0.25">
      <c r="B26" s="1">
        <v>2310</v>
      </c>
      <c r="C26" t="s">
        <v>279</v>
      </c>
    </row>
    <row r="27" spans="1:3" x14ac:dyDescent="0.25">
      <c r="B27" s="1"/>
    </row>
    <row r="28" spans="1:3" x14ac:dyDescent="0.25">
      <c r="B28" s="1"/>
    </row>
    <row r="29" spans="1:3" x14ac:dyDescent="0.25">
      <c r="B29" s="103">
        <f>SUM(B25:B28)</f>
        <v>17106.25</v>
      </c>
      <c r="C29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Budget</vt:lpstr>
      <vt:lpstr>Fire Recovery</vt:lpstr>
      <vt:lpstr>Notes</vt:lpstr>
      <vt:lpstr>Bank</vt:lpstr>
      <vt:lpstr>FY19 capital items</vt:lpstr>
      <vt:lpstr>Bank!Print_Area</vt:lpstr>
      <vt:lpstr>Budget!Print_Area</vt:lpstr>
      <vt:lpstr>'Fire Recovery'!Print_Area</vt:lpstr>
      <vt:lpstr>Notes!Print_Area</vt:lpstr>
      <vt:lpstr>Budget!Print_Titles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Allisa</dc:creator>
  <cp:lastModifiedBy>Leslie Lynch</cp:lastModifiedBy>
  <cp:lastPrinted>2019-12-19T16:51:45Z</cp:lastPrinted>
  <dcterms:created xsi:type="dcterms:W3CDTF">2019-04-17T16:07:08Z</dcterms:created>
  <dcterms:modified xsi:type="dcterms:W3CDTF">2020-05-17T20:31:26Z</dcterms:modified>
</cp:coreProperties>
</file>