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lie Lynch\Documents\FCR Financial Reports\"/>
    </mc:Choice>
  </mc:AlternateContent>
  <xr:revisionPtr revIDLastSave="0" documentId="8_{DCE30B23-1F90-448D-8BE5-DAB7637A556C}" xr6:coauthVersionLast="45" xr6:coauthVersionMax="45" xr10:uidLastSave="{00000000-0000-0000-0000-000000000000}"/>
  <bookViews>
    <workbookView xWindow="-120" yWindow="-120" windowWidth="20730" windowHeight="11160" xr2:uid="{8AA87984-B43A-4C91-A0C5-5B2478204AE6}"/>
  </bookViews>
  <sheets>
    <sheet name="P&amp;L" sheetId="1" r:id="rId1"/>
  </sheets>
  <definedNames>
    <definedName name="_xlnm.Print_Area" localSheetId="0">'P&amp;L'!$A$1:$N$179</definedName>
    <definedName name="_xlnm.Print_Titles" localSheetId="0">'P&amp;L'!$1:$2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3" i="1" l="1"/>
  <c r="H133" i="1"/>
  <c r="J133" i="1"/>
  <c r="J20" i="1"/>
  <c r="J19" i="1"/>
  <c r="J18" i="1"/>
  <c r="K20" i="1"/>
  <c r="K19" i="1"/>
  <c r="K18" i="1"/>
  <c r="M170" i="1" l="1"/>
  <c r="M168" i="1"/>
  <c r="K42" i="1"/>
  <c r="M42" i="1"/>
  <c r="K98" i="1" l="1"/>
  <c r="M171" i="1" l="1"/>
  <c r="J171" i="1"/>
  <c r="K171" i="1"/>
  <c r="K176" i="1" s="1"/>
  <c r="M176" i="1" s="1"/>
  <c r="H177" i="1"/>
  <c r="K15" i="1"/>
  <c r="K154" i="1"/>
  <c r="K128" i="1"/>
  <c r="K103" i="1"/>
  <c r="K111" i="1" s="1"/>
  <c r="K99" i="1"/>
  <c r="K87" i="1"/>
  <c r="M115" i="1"/>
  <c r="M98" i="1"/>
  <c r="M93" i="1"/>
  <c r="M92" i="1"/>
  <c r="M63" i="1"/>
  <c r="M62" i="1"/>
  <c r="H171" i="1" l="1"/>
  <c r="M6" i="1" l="1"/>
  <c r="M7" i="1"/>
  <c r="K85" i="1"/>
  <c r="M34" i="1" l="1"/>
  <c r="M33" i="1"/>
  <c r="M31" i="1"/>
  <c r="M30" i="1"/>
  <c r="M29" i="1"/>
  <c r="K28" i="1"/>
  <c r="K36" i="1" s="1"/>
  <c r="K134" i="1"/>
  <c r="K132" i="1"/>
  <c r="K133" i="1" s="1"/>
  <c r="K129" i="1"/>
  <c r="K126" i="1"/>
  <c r="K120" i="1"/>
  <c r="K116" i="1"/>
  <c r="K94" i="1"/>
  <c r="K101" i="1" s="1"/>
  <c r="K88" i="1"/>
  <c r="K74" i="1"/>
  <c r="K70" i="1"/>
  <c r="K49" i="1"/>
  <c r="K46" i="1"/>
  <c r="K39" i="1"/>
  <c r="K10" i="1"/>
  <c r="K12" i="1" s="1"/>
  <c r="K8" i="1"/>
  <c r="K164" i="1"/>
  <c r="K147" i="1"/>
  <c r="K142" i="1"/>
  <c r="J177" i="1"/>
  <c r="J164" i="1"/>
  <c r="J156" i="1"/>
  <c r="J147" i="1"/>
  <c r="J142" i="1"/>
  <c r="J129" i="1"/>
  <c r="J126" i="1"/>
  <c r="J120" i="1"/>
  <c r="J116" i="1"/>
  <c r="J111" i="1"/>
  <c r="J94" i="1"/>
  <c r="J101" i="1" s="1"/>
  <c r="J88" i="1"/>
  <c r="J8" i="1"/>
  <c r="J26" i="1" s="1"/>
  <c r="J36" i="1"/>
  <c r="J39" i="1"/>
  <c r="J46" i="1"/>
  <c r="J49" i="1"/>
  <c r="J58" i="1"/>
  <c r="M164" i="1"/>
  <c r="M147" i="1"/>
  <c r="M142" i="1"/>
  <c r="M129" i="1"/>
  <c r="M126" i="1"/>
  <c r="M120" i="1"/>
  <c r="M116" i="1"/>
  <c r="M111" i="1"/>
  <c r="M94" i="1"/>
  <c r="M101" i="1" s="1"/>
  <c r="M88" i="1"/>
  <c r="M74" i="1"/>
  <c r="M70" i="1"/>
  <c r="M58" i="1"/>
  <c r="M49" i="1"/>
  <c r="M46" i="1"/>
  <c r="M39" i="1"/>
  <c r="M10" i="1"/>
  <c r="M12" i="1" s="1"/>
  <c r="M155" i="1" s="1"/>
  <c r="M156" i="1" s="1"/>
  <c r="M8" i="1"/>
  <c r="M148" i="1" l="1"/>
  <c r="J148" i="1"/>
  <c r="M26" i="1"/>
  <c r="K26" i="1"/>
  <c r="K148" i="1"/>
  <c r="M36" i="1"/>
  <c r="J165" i="1"/>
  <c r="K58" i="1"/>
  <c r="K137" i="1" s="1"/>
  <c r="M165" i="1"/>
  <c r="M137" i="1" l="1"/>
  <c r="M138" i="1" s="1"/>
  <c r="M150" i="1" s="1"/>
  <c r="K138" i="1"/>
  <c r="K150" i="1" s="1"/>
  <c r="K174" i="1" s="1"/>
  <c r="J74" i="1"/>
  <c r="J70" i="1"/>
  <c r="H164" i="1"/>
  <c r="H147" i="1"/>
  <c r="H142" i="1"/>
  <c r="H129" i="1"/>
  <c r="H126" i="1"/>
  <c r="H120" i="1"/>
  <c r="H116" i="1"/>
  <c r="H111" i="1"/>
  <c r="H94" i="1"/>
  <c r="H101" i="1" s="1"/>
  <c r="H88" i="1"/>
  <c r="H74" i="1"/>
  <c r="H70" i="1"/>
  <c r="H57" i="1"/>
  <c r="H56" i="1"/>
  <c r="H49" i="1"/>
  <c r="H46" i="1"/>
  <c r="H39" i="1"/>
  <c r="H36" i="1"/>
  <c r="H10" i="1"/>
  <c r="H12" i="1" s="1"/>
  <c r="H155" i="1" s="1"/>
  <c r="H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M174" i="1" l="1"/>
  <c r="J137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H156" i="1"/>
  <c r="H165" i="1" s="1"/>
  <c r="K155" i="1"/>
  <c r="H58" i="1"/>
  <c r="H137" i="1" s="1"/>
  <c r="H148" i="1"/>
  <c r="H26" i="1"/>
  <c r="A134" i="1" l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35" i="1"/>
  <c r="J138" i="1"/>
  <c r="J150" i="1" s="1"/>
  <c r="K156" i="1"/>
  <c r="K165" i="1" s="1"/>
  <c r="K175" i="1" s="1"/>
  <c r="M175" i="1" s="1"/>
  <c r="H138" i="1"/>
  <c r="H150" i="1" s="1"/>
  <c r="M177" i="1" l="1"/>
  <c r="K177" i="1"/>
</calcChain>
</file>

<file path=xl/sharedStrings.xml><?xml version="1.0" encoding="utf-8"?>
<sst xmlns="http://schemas.openxmlformats.org/spreadsheetml/2006/main" count="233" uniqueCount="205">
  <si>
    <t>FY 2020 Budget</t>
  </si>
  <si>
    <t>Ordinary Income/Expense</t>
  </si>
  <si>
    <t>Income</t>
  </si>
  <si>
    <t>4000 · Assessments</t>
  </si>
  <si>
    <t>4010 · Improved Lots</t>
  </si>
  <si>
    <t>4020 · Unimproved Lots</t>
  </si>
  <si>
    <t>Total 4000 · Assessments</t>
  </si>
  <si>
    <t xml:space="preserve"> </t>
  </si>
  <si>
    <t>HOA dues allocated to Capital Reserve</t>
  </si>
  <si>
    <t>4225 · Water Billing Service Fee</t>
  </si>
  <si>
    <t>4250 · Water Usage Charge</t>
  </si>
  <si>
    <t>Water fees Allocated to Capital Reserve</t>
  </si>
  <si>
    <t>4100 · Road Easements</t>
  </si>
  <si>
    <t>4500 · Stable Lease</t>
  </si>
  <si>
    <t>4300 · Misc. Income</t>
  </si>
  <si>
    <t>4320 · Interest Income</t>
  </si>
  <si>
    <t>4400 · Late Fees</t>
  </si>
  <si>
    <t>4800 · High Meadow Fees</t>
  </si>
  <si>
    <t>4805 · Watson Property Fees</t>
  </si>
  <si>
    <t>Total Income</t>
  </si>
  <si>
    <t>Expense</t>
  </si>
  <si>
    <t>6100 · Caretaker &amp; Help</t>
  </si>
  <si>
    <t>6110 · Wages</t>
  </si>
  <si>
    <t>6120 · Payroll Taxes</t>
  </si>
  <si>
    <t>6140 · Workman's Compensation</t>
  </si>
  <si>
    <t>6150 · Travel Allowance</t>
  </si>
  <si>
    <t>6160 · Retirement expense</t>
  </si>
  <si>
    <t>6561 · Payroll Outsourcing Expenses</t>
  </si>
  <si>
    <t>6570 · Hired Help Wages</t>
  </si>
  <si>
    <t>Total 6100 · Caretaker &amp; Help</t>
  </si>
  <si>
    <t>6200 · Ranch House</t>
  </si>
  <si>
    <t>6230-40 · Maintenance &amp; Improvements</t>
  </si>
  <si>
    <t>Total 6200 · Ranch House</t>
  </si>
  <si>
    <t>6300 · Equipment Shed</t>
  </si>
  <si>
    <t>6320 · Electricity</t>
  </si>
  <si>
    <t>6330 · Telephone</t>
  </si>
  <si>
    <t>6340 · Maintenance</t>
  </si>
  <si>
    <t>6360 · Small Tools &amp; Equipment</t>
  </si>
  <si>
    <t>6370 · Supplies - expendable</t>
  </si>
  <si>
    <t>Total 6300 · Equipment Shed</t>
  </si>
  <si>
    <t>6500 · Beautification Committee</t>
  </si>
  <si>
    <t>6510 · Plants and tools</t>
  </si>
  <si>
    <t>Total 6500 · Beautification Committee</t>
  </si>
  <si>
    <t>6600 · Lakeside Committee</t>
  </si>
  <si>
    <t>6610-Lakeside Payroll</t>
  </si>
  <si>
    <t>6611-Wages</t>
  </si>
  <si>
    <t>6612-Payroll Taxes</t>
  </si>
  <si>
    <t>6613-Payroll Expenses</t>
  </si>
  <si>
    <t>6620 · Furniture</t>
  </si>
  <si>
    <t>6640 · Signs &amp; Misc.</t>
  </si>
  <si>
    <t>6690 · Projects</t>
  </si>
  <si>
    <t>Total 6600 · Lakeside Committee</t>
  </si>
  <si>
    <t>6700 · Roads Committee</t>
  </si>
  <si>
    <t>6703-Roads Payroll</t>
  </si>
  <si>
    <t>6704-Wages</t>
  </si>
  <si>
    <t>6705-Payroll Taxes</t>
  </si>
  <si>
    <t>6706-Payroll Expenses</t>
  </si>
  <si>
    <t>6710 · FCR- Gravel</t>
  </si>
  <si>
    <t>6730 · FCR- Mag Chlor</t>
  </si>
  <si>
    <t>6750 · Culverts</t>
  </si>
  <si>
    <t>6760 · Equipment Rentals</t>
  </si>
  <si>
    <t>6740 · Road Contracting</t>
  </si>
  <si>
    <t>6790 · Road Sand</t>
  </si>
  <si>
    <t>Total 6700 · Roads Committee</t>
  </si>
  <si>
    <t>6800 · Firewise Program</t>
  </si>
  <si>
    <t>6810-Mitigation Projects</t>
  </si>
  <si>
    <t>6820-Administrative Costs</t>
  </si>
  <si>
    <t>Total 6800 · Firewise Program</t>
  </si>
  <si>
    <t>6900 · Utilities Committee</t>
  </si>
  <si>
    <t>6910 · Electricity - pumps</t>
  </si>
  <si>
    <t>6915 · Scada phone</t>
  </si>
  <si>
    <t>6920 · Water Tests</t>
  </si>
  <si>
    <t>6921 · Propane for Backup Generators</t>
  </si>
  <si>
    <t>6925 · Chemicals</t>
  </si>
  <si>
    <t>6930 · Genset Operations</t>
  </si>
  <si>
    <t>6940 · System Repairs</t>
  </si>
  <si>
    <t>6950 · System Improvements</t>
  </si>
  <si>
    <t>6960 · Consultants</t>
  </si>
  <si>
    <t>6970 · Memberships &amp; Fees</t>
  </si>
  <si>
    <t>6980 · Training</t>
  </si>
  <si>
    <t>6990 · Utilities  Misc</t>
  </si>
  <si>
    <t>Total 6900 · Utilities Committee</t>
  </si>
  <si>
    <t>7000 · Common Property</t>
  </si>
  <si>
    <t>7050 · Common Property - Payroll</t>
  </si>
  <si>
    <t>7051 · Wages</t>
  </si>
  <si>
    <t>7052 · Payroll Taxes</t>
  </si>
  <si>
    <t>7053 · Payroll Expenses</t>
  </si>
  <si>
    <t>Total 7050 · Common Property - Payroll</t>
  </si>
  <si>
    <t>6520 · Cleanup Day</t>
  </si>
  <si>
    <t>7010 · Beetle Control - Sevin</t>
  </si>
  <si>
    <t>7030 · Weed &amp; Pest Control</t>
  </si>
  <si>
    <t>7040 · Forest Management</t>
  </si>
  <si>
    <t>7041 · Chipper Rental</t>
  </si>
  <si>
    <t>7070 · Signs</t>
  </si>
  <si>
    <t>Total 7000 · Common Property</t>
  </si>
  <si>
    <t>7100 · Equipment Operations</t>
  </si>
  <si>
    <t>7110 · Fuels, Lubricants &amp; Filters</t>
  </si>
  <si>
    <t>7120 · Licenses and Permits</t>
  </si>
  <si>
    <t>7130 · Grader Repairs &amp; Maintenance</t>
  </si>
  <si>
    <t>7140 · Dump Truck Repairs &amp; Maintenanc</t>
  </si>
  <si>
    <t>7160 · Backhoe Repairs &amp; Maintenance</t>
  </si>
  <si>
    <t>7170 · PickUp Repairs &amp; Maintenance</t>
  </si>
  <si>
    <t>7175 · Tractor Repairs &amp; Maintenance</t>
  </si>
  <si>
    <t>7180 · Air Curtain Burner Maintenance</t>
  </si>
  <si>
    <t>Total 7100 · Equipment Operations</t>
  </si>
  <si>
    <t>7200 · Services</t>
  </si>
  <si>
    <t>7210 · Insurance</t>
  </si>
  <si>
    <t>7220 · Bookkeeping &amp; Financial Reports</t>
  </si>
  <si>
    <t>7230 · Dumpsters</t>
  </si>
  <si>
    <t>Total 7200 · Services</t>
  </si>
  <si>
    <t>7300 · Activities</t>
  </si>
  <si>
    <t>7310 · Annual Meeting</t>
  </si>
  <si>
    <t>7330 · Special Events</t>
  </si>
  <si>
    <t>Total 7300 · Activities</t>
  </si>
  <si>
    <t>7400 · Board Operations</t>
  </si>
  <si>
    <t>7410 · Professional Services</t>
  </si>
  <si>
    <t>7420 · Administrative</t>
  </si>
  <si>
    <t>7430 · Discretionary Payments-Bonus</t>
  </si>
  <si>
    <t>7445 · AED Renewal Fees</t>
  </si>
  <si>
    <t>Total 7400 · Board Operations</t>
  </si>
  <si>
    <t>7900 · Dam Committee</t>
  </si>
  <si>
    <t>7915 · Dam Maintenance</t>
  </si>
  <si>
    <t>Total 7900 · Dam Committee</t>
  </si>
  <si>
    <t>7090-Fire Recovery</t>
  </si>
  <si>
    <t>7094-Wages</t>
  </si>
  <si>
    <t>7096-Mud, Muck &amp; Mire</t>
  </si>
  <si>
    <t>Total 7090-Fire Recovery</t>
  </si>
  <si>
    <t>7500-Water Task Force</t>
  </si>
  <si>
    <t>7290-Shed &amp; Dumpster Racquet Club</t>
  </si>
  <si>
    <t>Total Expense</t>
  </si>
  <si>
    <t>Total Net Ordinary Income</t>
  </si>
  <si>
    <t>Operating Fund - Financing</t>
  </si>
  <si>
    <t>Income - Notes or other sources</t>
  </si>
  <si>
    <t>Total Financing Cash In</t>
  </si>
  <si>
    <t>Financing Expenditures</t>
  </si>
  <si>
    <t>Spillway Note Repayments</t>
  </si>
  <si>
    <t>Easement Note Repayments</t>
  </si>
  <si>
    <t>Interest Payments</t>
  </si>
  <si>
    <t>Total Financing Cash Out</t>
  </si>
  <si>
    <t>Net Cash Flow - Financing</t>
  </si>
  <si>
    <t>Total Net Cash Flow - Operating Fund</t>
  </si>
  <si>
    <t>Capital Reserve</t>
  </si>
  <si>
    <t xml:space="preserve">$40,000 of HOA dues </t>
  </si>
  <si>
    <t xml:space="preserve">4250 · Water Fees </t>
  </si>
  <si>
    <t>Total Capital Reserve Cash In</t>
  </si>
  <si>
    <t>Capital Expenditures</t>
  </si>
  <si>
    <t>8001-Pipeline Engineering Study</t>
  </si>
  <si>
    <t>8002-Water Task Force - well drilling</t>
  </si>
  <si>
    <t>8003-Water - tank exterior paint</t>
  </si>
  <si>
    <t>8005-Fire Hydrant replacement</t>
  </si>
  <si>
    <t>8006-Culverts</t>
  </si>
  <si>
    <t>Total Capital Reserve Cash Out</t>
  </si>
  <si>
    <t>Net Cash Flow - Capital Reserve Budget</t>
  </si>
  <si>
    <t>Operating Fund</t>
  </si>
  <si>
    <t>Capital Reserve Fund</t>
  </si>
  <si>
    <t>Grant Fund</t>
  </si>
  <si>
    <t>Total Cash Balances</t>
  </si>
  <si>
    <t>August-March</t>
  </si>
  <si>
    <t>Income/Expenditures</t>
  </si>
  <si>
    <t>FY 2020 Forecast</t>
  </si>
  <si>
    <t>FY 2021 Budget</t>
  </si>
  <si>
    <t>Actual March 31 2020</t>
  </si>
  <si>
    <t>$3,000 on 94 improved lots</t>
  </si>
  <si>
    <t>$2,900 on 6 unimproved lots</t>
  </si>
  <si>
    <t>Increase for summer dumpsters</t>
  </si>
  <si>
    <t>Culvert estimate in Roads</t>
  </si>
  <si>
    <t>AED Replacements</t>
  </si>
  <si>
    <t>Cash Beg of FY 2020</t>
  </si>
  <si>
    <t>FY 2021 9%</t>
  </si>
  <si>
    <t>FY 2021 7%</t>
  </si>
  <si>
    <t xml:space="preserve">   expansion that's not included here</t>
  </si>
  <si>
    <t>FY 2021 Budget Notes</t>
  </si>
  <si>
    <t>Grant Account</t>
  </si>
  <si>
    <t>Grant Income</t>
  </si>
  <si>
    <t>Grant Expenses - fire mitigation</t>
  </si>
  <si>
    <t>Net Cash Flow - Grant Budget</t>
  </si>
  <si>
    <t>Grant Expenses - chipper</t>
  </si>
  <si>
    <t>Water usage fee estimated at $25/mo</t>
  </si>
  <si>
    <t>Water fees allocated to capital</t>
  </si>
  <si>
    <t>HOA dues allocated to capital</t>
  </si>
  <si>
    <t>Deferred from 2020 per Eb</t>
  </si>
  <si>
    <t>3% increase</t>
  </si>
  <si>
    <t>4356-Community Garden</t>
  </si>
  <si>
    <t>4357-Community Orchard</t>
  </si>
  <si>
    <t>4355 · Voluntary HomeownerContributions</t>
  </si>
  <si>
    <t>Community Garden</t>
  </si>
  <si>
    <t xml:space="preserve">Lakeside </t>
  </si>
  <si>
    <t>Healthy Forest</t>
  </si>
  <si>
    <t>General</t>
  </si>
  <si>
    <t>Lot transfer fees &amp; Shed &amp; Dumpster Racquet Club</t>
  </si>
  <si>
    <t>Decrease equal to Capital Reserve net cash flow</t>
  </si>
  <si>
    <t>Increase/decrease is from Oper Fund net cash flow</t>
  </si>
  <si>
    <t>Decrease reflects expected Grant account net cash flow</t>
  </si>
  <si>
    <t>Forecast At End of FY2020</t>
  </si>
  <si>
    <t>Budget At End of FY2021</t>
  </si>
  <si>
    <t>For mud/muck committee culvert work</t>
  </si>
  <si>
    <t>Cash - Bank of the San Juans: 
Beginning Balance plus receipts and less expenses equals forecast of ending balance</t>
  </si>
  <si>
    <t>100% of usage &amp; half of base fee</t>
  </si>
  <si>
    <t>Oct 2020 $30k notes due (final $20k due in Oct 2021)</t>
  </si>
  <si>
    <t>Requested add'l $12k in FY 2021 for aeration</t>
  </si>
  <si>
    <t>FY 2021 Estimate</t>
  </si>
  <si>
    <t>$50/mo water base fee</t>
  </si>
  <si>
    <t>Assessments: FY 2021 No change</t>
  </si>
  <si>
    <t>Offset by voluntary contributions in Income</t>
  </si>
  <si>
    <t>Falls Creek Ranch Association                                          Budget FY2021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</si>
</sst>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Continuous"/>
    </xf>
    <xf numFmtId="49" fontId="4" fillId="0" borderId="4" xfId="0" applyNumberFormat="1" applyFont="1" applyBorder="1" applyAlignment="1">
      <alignment horizontal="centerContinuous"/>
    </xf>
    <xf numFmtId="0" fontId="4" fillId="0" borderId="0" xfId="0" applyFont="1"/>
    <xf numFmtId="0" fontId="5" fillId="0" borderId="0" xfId="0" applyFont="1"/>
    <xf numFmtId="49" fontId="3" fillId="0" borderId="8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horizontal="center"/>
    </xf>
    <xf numFmtId="49" fontId="3" fillId="0" borderId="0" xfId="0" applyNumberFormat="1" applyFont="1"/>
    <xf numFmtId="39" fontId="4" fillId="0" borderId="0" xfId="0" applyNumberFormat="1" applyFont="1"/>
    <xf numFmtId="49" fontId="4" fillId="0" borderId="0" xfId="0" applyNumberFormat="1" applyFont="1"/>
    <xf numFmtId="0" fontId="5" fillId="0" borderId="9" xfId="0" applyFont="1" applyBorder="1"/>
    <xf numFmtId="39" fontId="4" fillId="0" borderId="6" xfId="0" applyNumberFormat="1" applyFont="1" applyBorder="1"/>
    <xf numFmtId="0" fontId="5" fillId="0" borderId="10" xfId="0" applyFont="1" applyBorder="1"/>
    <xf numFmtId="0" fontId="5" fillId="0" borderId="11" xfId="0" applyFont="1" applyBorder="1"/>
    <xf numFmtId="9" fontId="5" fillId="0" borderId="0" xfId="0" applyNumberFormat="1" applyFont="1"/>
    <xf numFmtId="39" fontId="4" fillId="0" borderId="12" xfId="0" applyNumberFormat="1" applyFont="1" applyBorder="1"/>
    <xf numFmtId="39" fontId="4" fillId="0" borderId="2" xfId="0" applyNumberFormat="1" applyFont="1" applyBorder="1"/>
    <xf numFmtId="0" fontId="3" fillId="0" borderId="0" xfId="0" applyFont="1"/>
    <xf numFmtId="49" fontId="3" fillId="0" borderId="13" xfId="0" applyNumberFormat="1" applyFont="1" applyBorder="1"/>
    <xf numFmtId="49" fontId="3" fillId="0" borderId="14" xfId="0" applyNumberFormat="1" applyFont="1" applyBorder="1"/>
    <xf numFmtId="39" fontId="3" fillId="0" borderId="14" xfId="0" applyNumberFormat="1" applyFont="1" applyBorder="1"/>
    <xf numFmtId="39" fontId="3" fillId="0" borderId="15" xfId="0" applyNumberFormat="1" applyFont="1" applyBorder="1"/>
    <xf numFmtId="39" fontId="3" fillId="0" borderId="0" xfId="0" applyNumberFormat="1" applyFont="1"/>
    <xf numFmtId="17" fontId="4" fillId="0" borderId="0" xfId="0" applyNumberFormat="1" applyFont="1"/>
    <xf numFmtId="164" fontId="4" fillId="0" borderId="0" xfId="1" applyNumberFormat="1" applyFont="1"/>
    <xf numFmtId="0" fontId="3" fillId="2" borderId="0" xfId="0" applyFont="1" applyFill="1"/>
    <xf numFmtId="49" fontId="3" fillId="2" borderId="0" xfId="0" applyNumberFormat="1" applyFont="1" applyFill="1"/>
    <xf numFmtId="0" fontId="4" fillId="2" borderId="0" xfId="0" applyFont="1" applyFill="1"/>
    <xf numFmtId="39" fontId="3" fillId="2" borderId="0" xfId="0" applyNumberFormat="1" applyFont="1" applyFill="1"/>
    <xf numFmtId="49" fontId="3" fillId="0" borderId="8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3" fontId="4" fillId="0" borderId="0" xfId="1" applyFont="1"/>
    <xf numFmtId="0" fontId="3" fillId="0" borderId="0" xfId="0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6" fillId="0" borderId="0" xfId="0" applyFont="1"/>
    <xf numFmtId="39" fontId="3" fillId="0" borderId="0" xfId="0" applyNumberFormat="1" applyFont="1" applyBorder="1"/>
    <xf numFmtId="39" fontId="4" fillId="0" borderId="0" xfId="0" applyNumberFormat="1" applyFont="1" applyBorder="1"/>
    <xf numFmtId="43" fontId="4" fillId="0" borderId="0" xfId="1" applyFont="1" applyBorder="1"/>
    <xf numFmtId="39" fontId="4" fillId="0" borderId="0" xfId="0" applyNumberFormat="1" applyFont="1" applyFill="1"/>
    <xf numFmtId="39" fontId="4" fillId="0" borderId="0" xfId="0" quotePrefix="1" applyNumberFormat="1" applyFont="1" applyFill="1"/>
    <xf numFmtId="39" fontId="4" fillId="0" borderId="0" xfId="0" quotePrefix="1" applyNumberFormat="1" applyFont="1"/>
    <xf numFmtId="49" fontId="4" fillId="0" borderId="0" xfId="0" applyNumberFormat="1" applyFont="1" applyBorder="1" applyAlignment="1">
      <alignment horizontal="centerContinuous"/>
    </xf>
    <xf numFmtId="0" fontId="4" fillId="0" borderId="0" xfId="0" applyFont="1" applyBorder="1"/>
    <xf numFmtId="39" fontId="3" fillId="2" borderId="0" xfId="0" applyNumberFormat="1" applyFont="1" applyFill="1" applyBorder="1"/>
    <xf numFmtId="49" fontId="3" fillId="0" borderId="0" xfId="0" applyNumberFormat="1" applyFont="1" applyBorder="1" applyAlignment="1">
      <alignment horizontal="center" wrapText="1"/>
    </xf>
    <xf numFmtId="0" fontId="5" fillId="0" borderId="0" xfId="0" applyFont="1" applyFill="1"/>
    <xf numFmtId="0" fontId="4" fillId="0" borderId="0" xfId="0" applyFont="1" applyFill="1"/>
    <xf numFmtId="39" fontId="3" fillId="0" borderId="0" xfId="0" applyNumberFormat="1" applyFont="1" applyFill="1"/>
    <xf numFmtId="49" fontId="3" fillId="3" borderId="8" xfId="0" applyNumberFormat="1" applyFont="1" applyFill="1" applyBorder="1" applyAlignment="1">
      <alignment horizontal="center"/>
    </xf>
    <xf numFmtId="39" fontId="4" fillId="0" borderId="0" xfId="0" applyNumberFormat="1" applyFont="1" applyFill="1" applyBorder="1"/>
    <xf numFmtId="49" fontId="7" fillId="0" borderId="0" xfId="0" applyNumberFormat="1" applyFont="1" applyAlignment="1">
      <alignment horizontal="centerContinuous"/>
    </xf>
    <xf numFmtId="49" fontId="3" fillId="0" borderId="0" xfId="0" applyNumberFormat="1" applyFont="1" applyBorder="1"/>
    <xf numFmtId="0" fontId="3" fillId="0" borderId="0" xfId="0" applyFont="1" applyBorder="1"/>
    <xf numFmtId="49" fontId="4" fillId="0" borderId="0" xfId="0" applyNumberFormat="1" applyFont="1" applyBorder="1"/>
    <xf numFmtId="164" fontId="4" fillId="0" borderId="0" xfId="1" applyNumberFormat="1" applyFont="1" applyBorder="1" applyAlignment="1">
      <alignment horizontal="center"/>
    </xf>
    <xf numFmtId="0" fontId="3" fillId="0" borderId="14" xfId="0" applyFont="1" applyBorder="1"/>
    <xf numFmtId="39" fontId="3" fillId="0" borderId="2" xfId="0" applyNumberFormat="1" applyFont="1" applyBorder="1"/>
    <xf numFmtId="0" fontId="0" fillId="0" borderId="14" xfId="0" applyBorder="1"/>
    <xf numFmtId="0" fontId="3" fillId="0" borderId="13" xfId="0" applyFont="1" applyBorder="1"/>
    <xf numFmtId="0" fontId="4" fillId="0" borderId="14" xfId="0" applyFont="1" applyBorder="1"/>
    <xf numFmtId="43" fontId="4" fillId="0" borderId="14" xfId="1" applyFont="1" applyBorder="1"/>
    <xf numFmtId="43" fontId="3" fillId="0" borderId="14" xfId="1" applyFont="1" applyBorder="1" applyAlignment="1">
      <alignment horizontal="center" wrapText="1"/>
    </xf>
    <xf numFmtId="43" fontId="3" fillId="0" borderId="15" xfId="1" applyFont="1" applyBorder="1" applyAlignment="1">
      <alignment horizontal="center" wrapText="1"/>
    </xf>
    <xf numFmtId="17" fontId="4" fillId="0" borderId="0" xfId="0" quotePrefix="1" applyNumberFormat="1" applyFont="1"/>
    <xf numFmtId="164" fontId="4" fillId="0" borderId="0" xfId="1" quotePrefix="1" applyNumberFormat="1" applyFont="1"/>
    <xf numFmtId="9" fontId="4" fillId="0" borderId="0" xfId="0" applyNumberFormat="1" applyFont="1"/>
    <xf numFmtId="0" fontId="8" fillId="0" borderId="0" xfId="0" applyFont="1"/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vertical="center" wrapText="1"/>
    </xf>
    <xf numFmtId="49" fontId="3" fillId="0" borderId="14" xfId="0" applyNumberFormat="1" applyFont="1" applyBorder="1" applyAlignment="1">
      <alignment vertical="center" wrapText="1"/>
    </xf>
    <xf numFmtId="49" fontId="3" fillId="0" borderId="15" xfId="0" applyNumberFormat="1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69D4-D985-485E-812E-EE240E9BACF7}">
  <dimension ref="A1:AC183"/>
  <sheetViews>
    <sheetView tabSelected="1" zoomScaleNormal="100" workbookViewId="0">
      <selection activeCell="N180" sqref="N180"/>
    </sheetView>
  </sheetViews>
  <sheetFormatPr defaultRowHeight="12.75" x14ac:dyDescent="0.2"/>
  <cols>
    <col min="1" max="1" width="5.85546875" style="35" customWidth="1"/>
    <col min="2" max="5" width="3" style="20" customWidth="1"/>
    <col min="6" max="6" width="30.140625" style="20" customWidth="1"/>
    <col min="7" max="7" width="3.42578125" style="4" customWidth="1"/>
    <col min="8" max="8" width="16.140625" style="4" customWidth="1"/>
    <col min="9" max="9" width="3" style="4" customWidth="1"/>
    <col min="10" max="10" width="17.140625" style="4" customWidth="1"/>
    <col min="11" max="11" width="17.85546875" style="4" customWidth="1"/>
    <col min="12" max="12" width="3.5703125" style="45" customWidth="1"/>
    <col min="13" max="13" width="16.140625" style="4" customWidth="1"/>
    <col min="14" max="14" width="44.140625" style="4" customWidth="1"/>
    <col min="15" max="15" width="11.7109375" style="4" customWidth="1"/>
    <col min="16" max="16" width="13.7109375" style="4" customWidth="1"/>
    <col min="17" max="16384" width="9.140625" style="4"/>
  </cols>
  <sheetData>
    <row r="1" spans="1:19" ht="16.5" thickBot="1" x14ac:dyDescent="0.3">
      <c r="A1" s="1"/>
      <c r="B1" s="70" t="s">
        <v>204</v>
      </c>
      <c r="C1" s="71"/>
      <c r="D1" s="71"/>
      <c r="E1" s="71"/>
      <c r="F1" s="72"/>
      <c r="G1" s="3"/>
      <c r="H1" s="2"/>
      <c r="I1" s="2"/>
      <c r="J1" s="2"/>
      <c r="K1" s="2"/>
      <c r="L1" s="44"/>
      <c r="M1" s="53"/>
      <c r="S1" s="69"/>
    </row>
    <row r="2" spans="1:19" s="8" customFormat="1" ht="14.25" thickTop="1" thickBot="1" x14ac:dyDescent="0.25">
      <c r="A2" s="1"/>
      <c r="B2" s="73"/>
      <c r="C2" s="74"/>
      <c r="D2" s="74"/>
      <c r="E2" s="74"/>
      <c r="F2" s="75"/>
      <c r="G2" s="7"/>
      <c r="H2" s="6" t="s">
        <v>0</v>
      </c>
      <c r="I2" s="6"/>
      <c r="J2" s="6" t="s">
        <v>157</v>
      </c>
      <c r="K2" s="6" t="s">
        <v>159</v>
      </c>
      <c r="L2" s="36"/>
      <c r="M2" s="51" t="s">
        <v>160</v>
      </c>
      <c r="N2" s="51" t="s">
        <v>171</v>
      </c>
    </row>
    <row r="3" spans="1:19" x14ac:dyDescent="0.2">
      <c r="A3" s="9">
        <f>A2+1</f>
        <v>1</v>
      </c>
      <c r="B3" s="10" t="s">
        <v>1</v>
      </c>
      <c r="C3" s="10"/>
      <c r="D3" s="10"/>
      <c r="E3" s="10"/>
      <c r="F3" s="10"/>
      <c r="G3" s="12"/>
      <c r="H3" s="11"/>
      <c r="I3" s="11"/>
      <c r="J3" s="25" t="s">
        <v>158</v>
      </c>
      <c r="K3" s="11"/>
      <c r="L3" s="39"/>
      <c r="M3" s="11"/>
      <c r="N3" s="11"/>
    </row>
    <row r="4" spans="1:19" x14ac:dyDescent="0.2">
      <c r="A4" s="9">
        <f t="shared" ref="A4:A72" si="0">A3+1</f>
        <v>2</v>
      </c>
      <c r="B4" s="10"/>
      <c r="C4" s="10" t="s">
        <v>2</v>
      </c>
      <c r="D4" s="10"/>
      <c r="E4" s="10"/>
      <c r="F4" s="10"/>
      <c r="G4" s="12"/>
      <c r="H4" s="11"/>
      <c r="I4" s="11"/>
      <c r="J4" s="11"/>
      <c r="K4" s="11"/>
      <c r="L4" s="39"/>
      <c r="M4" s="11"/>
      <c r="N4" s="11"/>
    </row>
    <row r="5" spans="1:19" x14ac:dyDescent="0.2">
      <c r="A5" s="9">
        <f t="shared" si="0"/>
        <v>3</v>
      </c>
      <c r="B5" s="10"/>
      <c r="C5" s="10"/>
      <c r="D5" s="10" t="s">
        <v>3</v>
      </c>
      <c r="E5" s="10"/>
      <c r="F5" s="10"/>
      <c r="G5" s="12"/>
      <c r="H5" s="11"/>
      <c r="I5" s="11"/>
      <c r="J5" s="11"/>
      <c r="K5" s="11"/>
      <c r="L5" s="39"/>
      <c r="M5" s="11"/>
      <c r="N5" s="13" t="s">
        <v>202</v>
      </c>
    </row>
    <row r="6" spans="1:19" x14ac:dyDescent="0.2">
      <c r="A6" s="9">
        <f t="shared" si="0"/>
        <v>4</v>
      </c>
      <c r="B6" s="10"/>
      <c r="C6" s="10"/>
      <c r="D6" s="10"/>
      <c r="E6" s="10" t="s">
        <v>4</v>
      </c>
      <c r="F6" s="10"/>
      <c r="G6" s="12"/>
      <c r="H6" s="11">
        <v>282000</v>
      </c>
      <c r="I6" s="11"/>
      <c r="J6" s="11">
        <v>162883</v>
      </c>
      <c r="K6" s="11">
        <v>282000</v>
      </c>
      <c r="L6" s="39"/>
      <c r="M6" s="11">
        <f>3000*94</f>
        <v>282000</v>
      </c>
      <c r="N6" s="15" t="s">
        <v>162</v>
      </c>
    </row>
    <row r="7" spans="1:19" ht="13.5" thickBot="1" x14ac:dyDescent="0.25">
      <c r="A7" s="9">
        <f t="shared" si="0"/>
        <v>5</v>
      </c>
      <c r="B7" s="10"/>
      <c r="C7" s="10"/>
      <c r="D7" s="10"/>
      <c r="E7" s="10" t="s">
        <v>5</v>
      </c>
      <c r="F7" s="10"/>
      <c r="G7" s="12"/>
      <c r="H7" s="14">
        <v>17700</v>
      </c>
      <c r="I7" s="11"/>
      <c r="J7" s="14">
        <v>10050</v>
      </c>
      <c r="K7" s="14">
        <v>17700</v>
      </c>
      <c r="L7" s="39"/>
      <c r="M7" s="14">
        <f>2900*6</f>
        <v>17400</v>
      </c>
      <c r="N7" s="16" t="s">
        <v>163</v>
      </c>
    </row>
    <row r="8" spans="1:19" x14ac:dyDescent="0.2">
      <c r="A8" s="9">
        <f t="shared" si="0"/>
        <v>6</v>
      </c>
      <c r="B8" s="10"/>
      <c r="C8" s="10"/>
      <c r="D8" s="10" t="s">
        <v>6</v>
      </c>
      <c r="E8" s="10"/>
      <c r="F8" s="10"/>
      <c r="G8" s="12"/>
      <c r="H8" s="11">
        <f>ROUND(SUM(H5:H7),5)</f>
        <v>299700</v>
      </c>
      <c r="I8" s="11"/>
      <c r="J8" s="11">
        <f>ROUND(SUM(J5:J7),5)</f>
        <v>172933</v>
      </c>
      <c r="K8" s="11">
        <f>ROUND(SUM(K5:K7),5)</f>
        <v>299700</v>
      </c>
      <c r="L8" s="39"/>
      <c r="M8" s="11">
        <f>ROUND(SUM(M5:M7),5)</f>
        <v>299400</v>
      </c>
    </row>
    <row r="9" spans="1:19" x14ac:dyDescent="0.2">
      <c r="A9" s="9">
        <f t="shared" si="0"/>
        <v>7</v>
      </c>
      <c r="B9" s="10"/>
      <c r="C9" s="10"/>
      <c r="D9" s="10"/>
      <c r="E9" s="10"/>
      <c r="F9" s="10" t="s">
        <v>8</v>
      </c>
      <c r="G9" s="12"/>
      <c r="H9" s="11">
        <v>-40000</v>
      </c>
      <c r="I9" s="11"/>
      <c r="J9" s="11"/>
      <c r="K9" s="11">
        <v>-40000</v>
      </c>
      <c r="L9" s="39"/>
      <c r="M9" s="11">
        <v>-40000</v>
      </c>
      <c r="N9" s="4" t="s">
        <v>179</v>
      </c>
    </row>
    <row r="10" spans="1:19" x14ac:dyDescent="0.2">
      <c r="A10" s="9">
        <f t="shared" si="0"/>
        <v>8</v>
      </c>
      <c r="B10" s="10"/>
      <c r="C10" s="10"/>
      <c r="D10" s="10" t="s">
        <v>9</v>
      </c>
      <c r="E10" s="10"/>
      <c r="F10" s="10"/>
      <c r="G10" s="12"/>
      <c r="H10" s="11">
        <f>25*12*101*2</f>
        <v>60600</v>
      </c>
      <c r="I10" s="11"/>
      <c r="J10" s="11">
        <v>19715</v>
      </c>
      <c r="K10" s="11">
        <f>25*12*101*2</f>
        <v>60600</v>
      </c>
      <c r="L10" s="39"/>
      <c r="M10" s="11">
        <f>25*12*101*2</f>
        <v>60600</v>
      </c>
      <c r="N10" s="4" t="s">
        <v>201</v>
      </c>
    </row>
    <row r="11" spans="1:19" x14ac:dyDescent="0.2">
      <c r="A11" s="9">
        <f t="shared" si="0"/>
        <v>9</v>
      </c>
      <c r="B11" s="10"/>
      <c r="C11" s="10"/>
      <c r="D11" s="10" t="s">
        <v>10</v>
      </c>
      <c r="E11" s="10"/>
      <c r="F11" s="10"/>
      <c r="G11" s="12"/>
      <c r="H11" s="11">
        <v>30000</v>
      </c>
      <c r="I11" s="11"/>
      <c r="J11" s="11">
        <v>0</v>
      </c>
      <c r="K11" s="11">
        <v>30000</v>
      </c>
      <c r="L11" s="39"/>
      <c r="M11" s="11">
        <v>30000</v>
      </c>
      <c r="N11" s="4" t="s">
        <v>177</v>
      </c>
    </row>
    <row r="12" spans="1:19" x14ac:dyDescent="0.2">
      <c r="A12" s="9">
        <f t="shared" si="0"/>
        <v>10</v>
      </c>
      <c r="B12" s="10"/>
      <c r="C12" s="10"/>
      <c r="D12" s="10"/>
      <c r="E12" s="10"/>
      <c r="F12" s="10" t="s">
        <v>11</v>
      </c>
      <c r="G12" s="12"/>
      <c r="H12" s="11">
        <f>-H11-(H10/2)</f>
        <v>-60300</v>
      </c>
      <c r="I12" s="11"/>
      <c r="J12" s="11"/>
      <c r="K12" s="11">
        <f>-K11-(K10/2)</f>
        <v>-60300</v>
      </c>
      <c r="L12" s="39"/>
      <c r="M12" s="11">
        <f>-M11-(M10/2)</f>
        <v>-60300</v>
      </c>
      <c r="N12" s="4" t="s">
        <v>178</v>
      </c>
    </row>
    <row r="13" spans="1:19" x14ac:dyDescent="0.2">
      <c r="A13" s="9">
        <f t="shared" si="0"/>
        <v>11</v>
      </c>
      <c r="B13" s="10"/>
      <c r="C13" s="10"/>
      <c r="D13" s="10" t="s">
        <v>12</v>
      </c>
      <c r="E13" s="10"/>
      <c r="F13" s="10"/>
      <c r="G13" s="12"/>
      <c r="H13" s="11">
        <v>100</v>
      </c>
      <c r="I13" s="11"/>
      <c r="J13" s="11">
        <v>100</v>
      </c>
      <c r="K13" s="11">
        <v>100</v>
      </c>
      <c r="L13" s="39"/>
      <c r="M13" s="11">
        <v>100</v>
      </c>
      <c r="N13" s="11"/>
    </row>
    <row r="14" spans="1:19" x14ac:dyDescent="0.2">
      <c r="A14" s="9">
        <f t="shared" si="0"/>
        <v>12</v>
      </c>
      <c r="B14" s="10"/>
      <c r="C14" s="10"/>
      <c r="D14" s="10" t="s">
        <v>13</v>
      </c>
      <c r="E14" s="10"/>
      <c r="F14" s="10"/>
      <c r="G14" s="12"/>
      <c r="H14" s="11">
        <v>1</v>
      </c>
      <c r="I14" s="11"/>
      <c r="J14" s="11">
        <v>0</v>
      </c>
      <c r="K14" s="11">
        <v>1</v>
      </c>
      <c r="L14" s="39"/>
      <c r="M14" s="11">
        <v>1</v>
      </c>
      <c r="N14" s="11"/>
    </row>
    <row r="15" spans="1:19" x14ac:dyDescent="0.2">
      <c r="A15" s="9">
        <f t="shared" si="0"/>
        <v>13</v>
      </c>
      <c r="B15" s="10"/>
      <c r="C15" s="10"/>
      <c r="D15" s="10" t="s">
        <v>14</v>
      </c>
      <c r="E15" s="10"/>
      <c r="F15" s="10"/>
      <c r="G15" s="12"/>
      <c r="H15" s="11">
        <v>0</v>
      </c>
      <c r="I15" s="11"/>
      <c r="J15" s="41">
        <v>9031</v>
      </c>
      <c r="K15" s="11">
        <f>J15</f>
        <v>9031</v>
      </c>
      <c r="L15" s="39"/>
      <c r="M15" s="11">
        <v>0</v>
      </c>
      <c r="N15" s="49" t="s">
        <v>189</v>
      </c>
    </row>
    <row r="16" spans="1:19" x14ac:dyDescent="0.2">
      <c r="A16" s="9">
        <f t="shared" si="0"/>
        <v>14</v>
      </c>
      <c r="B16" s="10"/>
      <c r="C16" s="10"/>
      <c r="D16" s="10" t="s">
        <v>15</v>
      </c>
      <c r="E16" s="10"/>
      <c r="F16" s="10"/>
      <c r="G16" s="12"/>
      <c r="H16" s="11">
        <v>36</v>
      </c>
      <c r="I16" s="11"/>
      <c r="J16" s="41">
        <v>13</v>
      </c>
      <c r="K16" s="11">
        <v>36</v>
      </c>
      <c r="L16" s="39"/>
      <c r="M16" s="11">
        <v>36</v>
      </c>
      <c r="N16" s="41"/>
    </row>
    <row r="17" spans="1:15" x14ac:dyDescent="0.2">
      <c r="A17" s="9">
        <f t="shared" si="0"/>
        <v>15</v>
      </c>
      <c r="B17" s="10"/>
      <c r="C17" s="10"/>
      <c r="D17" s="10" t="s">
        <v>184</v>
      </c>
      <c r="E17" s="10"/>
      <c r="F17" s="10"/>
      <c r="G17" s="12"/>
      <c r="H17" s="11"/>
      <c r="I17" s="11"/>
      <c r="J17" s="41"/>
      <c r="K17" s="11"/>
      <c r="L17" s="39"/>
      <c r="M17" s="11"/>
      <c r="N17" s="48"/>
    </row>
    <row r="18" spans="1:15" x14ac:dyDescent="0.2">
      <c r="A18" s="9">
        <f t="shared" si="0"/>
        <v>16</v>
      </c>
      <c r="B18" s="10"/>
      <c r="C18" s="10"/>
      <c r="D18" s="10"/>
      <c r="E18" s="10"/>
      <c r="F18" s="10" t="s">
        <v>187</v>
      </c>
      <c r="G18" s="12"/>
      <c r="H18" s="11"/>
      <c r="I18" s="11"/>
      <c r="J18" s="11">
        <f>1500+250+150+76+285+100</f>
        <v>2361</v>
      </c>
      <c r="K18" s="11">
        <f>1500+250+150+76+285+100</f>
        <v>2361</v>
      </c>
      <c r="L18" s="39"/>
      <c r="M18" s="11"/>
      <c r="N18" s="48"/>
    </row>
    <row r="19" spans="1:15" x14ac:dyDescent="0.2">
      <c r="A19" s="9">
        <f t="shared" si="0"/>
        <v>17</v>
      </c>
      <c r="B19" s="10"/>
      <c r="C19" s="10"/>
      <c r="D19" s="10"/>
      <c r="E19" s="10"/>
      <c r="F19" s="10" t="s">
        <v>186</v>
      </c>
      <c r="G19" s="12"/>
      <c r="H19" s="11"/>
      <c r="I19" s="11"/>
      <c r="J19" s="11">
        <f>250+200+500+25+500+500</f>
        <v>1975</v>
      </c>
      <c r="K19" s="11">
        <f>250+200+500+25+500+500</f>
        <v>1975</v>
      </c>
      <c r="L19" s="39"/>
      <c r="M19" s="11"/>
      <c r="N19" s="48"/>
    </row>
    <row r="20" spans="1:15" x14ac:dyDescent="0.2">
      <c r="A20" s="9">
        <f t="shared" si="0"/>
        <v>18</v>
      </c>
      <c r="B20" s="10"/>
      <c r="C20" s="10"/>
      <c r="D20" s="10"/>
      <c r="E20" s="10"/>
      <c r="F20" s="10" t="s">
        <v>188</v>
      </c>
      <c r="G20" s="12"/>
      <c r="H20" s="11"/>
      <c r="I20" s="11"/>
      <c r="J20" s="11">
        <f>20+30+100+85+50</f>
        <v>285</v>
      </c>
      <c r="K20" s="11">
        <f>20+30+100+85+50</f>
        <v>285</v>
      </c>
      <c r="L20" s="39"/>
      <c r="M20" s="11"/>
      <c r="N20" s="48"/>
    </row>
    <row r="21" spans="1:15" x14ac:dyDescent="0.2">
      <c r="A21" s="9">
        <f t="shared" si="0"/>
        <v>19</v>
      </c>
      <c r="B21" s="10"/>
      <c r="C21" s="10"/>
      <c r="D21" s="10"/>
      <c r="E21" s="10"/>
      <c r="F21" s="10" t="s">
        <v>182</v>
      </c>
      <c r="G21" s="12"/>
      <c r="H21" s="11"/>
      <c r="I21" s="11"/>
      <c r="J21" s="41"/>
      <c r="K21" s="11">
        <v>1000</v>
      </c>
      <c r="L21" s="39"/>
      <c r="M21" s="11"/>
      <c r="N21" s="48"/>
    </row>
    <row r="22" spans="1:15" x14ac:dyDescent="0.2">
      <c r="A22" s="9">
        <f t="shared" si="0"/>
        <v>20</v>
      </c>
      <c r="B22" s="10"/>
      <c r="C22" s="10"/>
      <c r="D22" s="10"/>
      <c r="E22" s="10"/>
      <c r="F22" s="10" t="s">
        <v>183</v>
      </c>
      <c r="G22" s="12"/>
      <c r="H22" s="11"/>
      <c r="I22" s="11"/>
      <c r="J22" s="41"/>
      <c r="K22" s="11"/>
      <c r="L22" s="39"/>
      <c r="M22" s="11"/>
      <c r="N22" s="48"/>
    </row>
    <row r="23" spans="1:15" x14ac:dyDescent="0.2">
      <c r="A23" s="9">
        <f t="shared" si="0"/>
        <v>21</v>
      </c>
      <c r="B23" s="10"/>
      <c r="C23" s="10"/>
      <c r="D23" s="10" t="s">
        <v>16</v>
      </c>
      <c r="E23" s="10"/>
      <c r="F23" s="10"/>
      <c r="G23" s="12"/>
      <c r="H23" s="11">
        <v>0</v>
      </c>
      <c r="I23" s="11"/>
      <c r="J23" s="11">
        <v>0</v>
      </c>
      <c r="K23" s="11">
        <v>0</v>
      </c>
      <c r="L23" s="39"/>
      <c r="M23" s="11">
        <v>0</v>
      </c>
      <c r="N23" s="5"/>
    </row>
    <row r="24" spans="1:15" x14ac:dyDescent="0.2">
      <c r="A24" s="9">
        <f t="shared" si="0"/>
        <v>22</v>
      </c>
      <c r="B24" s="10"/>
      <c r="C24" s="10"/>
      <c r="D24" s="10" t="s">
        <v>17</v>
      </c>
      <c r="E24" s="10"/>
      <c r="F24" s="10"/>
      <c r="G24" s="12"/>
      <c r="H24" s="11">
        <v>3000</v>
      </c>
      <c r="I24" s="11"/>
      <c r="J24" s="11">
        <v>2864</v>
      </c>
      <c r="K24" s="11">
        <v>2864</v>
      </c>
      <c r="L24" s="39"/>
      <c r="M24" s="11">
        <v>3000</v>
      </c>
      <c r="N24" s="4" t="s">
        <v>200</v>
      </c>
    </row>
    <row r="25" spans="1:15" ht="13.5" thickBot="1" x14ac:dyDescent="0.25">
      <c r="A25" s="9">
        <f t="shared" si="0"/>
        <v>23</v>
      </c>
      <c r="B25" s="10"/>
      <c r="C25" s="10"/>
      <c r="D25" s="10" t="s">
        <v>18</v>
      </c>
      <c r="E25" s="10"/>
      <c r="F25" s="10"/>
      <c r="G25" s="12"/>
      <c r="H25" s="14">
        <v>500</v>
      </c>
      <c r="I25" s="11"/>
      <c r="J25" s="14">
        <v>388</v>
      </c>
      <c r="K25" s="14">
        <v>388</v>
      </c>
      <c r="L25" s="39"/>
      <c r="M25" s="14">
        <v>500</v>
      </c>
      <c r="N25" s="4" t="s">
        <v>200</v>
      </c>
    </row>
    <row r="26" spans="1:15" x14ac:dyDescent="0.2">
      <c r="A26" s="9">
        <f t="shared" si="0"/>
        <v>24</v>
      </c>
      <c r="B26" s="10"/>
      <c r="C26" s="10" t="s">
        <v>19</v>
      </c>
      <c r="D26" s="10"/>
      <c r="E26" s="10"/>
      <c r="F26" s="10"/>
      <c r="G26" s="12"/>
      <c r="H26" s="25">
        <f>ROUND(H4+SUM(H8:H25),5)</f>
        <v>293637</v>
      </c>
      <c r="I26" s="25"/>
      <c r="J26" s="25">
        <f t="shared" ref="J26" si="1">ROUND(J4+SUM(J8:J25),5)</f>
        <v>209665</v>
      </c>
      <c r="K26" s="25">
        <f>ROUND(K4+SUM(K8:K25),5)</f>
        <v>308041</v>
      </c>
      <c r="L26" s="38"/>
      <c r="M26" s="25">
        <f>ROUND(M4+SUM(M8:M25),5)</f>
        <v>293337</v>
      </c>
      <c r="N26" s="11"/>
    </row>
    <row r="27" spans="1:15" x14ac:dyDescent="0.2">
      <c r="A27" s="9">
        <f t="shared" si="0"/>
        <v>25</v>
      </c>
      <c r="B27" s="10"/>
      <c r="C27" s="10" t="s">
        <v>20</v>
      </c>
      <c r="D27" s="10"/>
      <c r="E27" s="10"/>
      <c r="F27" s="10"/>
      <c r="G27" s="12"/>
      <c r="H27" s="11"/>
      <c r="I27" s="11"/>
      <c r="J27" s="11"/>
      <c r="K27" s="11"/>
      <c r="L27" s="39"/>
      <c r="M27" s="11"/>
      <c r="N27" s="11"/>
    </row>
    <row r="28" spans="1:15" x14ac:dyDescent="0.2">
      <c r="A28" s="9">
        <f t="shared" si="0"/>
        <v>26</v>
      </c>
      <c r="B28" s="10"/>
      <c r="C28" s="10"/>
      <c r="D28" s="10" t="s">
        <v>21</v>
      </c>
      <c r="E28" s="10"/>
      <c r="F28" s="10"/>
      <c r="G28" s="12"/>
      <c r="H28" s="11">
        <v>0</v>
      </c>
      <c r="I28" s="11"/>
      <c r="J28" s="11">
        <v>135</v>
      </c>
      <c r="K28" s="11">
        <f>J28</f>
        <v>135</v>
      </c>
      <c r="L28" s="39"/>
      <c r="M28" s="11">
        <v>0</v>
      </c>
      <c r="N28" s="11"/>
    </row>
    <row r="29" spans="1:15" x14ac:dyDescent="0.2">
      <c r="A29" s="9">
        <f t="shared" si="0"/>
        <v>27</v>
      </c>
      <c r="B29" s="10"/>
      <c r="C29" s="10"/>
      <c r="D29" s="10"/>
      <c r="E29" s="10" t="s">
        <v>22</v>
      </c>
      <c r="F29" s="10"/>
      <c r="G29" s="12"/>
      <c r="H29" s="11">
        <v>63311.33</v>
      </c>
      <c r="I29" s="11"/>
      <c r="J29" s="11">
        <v>41170</v>
      </c>
      <c r="K29" s="11">
        <v>63311.33</v>
      </c>
      <c r="L29" s="39"/>
      <c r="M29" s="11">
        <f>H29*1.03</f>
        <v>65210.669900000001</v>
      </c>
      <c r="N29" s="68" t="s">
        <v>181</v>
      </c>
      <c r="O29" s="17"/>
    </row>
    <row r="30" spans="1:15" x14ac:dyDescent="0.2">
      <c r="A30" s="9">
        <f t="shared" si="0"/>
        <v>28</v>
      </c>
      <c r="B30" s="10"/>
      <c r="C30" s="10"/>
      <c r="D30" s="10"/>
      <c r="E30" s="10" t="s">
        <v>23</v>
      </c>
      <c r="F30" s="10"/>
      <c r="G30" s="12"/>
      <c r="H30" s="11">
        <v>5698.09</v>
      </c>
      <c r="I30" s="11"/>
      <c r="J30" s="11">
        <v>3622</v>
      </c>
      <c r="K30" s="11">
        <v>5698.09</v>
      </c>
      <c r="L30" s="39"/>
      <c r="M30" s="11">
        <f>H30*1.03</f>
        <v>5869.0327000000007</v>
      </c>
      <c r="N30" s="68" t="s">
        <v>181</v>
      </c>
      <c r="O30" s="17"/>
    </row>
    <row r="31" spans="1:15" x14ac:dyDescent="0.2">
      <c r="A31" s="9">
        <f t="shared" si="0"/>
        <v>29</v>
      </c>
      <c r="B31" s="10"/>
      <c r="C31" s="10"/>
      <c r="D31" s="10"/>
      <c r="E31" s="10" t="s">
        <v>24</v>
      </c>
      <c r="F31" s="10"/>
      <c r="G31" s="12"/>
      <c r="H31" s="11">
        <v>4431.38</v>
      </c>
      <c r="I31" s="11"/>
      <c r="J31" s="11">
        <v>2520</v>
      </c>
      <c r="K31" s="11">
        <v>4431.38</v>
      </c>
      <c r="L31" s="39"/>
      <c r="M31" s="11">
        <f>H31*1.03</f>
        <v>4564.3213999999998</v>
      </c>
      <c r="N31" s="68" t="s">
        <v>181</v>
      </c>
      <c r="O31" s="17"/>
    </row>
    <row r="32" spans="1:15" x14ac:dyDescent="0.2">
      <c r="A32" s="9">
        <f t="shared" si="0"/>
        <v>30</v>
      </c>
      <c r="B32" s="10"/>
      <c r="C32" s="10"/>
      <c r="D32" s="10"/>
      <c r="E32" s="10" t="s">
        <v>25</v>
      </c>
      <c r="F32" s="10"/>
      <c r="G32" s="12"/>
      <c r="H32" s="11">
        <v>300</v>
      </c>
      <c r="I32" s="11"/>
      <c r="J32" s="11">
        <v>334</v>
      </c>
      <c r="K32" s="11">
        <v>334</v>
      </c>
      <c r="L32" s="39"/>
      <c r="M32" s="11">
        <v>300</v>
      </c>
      <c r="N32" s="11"/>
      <c r="O32" s="5"/>
    </row>
    <row r="33" spans="1:15" x14ac:dyDescent="0.2">
      <c r="A33" s="9">
        <f t="shared" si="0"/>
        <v>31</v>
      </c>
      <c r="B33" s="10"/>
      <c r="C33" s="10"/>
      <c r="D33" s="10"/>
      <c r="E33" s="10" t="s">
        <v>26</v>
      </c>
      <c r="F33" s="10"/>
      <c r="G33" s="12"/>
      <c r="H33" s="11">
        <v>4431.38</v>
      </c>
      <c r="I33" s="11"/>
      <c r="J33" s="11">
        <v>2829</v>
      </c>
      <c r="K33" s="11">
        <v>4431.38</v>
      </c>
      <c r="L33" s="39"/>
      <c r="M33" s="11">
        <f>H33*1.03</f>
        <v>4564.3213999999998</v>
      </c>
      <c r="N33" s="68" t="s">
        <v>181</v>
      </c>
      <c r="O33" s="17"/>
    </row>
    <row r="34" spans="1:15" x14ac:dyDescent="0.2">
      <c r="A34" s="9">
        <f t="shared" si="0"/>
        <v>32</v>
      </c>
      <c r="B34" s="10"/>
      <c r="C34" s="10"/>
      <c r="D34" s="10"/>
      <c r="E34" s="10" t="s">
        <v>27</v>
      </c>
      <c r="F34" s="10"/>
      <c r="G34" s="12"/>
      <c r="H34" s="11">
        <v>1060.9000000000001</v>
      </c>
      <c r="I34" s="11"/>
      <c r="J34" s="11">
        <v>666</v>
      </c>
      <c r="K34" s="11">
        <v>1060.9000000000001</v>
      </c>
      <c r="L34" s="39"/>
      <c r="M34" s="11">
        <f>H34*1.03</f>
        <v>1092.7270000000001</v>
      </c>
      <c r="N34" s="68" t="s">
        <v>181</v>
      </c>
      <c r="O34" s="17"/>
    </row>
    <row r="35" spans="1:15" ht="13.5" thickBot="1" x14ac:dyDescent="0.25">
      <c r="A35" s="9">
        <f t="shared" si="0"/>
        <v>33</v>
      </c>
      <c r="B35" s="10"/>
      <c r="C35" s="10"/>
      <c r="D35" s="10"/>
      <c r="E35" s="10" t="s">
        <v>28</v>
      </c>
      <c r="F35" s="10"/>
      <c r="G35" s="12"/>
      <c r="H35" s="14">
        <v>500</v>
      </c>
      <c r="I35" s="11"/>
      <c r="J35" s="14">
        <v>1400</v>
      </c>
      <c r="K35" s="14">
        <v>1400</v>
      </c>
      <c r="L35" s="39"/>
      <c r="M35" s="14">
        <v>500</v>
      </c>
      <c r="N35" s="11"/>
    </row>
    <row r="36" spans="1:15" x14ac:dyDescent="0.2">
      <c r="A36" s="9">
        <f t="shared" si="0"/>
        <v>34</v>
      </c>
      <c r="B36" s="10"/>
      <c r="C36" s="10"/>
      <c r="D36" s="10" t="s">
        <v>29</v>
      </c>
      <c r="E36" s="10"/>
      <c r="F36" s="10"/>
      <c r="G36" s="12"/>
      <c r="H36" s="11">
        <f>ROUND(SUM(H28:H35),5)</f>
        <v>79733.08</v>
      </c>
      <c r="I36" s="11"/>
      <c r="J36" s="11">
        <f t="shared" ref="J36" si="2">ROUND(SUM(J28:J35),5)</f>
        <v>52676</v>
      </c>
      <c r="K36" s="11">
        <f>ROUND(SUM(K28:K35),5)</f>
        <v>80802.080000000002</v>
      </c>
      <c r="L36" s="39"/>
      <c r="M36" s="11">
        <f>ROUND(SUM(M28:M35),5)</f>
        <v>82101.072400000005</v>
      </c>
      <c r="N36" s="11"/>
    </row>
    <row r="37" spans="1:15" x14ac:dyDescent="0.2">
      <c r="A37" s="9">
        <f t="shared" si="0"/>
        <v>35</v>
      </c>
      <c r="B37" s="10"/>
      <c r="C37" s="10"/>
      <c r="D37" s="10" t="s">
        <v>30</v>
      </c>
      <c r="E37" s="10"/>
      <c r="F37" s="10"/>
      <c r="G37" s="12"/>
      <c r="H37" s="11"/>
      <c r="I37" s="11"/>
      <c r="J37" s="11"/>
      <c r="K37" s="11"/>
      <c r="L37" s="39"/>
      <c r="M37" s="11"/>
      <c r="N37" s="11"/>
    </row>
    <row r="38" spans="1:15" ht="13.5" thickBot="1" x14ac:dyDescent="0.25">
      <c r="A38" s="9">
        <f t="shared" si="0"/>
        <v>36</v>
      </c>
      <c r="B38" s="10"/>
      <c r="C38" s="10"/>
      <c r="D38" s="10"/>
      <c r="E38" s="10" t="s">
        <v>31</v>
      </c>
      <c r="F38" s="10"/>
      <c r="G38" s="12"/>
      <c r="H38" s="14">
        <v>1500</v>
      </c>
      <c r="I38" s="11"/>
      <c r="J38" s="14">
        <v>386</v>
      </c>
      <c r="K38" s="14">
        <v>1500</v>
      </c>
      <c r="L38" s="39"/>
      <c r="M38" s="14">
        <v>1500</v>
      </c>
      <c r="N38" s="11"/>
    </row>
    <row r="39" spans="1:15" x14ac:dyDescent="0.2">
      <c r="A39" s="9">
        <f t="shared" si="0"/>
        <v>37</v>
      </c>
      <c r="B39" s="10"/>
      <c r="C39" s="10"/>
      <c r="D39" s="10" t="s">
        <v>32</v>
      </c>
      <c r="E39" s="10"/>
      <c r="F39" s="10"/>
      <c r="G39" s="12"/>
      <c r="H39" s="11">
        <f>H38</f>
        <v>1500</v>
      </c>
      <c r="I39" s="11"/>
      <c r="J39" s="11">
        <f t="shared" ref="J39" si="3">J38</f>
        <v>386</v>
      </c>
      <c r="K39" s="11">
        <f>K38</f>
        <v>1500</v>
      </c>
      <c r="L39" s="39"/>
      <c r="M39" s="11">
        <f>M38</f>
        <v>1500</v>
      </c>
      <c r="N39" s="11"/>
    </row>
    <row r="40" spans="1:15" x14ac:dyDescent="0.2">
      <c r="A40" s="9">
        <f t="shared" si="0"/>
        <v>38</v>
      </c>
      <c r="B40" s="10"/>
      <c r="C40" s="10"/>
      <c r="D40" s="10" t="s">
        <v>33</v>
      </c>
      <c r="E40" s="10"/>
      <c r="F40" s="10"/>
      <c r="G40" s="12"/>
      <c r="H40" s="11"/>
      <c r="I40" s="11"/>
      <c r="J40" s="11"/>
      <c r="K40" s="11"/>
      <c r="L40" s="39"/>
      <c r="M40" s="11"/>
      <c r="N40" s="11"/>
    </row>
    <row r="41" spans="1:15" x14ac:dyDescent="0.2">
      <c r="A41" s="9">
        <f t="shared" si="0"/>
        <v>39</v>
      </c>
      <c r="B41" s="10"/>
      <c r="C41" s="10"/>
      <c r="D41" s="10"/>
      <c r="E41" s="10" t="s">
        <v>34</v>
      </c>
      <c r="F41" s="10"/>
      <c r="G41" s="12"/>
      <c r="H41" s="11">
        <v>850</v>
      </c>
      <c r="I41" s="11"/>
      <c r="J41" s="11">
        <v>167</v>
      </c>
      <c r="K41" s="11">
        <v>850</v>
      </c>
      <c r="L41" s="39"/>
      <c r="M41" s="11">
        <v>850</v>
      </c>
      <c r="N41" s="11"/>
    </row>
    <row r="42" spans="1:15" x14ac:dyDescent="0.2">
      <c r="A42" s="9">
        <f t="shared" si="0"/>
        <v>40</v>
      </c>
      <c r="B42" s="10"/>
      <c r="C42" s="10"/>
      <c r="D42" s="10"/>
      <c r="E42" s="10" t="s">
        <v>35</v>
      </c>
      <c r="F42" s="10"/>
      <c r="G42" s="12"/>
      <c r="H42" s="11">
        <v>2160</v>
      </c>
      <c r="I42" s="11"/>
      <c r="J42" s="11">
        <v>1031</v>
      </c>
      <c r="K42" s="11">
        <f>((12+35)*4)+J42</f>
        <v>1219</v>
      </c>
      <c r="L42" s="39"/>
      <c r="M42" s="11">
        <f>145+480</f>
        <v>625</v>
      </c>
      <c r="N42" s="11"/>
    </row>
    <row r="43" spans="1:15" x14ac:dyDescent="0.2">
      <c r="A43" s="9">
        <f t="shared" si="0"/>
        <v>41</v>
      </c>
      <c r="B43" s="10"/>
      <c r="C43" s="10"/>
      <c r="D43" s="10"/>
      <c r="E43" s="10" t="s">
        <v>36</v>
      </c>
      <c r="F43" s="10"/>
      <c r="G43" s="12"/>
      <c r="H43" s="11">
        <v>500</v>
      </c>
      <c r="I43" s="11"/>
      <c r="J43" s="11">
        <v>240</v>
      </c>
      <c r="K43" s="11">
        <v>500</v>
      </c>
      <c r="L43" s="39"/>
      <c r="M43" s="11">
        <v>500</v>
      </c>
      <c r="N43" s="11"/>
    </row>
    <row r="44" spans="1:15" x14ac:dyDescent="0.2">
      <c r="A44" s="9">
        <f t="shared" si="0"/>
        <v>42</v>
      </c>
      <c r="B44" s="10"/>
      <c r="C44" s="10"/>
      <c r="D44" s="10"/>
      <c r="E44" s="10" t="s">
        <v>37</v>
      </c>
      <c r="F44" s="10"/>
      <c r="G44" s="12"/>
      <c r="H44" s="11">
        <v>700</v>
      </c>
      <c r="I44" s="11"/>
      <c r="J44" s="11">
        <v>316</v>
      </c>
      <c r="K44" s="11">
        <v>700</v>
      </c>
      <c r="L44" s="39"/>
      <c r="M44" s="11">
        <v>700</v>
      </c>
      <c r="N44" s="11"/>
    </row>
    <row r="45" spans="1:15" ht="13.5" thickBot="1" x14ac:dyDescent="0.25">
      <c r="A45" s="9">
        <f t="shared" si="0"/>
        <v>43</v>
      </c>
      <c r="B45" s="10"/>
      <c r="C45" s="10"/>
      <c r="D45" s="10"/>
      <c r="E45" s="10" t="s">
        <v>38</v>
      </c>
      <c r="F45" s="10"/>
      <c r="G45" s="12"/>
      <c r="H45" s="14">
        <v>200</v>
      </c>
      <c r="I45" s="11"/>
      <c r="J45" s="14">
        <v>162</v>
      </c>
      <c r="K45" s="14">
        <v>200</v>
      </c>
      <c r="L45" s="39"/>
      <c r="M45" s="14">
        <v>200</v>
      </c>
      <c r="N45" s="11"/>
    </row>
    <row r="46" spans="1:15" x14ac:dyDescent="0.2">
      <c r="A46" s="9">
        <f t="shared" si="0"/>
        <v>44</v>
      </c>
      <c r="B46" s="10"/>
      <c r="C46" s="10"/>
      <c r="D46" s="10" t="s">
        <v>39</v>
      </c>
      <c r="E46" s="10"/>
      <c r="F46" s="10"/>
      <c r="G46" s="12"/>
      <c r="H46" s="11">
        <f>ROUND(SUM(H40:H45),5)</f>
        <v>4410</v>
      </c>
      <c r="I46" s="11"/>
      <c r="J46" s="11">
        <f t="shared" ref="J46" si="4">ROUND(SUM(J40:J45),5)</f>
        <v>1916</v>
      </c>
      <c r="K46" s="11">
        <f>ROUND(SUM(K40:K45),5)</f>
        <v>3469</v>
      </c>
      <c r="L46" s="39"/>
      <c r="M46" s="11">
        <f>ROUND(SUM(M40:M45),5)</f>
        <v>2875</v>
      </c>
      <c r="N46" s="11"/>
    </row>
    <row r="47" spans="1:15" x14ac:dyDescent="0.2">
      <c r="A47" s="9">
        <f t="shared" si="0"/>
        <v>45</v>
      </c>
      <c r="B47" s="10"/>
      <c r="C47" s="10"/>
      <c r="D47" s="10" t="s">
        <v>40</v>
      </c>
      <c r="E47" s="10"/>
      <c r="F47" s="10"/>
      <c r="G47" s="12"/>
      <c r="H47" s="11"/>
      <c r="I47" s="11"/>
      <c r="J47" s="11"/>
      <c r="K47" s="11"/>
      <c r="L47" s="39"/>
      <c r="M47" s="11"/>
      <c r="N47" s="11"/>
    </row>
    <row r="48" spans="1:15" ht="13.5" thickBot="1" x14ac:dyDescent="0.25">
      <c r="A48" s="9">
        <f t="shared" si="0"/>
        <v>46</v>
      </c>
      <c r="B48" s="10"/>
      <c r="C48" s="10"/>
      <c r="D48" s="10"/>
      <c r="E48" s="10" t="s">
        <v>41</v>
      </c>
      <c r="F48" s="10"/>
      <c r="G48" s="12"/>
      <c r="H48" s="14">
        <v>300</v>
      </c>
      <c r="I48" s="11"/>
      <c r="J48" s="14">
        <v>0</v>
      </c>
      <c r="K48" s="14">
        <v>300</v>
      </c>
      <c r="L48" s="39"/>
      <c r="M48" s="14">
        <v>300</v>
      </c>
      <c r="N48" s="11"/>
    </row>
    <row r="49" spans="1:14" x14ac:dyDescent="0.2">
      <c r="A49" s="9">
        <f t="shared" si="0"/>
        <v>47</v>
      </c>
      <c r="B49" s="10"/>
      <c r="C49" s="10"/>
      <c r="D49" s="10" t="s">
        <v>42</v>
      </c>
      <c r="E49" s="10"/>
      <c r="F49" s="10"/>
      <c r="G49" s="12"/>
      <c r="H49" s="11">
        <f>ROUND(SUM(H47:H48),5)</f>
        <v>300</v>
      </c>
      <c r="I49" s="11"/>
      <c r="J49" s="11">
        <f t="shared" ref="J49" si="5">ROUND(SUM(J47:J48),5)</f>
        <v>0</v>
      </c>
      <c r="K49" s="11">
        <f>ROUND(SUM(K47:K48),5)</f>
        <v>300</v>
      </c>
      <c r="L49" s="39"/>
      <c r="M49" s="11">
        <f>ROUND(SUM(M47:M48),5)</f>
        <v>300</v>
      </c>
      <c r="N49" s="11"/>
    </row>
    <row r="50" spans="1:14" x14ac:dyDescent="0.2">
      <c r="A50" s="9">
        <f t="shared" si="0"/>
        <v>48</v>
      </c>
      <c r="B50" s="10"/>
      <c r="C50" s="10"/>
      <c r="D50" s="10" t="s">
        <v>43</v>
      </c>
      <c r="E50" s="10"/>
      <c r="F50" s="10"/>
      <c r="G50" s="12"/>
      <c r="H50" s="11"/>
      <c r="I50" s="11"/>
      <c r="J50" s="11"/>
      <c r="K50" s="11"/>
      <c r="L50" s="39"/>
      <c r="M50" s="11"/>
      <c r="N50" s="11"/>
    </row>
    <row r="51" spans="1:14" s="45" customFormat="1" x14ac:dyDescent="0.2">
      <c r="A51" s="57">
        <f t="shared" si="0"/>
        <v>49</v>
      </c>
      <c r="B51" s="54"/>
      <c r="C51" s="54"/>
      <c r="D51" s="54"/>
      <c r="E51" s="55" t="s">
        <v>44</v>
      </c>
      <c r="F51" s="54"/>
      <c r="G51" s="56"/>
      <c r="H51" s="39"/>
      <c r="I51" s="39"/>
      <c r="J51" s="39"/>
      <c r="K51" s="39"/>
      <c r="L51" s="39"/>
      <c r="M51" s="39"/>
      <c r="N51" s="39"/>
    </row>
    <row r="52" spans="1:14" x14ac:dyDescent="0.2">
      <c r="A52" s="9">
        <f t="shared" si="0"/>
        <v>50</v>
      </c>
      <c r="B52" s="10"/>
      <c r="C52" s="10"/>
      <c r="D52" s="10"/>
      <c r="E52" s="10"/>
      <c r="F52" s="10" t="s">
        <v>45</v>
      </c>
      <c r="G52" s="12"/>
      <c r="H52" s="11">
        <v>0</v>
      </c>
      <c r="I52" s="11"/>
      <c r="J52" s="11">
        <v>0</v>
      </c>
      <c r="K52" s="11">
        <v>1000</v>
      </c>
      <c r="L52" s="39"/>
      <c r="M52" s="11">
        <v>0</v>
      </c>
      <c r="N52" s="11"/>
    </row>
    <row r="53" spans="1:14" x14ac:dyDescent="0.2">
      <c r="A53" s="9">
        <f t="shared" si="0"/>
        <v>51</v>
      </c>
      <c r="B53" s="10"/>
      <c r="C53" s="10"/>
      <c r="D53" s="10"/>
      <c r="E53" s="10"/>
      <c r="F53" s="10" t="s">
        <v>46</v>
      </c>
      <c r="G53" s="12"/>
      <c r="H53" s="11">
        <v>0</v>
      </c>
      <c r="I53" s="11"/>
      <c r="J53" s="11">
        <v>0</v>
      </c>
      <c r="K53" s="11">
        <v>0</v>
      </c>
      <c r="L53" s="39"/>
      <c r="M53" s="11">
        <v>0</v>
      </c>
      <c r="N53" s="42"/>
    </row>
    <row r="54" spans="1:14" x14ac:dyDescent="0.2">
      <c r="A54" s="9">
        <f t="shared" si="0"/>
        <v>52</v>
      </c>
      <c r="B54" s="10"/>
      <c r="C54" s="10"/>
      <c r="D54" s="10"/>
      <c r="E54" s="10"/>
      <c r="F54" s="10" t="s">
        <v>47</v>
      </c>
      <c r="G54" s="12"/>
      <c r="H54" s="11">
        <v>0</v>
      </c>
      <c r="I54" s="11"/>
      <c r="J54" s="11">
        <v>0</v>
      </c>
      <c r="K54" s="11">
        <v>0</v>
      </c>
      <c r="L54" s="39"/>
      <c r="M54" s="11">
        <v>0</v>
      </c>
      <c r="N54" s="43"/>
    </row>
    <row r="55" spans="1:14" x14ac:dyDescent="0.2">
      <c r="A55" s="9">
        <f t="shared" si="0"/>
        <v>53</v>
      </c>
      <c r="B55" s="10"/>
      <c r="C55" s="10"/>
      <c r="D55" s="10"/>
      <c r="E55" s="10" t="s">
        <v>48</v>
      </c>
      <c r="F55" s="10"/>
      <c r="G55" s="12"/>
      <c r="H55" s="11">
        <v>2300</v>
      </c>
      <c r="I55" s="11"/>
      <c r="J55" s="11">
        <v>0</v>
      </c>
      <c r="K55" s="11">
        <v>800</v>
      </c>
      <c r="L55" s="39"/>
      <c r="M55" s="11">
        <v>4500</v>
      </c>
      <c r="N55" s="11"/>
    </row>
    <row r="56" spans="1:14" x14ac:dyDescent="0.2">
      <c r="A56" s="9">
        <f t="shared" si="0"/>
        <v>54</v>
      </c>
      <c r="B56" s="10"/>
      <c r="C56" s="10"/>
      <c r="D56" s="10"/>
      <c r="E56" s="10" t="s">
        <v>49</v>
      </c>
      <c r="F56" s="10"/>
      <c r="G56" s="12"/>
      <c r="H56" s="11">
        <f>500+125</f>
        <v>625</v>
      </c>
      <c r="I56" s="11"/>
      <c r="J56" s="11">
        <v>0</v>
      </c>
      <c r="K56" s="11">
        <v>300</v>
      </c>
      <c r="L56" s="39"/>
      <c r="M56" s="11">
        <v>500</v>
      </c>
      <c r="N56" s="11"/>
    </row>
    <row r="57" spans="1:14" ht="13.5" thickBot="1" x14ac:dyDescent="0.25">
      <c r="A57" s="9">
        <f t="shared" si="0"/>
        <v>55</v>
      </c>
      <c r="B57" s="10"/>
      <c r="C57" s="10"/>
      <c r="D57" s="10"/>
      <c r="E57" s="10" t="s">
        <v>50</v>
      </c>
      <c r="F57" s="10"/>
      <c r="G57" s="12"/>
      <c r="H57" s="14">
        <f>1200+460+650+600</f>
        <v>2910</v>
      </c>
      <c r="I57" s="11"/>
      <c r="J57" s="14">
        <v>1398</v>
      </c>
      <c r="K57" s="14">
        <v>23755</v>
      </c>
      <c r="L57" s="39"/>
      <c r="M57" s="14">
        <v>13400</v>
      </c>
      <c r="N57" s="4" t="s">
        <v>199</v>
      </c>
    </row>
    <row r="58" spans="1:14" x14ac:dyDescent="0.2">
      <c r="A58" s="9">
        <f t="shared" si="0"/>
        <v>56</v>
      </c>
      <c r="B58" s="10"/>
      <c r="C58" s="10"/>
      <c r="D58" s="10" t="s">
        <v>51</v>
      </c>
      <c r="E58" s="10"/>
      <c r="F58" s="10"/>
      <c r="G58" s="12"/>
      <c r="H58" s="11">
        <f>ROUND(SUM(H50:H57),5)</f>
        <v>5835</v>
      </c>
      <c r="I58" s="11"/>
      <c r="J58" s="11">
        <f t="shared" ref="J58" si="6">ROUND(SUM(J50:J57),5)</f>
        <v>1398</v>
      </c>
      <c r="K58" s="11">
        <f>ROUND(SUM(K50:K57),5)</f>
        <v>25855</v>
      </c>
      <c r="L58" s="39"/>
      <c r="M58" s="11">
        <f>ROUND(SUM(M50:M57),5)</f>
        <v>18400</v>
      </c>
      <c r="N58" s="11" t="s">
        <v>170</v>
      </c>
    </row>
    <row r="59" spans="1:14" x14ac:dyDescent="0.2">
      <c r="A59" s="9">
        <f t="shared" si="0"/>
        <v>57</v>
      </c>
      <c r="B59" s="10"/>
      <c r="C59" s="10"/>
      <c r="D59" s="10" t="s">
        <v>52</v>
      </c>
      <c r="E59" s="10"/>
      <c r="F59" s="10"/>
      <c r="G59" s="12"/>
      <c r="H59" s="11"/>
      <c r="I59" s="11"/>
      <c r="J59" s="11"/>
      <c r="K59" s="11"/>
      <c r="L59" s="39"/>
      <c r="M59" s="11"/>
      <c r="N59" s="11"/>
    </row>
    <row r="60" spans="1:14" x14ac:dyDescent="0.2">
      <c r="A60" s="9">
        <f t="shared" si="0"/>
        <v>58</v>
      </c>
      <c r="B60" s="10"/>
      <c r="C60" s="10"/>
      <c r="D60" s="10"/>
      <c r="E60" s="10" t="s">
        <v>53</v>
      </c>
      <c r="F60" s="4"/>
      <c r="G60" s="12"/>
      <c r="H60" s="11"/>
      <c r="I60" s="11"/>
      <c r="J60" s="11"/>
      <c r="K60" s="11"/>
      <c r="L60" s="39"/>
      <c r="M60" s="11"/>
      <c r="N60" s="11"/>
    </row>
    <row r="61" spans="1:14" x14ac:dyDescent="0.2">
      <c r="A61" s="9">
        <f t="shared" si="0"/>
        <v>59</v>
      </c>
      <c r="B61" s="10"/>
      <c r="C61" s="10"/>
      <c r="D61" s="10"/>
      <c r="E61" s="4"/>
      <c r="F61" s="10" t="s">
        <v>54</v>
      </c>
      <c r="G61" s="12"/>
      <c r="H61" s="11">
        <v>0</v>
      </c>
      <c r="I61" s="11"/>
      <c r="J61" s="11">
        <v>0</v>
      </c>
      <c r="K61" s="11">
        <v>0</v>
      </c>
      <c r="L61" s="39"/>
      <c r="M61" s="11">
        <v>2000</v>
      </c>
      <c r="N61" s="11"/>
    </row>
    <row r="62" spans="1:14" x14ac:dyDescent="0.2">
      <c r="A62" s="9">
        <f t="shared" si="0"/>
        <v>60</v>
      </c>
      <c r="B62" s="10"/>
      <c r="C62" s="10"/>
      <c r="D62" s="10"/>
      <c r="E62" s="10"/>
      <c r="F62" s="10" t="s">
        <v>55</v>
      </c>
      <c r="G62" s="12"/>
      <c r="H62" s="11">
        <v>0</v>
      </c>
      <c r="I62" s="11"/>
      <c r="J62" s="11">
        <v>0</v>
      </c>
      <c r="K62" s="11">
        <v>0</v>
      </c>
      <c r="L62" s="39"/>
      <c r="M62" s="11">
        <f>M61*0.09</f>
        <v>180</v>
      </c>
      <c r="N62" s="42" t="s">
        <v>168</v>
      </c>
    </row>
    <row r="63" spans="1:14" x14ac:dyDescent="0.2">
      <c r="A63" s="9">
        <f t="shared" si="0"/>
        <v>61</v>
      </c>
      <c r="B63" s="10"/>
      <c r="C63" s="10"/>
      <c r="D63" s="10"/>
      <c r="E63" s="10"/>
      <c r="F63" s="10" t="s">
        <v>56</v>
      </c>
      <c r="G63" s="12"/>
      <c r="H63" s="11">
        <v>0</v>
      </c>
      <c r="I63" s="11"/>
      <c r="J63" s="11">
        <v>0</v>
      </c>
      <c r="K63" s="11">
        <v>0</v>
      </c>
      <c r="L63" s="39"/>
      <c r="M63" s="11">
        <f>M61*0.07</f>
        <v>140</v>
      </c>
      <c r="N63" s="43" t="s">
        <v>169</v>
      </c>
    </row>
    <row r="64" spans="1:14" x14ac:dyDescent="0.2">
      <c r="A64" s="9">
        <f t="shared" si="0"/>
        <v>62</v>
      </c>
      <c r="B64" s="10"/>
      <c r="C64" s="10"/>
      <c r="D64" s="10"/>
      <c r="E64" s="10" t="s">
        <v>57</v>
      </c>
      <c r="F64" s="10"/>
      <c r="G64" s="12"/>
      <c r="H64" s="11">
        <v>25000</v>
      </c>
      <c r="I64" s="11"/>
      <c r="J64" s="11">
        <v>0</v>
      </c>
      <c r="K64" s="11">
        <v>13000</v>
      </c>
      <c r="L64" s="39"/>
      <c r="M64" s="11">
        <v>20000</v>
      </c>
      <c r="N64" s="11"/>
    </row>
    <row r="65" spans="1:14" x14ac:dyDescent="0.2">
      <c r="A65" s="9">
        <f t="shared" si="0"/>
        <v>63</v>
      </c>
      <c r="B65" s="10"/>
      <c r="C65" s="10"/>
      <c r="D65" s="10"/>
      <c r="E65" s="10" t="s">
        <v>58</v>
      </c>
      <c r="F65" s="10"/>
      <c r="G65" s="12"/>
      <c r="H65" s="11">
        <v>12000</v>
      </c>
      <c r="I65" s="11"/>
      <c r="J65" s="11">
        <v>0</v>
      </c>
      <c r="K65" s="11">
        <v>18000</v>
      </c>
      <c r="L65" s="39"/>
      <c r="M65" s="11">
        <v>12000</v>
      </c>
      <c r="N65" s="11"/>
    </row>
    <row r="66" spans="1:14" x14ac:dyDescent="0.2">
      <c r="A66" s="9">
        <f t="shared" si="0"/>
        <v>64</v>
      </c>
      <c r="B66" s="10"/>
      <c r="C66" s="10"/>
      <c r="D66" s="10"/>
      <c r="E66" s="10" t="s">
        <v>59</v>
      </c>
      <c r="F66" s="10"/>
      <c r="G66" s="12"/>
      <c r="H66" s="11">
        <v>3000</v>
      </c>
      <c r="I66" s="11"/>
      <c r="J66" s="11">
        <v>0</v>
      </c>
      <c r="K66" s="11">
        <v>3000</v>
      </c>
      <c r="L66" s="39"/>
      <c r="M66" s="11">
        <v>3000</v>
      </c>
      <c r="N66" s="11" t="s">
        <v>195</v>
      </c>
    </row>
    <row r="67" spans="1:14" x14ac:dyDescent="0.2">
      <c r="A67" s="9">
        <f t="shared" si="0"/>
        <v>65</v>
      </c>
      <c r="B67" s="10"/>
      <c r="C67" s="10"/>
      <c r="D67" s="10"/>
      <c r="E67" s="10" t="s">
        <v>60</v>
      </c>
      <c r="F67" s="10"/>
      <c r="G67" s="12"/>
      <c r="H67" s="11">
        <v>5000</v>
      </c>
      <c r="I67" s="11"/>
      <c r="J67" s="11">
        <v>538</v>
      </c>
      <c r="K67" s="11">
        <v>5000</v>
      </c>
      <c r="L67" s="39"/>
      <c r="M67" s="11">
        <v>5000</v>
      </c>
      <c r="N67" s="11"/>
    </row>
    <row r="68" spans="1:14" x14ac:dyDescent="0.2">
      <c r="A68" s="9">
        <f t="shared" si="0"/>
        <v>66</v>
      </c>
      <c r="B68" s="10"/>
      <c r="C68" s="10"/>
      <c r="D68" s="10"/>
      <c r="E68" s="10" t="s">
        <v>61</v>
      </c>
      <c r="F68" s="10"/>
      <c r="G68" s="12"/>
      <c r="H68" s="11">
        <v>15000</v>
      </c>
      <c r="I68" s="11"/>
      <c r="J68" s="11">
        <v>0</v>
      </c>
      <c r="K68" s="11">
        <v>0</v>
      </c>
      <c r="L68" s="39"/>
      <c r="M68" s="11">
        <v>10000</v>
      </c>
      <c r="N68" s="11"/>
    </row>
    <row r="69" spans="1:14" ht="13.5" thickBot="1" x14ac:dyDescent="0.25">
      <c r="A69" s="9">
        <f t="shared" si="0"/>
        <v>67</v>
      </c>
      <c r="B69" s="10"/>
      <c r="C69" s="10"/>
      <c r="D69" s="10"/>
      <c r="E69" s="10" t="s">
        <v>62</v>
      </c>
      <c r="F69" s="10"/>
      <c r="G69" s="12"/>
      <c r="H69" s="14">
        <v>0</v>
      </c>
      <c r="I69" s="11"/>
      <c r="J69" s="14">
        <v>1850</v>
      </c>
      <c r="K69" s="14">
        <v>1850</v>
      </c>
      <c r="L69" s="39"/>
      <c r="M69" s="14">
        <v>0</v>
      </c>
      <c r="N69" s="11"/>
    </row>
    <row r="70" spans="1:14" x14ac:dyDescent="0.2">
      <c r="A70" s="9">
        <f t="shared" si="0"/>
        <v>68</v>
      </c>
      <c r="B70" s="10"/>
      <c r="C70" s="10"/>
      <c r="D70" s="10" t="s">
        <v>63</v>
      </c>
      <c r="E70" s="10"/>
      <c r="F70" s="10"/>
      <c r="G70" s="12"/>
      <c r="H70" s="11">
        <f>ROUND(SUM(H59:H69),5)</f>
        <v>60000</v>
      </c>
      <c r="I70" s="11"/>
      <c r="J70" s="11">
        <f>SUM(J60:J69)</f>
        <v>2388</v>
      </c>
      <c r="K70" s="11">
        <f>ROUND(SUM(K59:K69),5)</f>
        <v>40850</v>
      </c>
      <c r="L70" s="39"/>
      <c r="M70" s="11">
        <f>ROUND(SUM(M59:M69),5)</f>
        <v>52320</v>
      </c>
      <c r="N70" s="5" t="s">
        <v>7</v>
      </c>
    </row>
    <row r="71" spans="1:14" x14ac:dyDescent="0.2">
      <c r="A71" s="9">
        <f t="shared" si="0"/>
        <v>69</v>
      </c>
      <c r="B71" s="10"/>
      <c r="C71" s="10"/>
      <c r="D71" s="10" t="s">
        <v>64</v>
      </c>
      <c r="E71" s="10"/>
      <c r="F71" s="10"/>
      <c r="G71" s="12"/>
      <c r="H71" s="11"/>
      <c r="I71" s="11"/>
      <c r="J71" s="11"/>
      <c r="K71" s="11"/>
      <c r="L71" s="39"/>
      <c r="M71" s="11"/>
      <c r="N71" s="11"/>
    </row>
    <row r="72" spans="1:14" x14ac:dyDescent="0.2">
      <c r="A72" s="9">
        <f t="shared" si="0"/>
        <v>70</v>
      </c>
      <c r="B72" s="10"/>
      <c r="C72" s="10"/>
      <c r="D72" s="10"/>
      <c r="E72" s="10" t="s">
        <v>65</v>
      </c>
      <c r="F72" s="10"/>
      <c r="G72" s="12"/>
      <c r="H72" s="11">
        <v>1000</v>
      </c>
      <c r="I72" s="11"/>
      <c r="J72" s="11">
        <v>605</v>
      </c>
      <c r="K72" s="11">
        <v>1000</v>
      </c>
      <c r="L72" s="39"/>
      <c r="M72" s="11">
        <v>1000</v>
      </c>
      <c r="N72" s="10"/>
    </row>
    <row r="73" spans="1:14" ht="13.5" thickBot="1" x14ac:dyDescent="0.25">
      <c r="A73" s="9">
        <f t="shared" ref="A73:A133" si="7">A72+1</f>
        <v>71</v>
      </c>
      <c r="B73" s="10"/>
      <c r="C73" s="10"/>
      <c r="D73" s="10"/>
      <c r="E73" s="10" t="s">
        <v>66</v>
      </c>
      <c r="F73" s="10"/>
      <c r="G73" s="12"/>
      <c r="H73" s="14"/>
      <c r="I73" s="11"/>
      <c r="J73" s="14"/>
      <c r="K73" s="14"/>
      <c r="L73" s="39"/>
      <c r="M73" s="14"/>
      <c r="N73" s="10"/>
    </row>
    <row r="74" spans="1:14" x14ac:dyDescent="0.2">
      <c r="A74" s="9">
        <f t="shared" si="7"/>
        <v>72</v>
      </c>
      <c r="B74" s="10"/>
      <c r="C74" s="10"/>
      <c r="D74" s="10" t="s">
        <v>67</v>
      </c>
      <c r="E74" s="10"/>
      <c r="F74" s="10"/>
      <c r="G74" s="12"/>
      <c r="H74" s="11">
        <f>H72</f>
        <v>1000</v>
      </c>
      <c r="I74" s="11"/>
      <c r="J74" s="11">
        <f>SUM(J72:J73)</f>
        <v>605</v>
      </c>
      <c r="K74" s="11">
        <f>K72</f>
        <v>1000</v>
      </c>
      <c r="L74" s="39"/>
      <c r="M74" s="11">
        <f>M72</f>
        <v>1000</v>
      </c>
    </row>
    <row r="75" spans="1:14" x14ac:dyDescent="0.2">
      <c r="A75" s="9">
        <f t="shared" si="7"/>
        <v>73</v>
      </c>
      <c r="B75" s="10"/>
      <c r="C75" s="10"/>
      <c r="D75" s="10" t="s">
        <v>68</v>
      </c>
      <c r="E75" s="10"/>
      <c r="F75" s="10"/>
      <c r="G75" s="12"/>
      <c r="H75" s="11"/>
      <c r="I75" s="11"/>
      <c r="J75" s="11"/>
      <c r="K75" s="11"/>
      <c r="L75" s="39"/>
      <c r="M75" s="11"/>
      <c r="N75" s="11"/>
    </row>
    <row r="76" spans="1:14" x14ac:dyDescent="0.2">
      <c r="A76" s="9">
        <f t="shared" si="7"/>
        <v>74</v>
      </c>
      <c r="B76" s="10"/>
      <c r="C76" s="10"/>
      <c r="D76" s="10"/>
      <c r="E76" s="10" t="s">
        <v>69</v>
      </c>
      <c r="F76" s="10"/>
      <c r="G76" s="12"/>
      <c r="H76" s="11">
        <v>3200</v>
      </c>
      <c r="I76" s="11"/>
      <c r="J76" s="11">
        <v>1817</v>
      </c>
      <c r="K76" s="11">
        <v>3200</v>
      </c>
      <c r="L76" s="39"/>
      <c r="M76" s="11">
        <v>3000</v>
      </c>
      <c r="N76" s="11"/>
    </row>
    <row r="77" spans="1:14" x14ac:dyDescent="0.2">
      <c r="A77" s="9">
        <f t="shared" si="7"/>
        <v>75</v>
      </c>
      <c r="B77" s="10"/>
      <c r="C77" s="10"/>
      <c r="D77" s="10"/>
      <c r="E77" s="10" t="s">
        <v>70</v>
      </c>
      <c r="F77" s="10"/>
      <c r="G77" s="12"/>
      <c r="H77" s="11">
        <v>1500</v>
      </c>
      <c r="I77" s="11"/>
      <c r="J77" s="11">
        <v>1268</v>
      </c>
      <c r="K77" s="11">
        <v>1500</v>
      </c>
      <c r="L77" s="39"/>
      <c r="M77" s="11">
        <v>1900</v>
      </c>
      <c r="N77" s="11"/>
    </row>
    <row r="78" spans="1:14" x14ac:dyDescent="0.2">
      <c r="A78" s="9">
        <f t="shared" si="7"/>
        <v>76</v>
      </c>
      <c r="B78" s="10"/>
      <c r="C78" s="10"/>
      <c r="D78" s="10"/>
      <c r="E78" s="10" t="s">
        <v>71</v>
      </c>
      <c r="F78" s="10"/>
      <c r="G78" s="12"/>
      <c r="H78" s="11">
        <v>7600</v>
      </c>
      <c r="I78" s="11"/>
      <c r="J78" s="11">
        <v>1317</v>
      </c>
      <c r="K78" s="11">
        <v>7600</v>
      </c>
      <c r="L78" s="39"/>
      <c r="M78" s="11">
        <v>7600</v>
      </c>
      <c r="N78" s="11"/>
    </row>
    <row r="79" spans="1:14" x14ac:dyDescent="0.2">
      <c r="A79" s="9">
        <f t="shared" si="7"/>
        <v>77</v>
      </c>
      <c r="B79" s="10"/>
      <c r="C79" s="10"/>
      <c r="D79" s="10"/>
      <c r="E79" s="10" t="s">
        <v>72</v>
      </c>
      <c r="F79" s="10"/>
      <c r="G79" s="12"/>
      <c r="H79" s="11">
        <v>230</v>
      </c>
      <c r="I79" s="11"/>
      <c r="J79" s="11">
        <v>84</v>
      </c>
      <c r="K79" s="11">
        <v>230</v>
      </c>
      <c r="L79" s="39"/>
      <c r="M79" s="11">
        <v>150</v>
      </c>
      <c r="N79" s="11"/>
    </row>
    <row r="80" spans="1:14" x14ac:dyDescent="0.2">
      <c r="A80" s="9">
        <f t="shared" si="7"/>
        <v>78</v>
      </c>
      <c r="B80" s="10"/>
      <c r="C80" s="10"/>
      <c r="D80" s="10"/>
      <c r="E80" s="10" t="s">
        <v>73</v>
      </c>
      <c r="F80" s="10"/>
      <c r="G80" s="12"/>
      <c r="H80" s="11">
        <v>100</v>
      </c>
      <c r="I80" s="11"/>
      <c r="J80" s="11">
        <v>154</v>
      </c>
      <c r="K80" s="11">
        <v>154</v>
      </c>
      <c r="L80" s="39"/>
      <c r="M80" s="11">
        <v>250</v>
      </c>
      <c r="N80" s="11"/>
    </row>
    <row r="81" spans="1:15" x14ac:dyDescent="0.2">
      <c r="A81" s="9">
        <f t="shared" si="7"/>
        <v>79</v>
      </c>
      <c r="B81" s="10"/>
      <c r="C81" s="10"/>
      <c r="D81" s="10"/>
      <c r="E81" s="10" t="s">
        <v>74</v>
      </c>
      <c r="F81" s="10"/>
      <c r="G81" s="12"/>
      <c r="H81" s="11">
        <v>600</v>
      </c>
      <c r="I81" s="11"/>
      <c r="J81" s="11">
        <v>273</v>
      </c>
      <c r="K81" s="11">
        <v>600</v>
      </c>
      <c r="L81" s="39"/>
      <c r="M81" s="11">
        <v>700</v>
      </c>
      <c r="N81" s="11"/>
    </row>
    <row r="82" spans="1:15" x14ac:dyDescent="0.2">
      <c r="A82" s="9">
        <f t="shared" si="7"/>
        <v>80</v>
      </c>
      <c r="B82" s="10"/>
      <c r="C82" s="10"/>
      <c r="D82" s="10"/>
      <c r="E82" s="10" t="s">
        <v>75</v>
      </c>
      <c r="F82" s="10"/>
      <c r="G82" s="12"/>
      <c r="H82" s="11">
        <v>6500</v>
      </c>
      <c r="I82" s="11"/>
      <c r="J82" s="11">
        <v>3898</v>
      </c>
      <c r="K82" s="11">
        <v>5500</v>
      </c>
      <c r="L82" s="39"/>
      <c r="M82" s="11">
        <v>6500</v>
      </c>
      <c r="N82" s="11"/>
    </row>
    <row r="83" spans="1:15" x14ac:dyDescent="0.2">
      <c r="A83" s="9">
        <f t="shared" si="7"/>
        <v>81</v>
      </c>
      <c r="B83" s="10"/>
      <c r="C83" s="10"/>
      <c r="D83" s="10"/>
      <c r="E83" s="10" t="s">
        <v>76</v>
      </c>
      <c r="F83" s="10"/>
      <c r="G83" s="12"/>
      <c r="H83" s="11">
        <v>150</v>
      </c>
      <c r="I83" s="11"/>
      <c r="J83" s="11">
        <v>0</v>
      </c>
      <c r="K83" s="11">
        <v>150</v>
      </c>
      <c r="L83" s="39"/>
      <c r="M83" s="11">
        <v>150</v>
      </c>
      <c r="N83" s="11"/>
    </row>
    <row r="84" spans="1:15" x14ac:dyDescent="0.2">
      <c r="A84" s="9">
        <f t="shared" si="7"/>
        <v>82</v>
      </c>
      <c r="B84" s="10"/>
      <c r="C84" s="10"/>
      <c r="D84" s="10"/>
      <c r="E84" s="10" t="s">
        <v>77</v>
      </c>
      <c r="F84" s="10"/>
      <c r="G84" s="12"/>
      <c r="H84" s="11">
        <v>0</v>
      </c>
      <c r="I84" s="11"/>
      <c r="J84" s="11">
        <v>0</v>
      </c>
      <c r="K84" s="11">
        <v>0</v>
      </c>
      <c r="L84" s="39"/>
      <c r="M84" s="11">
        <v>0</v>
      </c>
      <c r="N84" s="11"/>
    </row>
    <row r="85" spans="1:15" x14ac:dyDescent="0.2">
      <c r="A85" s="9">
        <f t="shared" si="7"/>
        <v>83</v>
      </c>
      <c r="B85" s="10"/>
      <c r="C85" s="10"/>
      <c r="D85" s="10"/>
      <c r="E85" s="10" t="s">
        <v>78</v>
      </c>
      <c r="F85" s="10"/>
      <c r="G85" s="12"/>
      <c r="H85" s="11">
        <v>4500</v>
      </c>
      <c r="I85" s="11"/>
      <c r="J85" s="11">
        <v>4049</v>
      </c>
      <c r="K85" s="11">
        <f>J85+1000</f>
        <v>5049</v>
      </c>
      <c r="L85" s="39"/>
      <c r="M85" s="11">
        <v>4500</v>
      </c>
      <c r="N85" s="11"/>
    </row>
    <row r="86" spans="1:15" x14ac:dyDescent="0.2">
      <c r="A86" s="9">
        <f t="shared" si="7"/>
        <v>84</v>
      </c>
      <c r="B86" s="10"/>
      <c r="C86" s="10"/>
      <c r="D86" s="10"/>
      <c r="E86" s="10" t="s">
        <v>79</v>
      </c>
      <c r="F86" s="10"/>
      <c r="G86" s="12"/>
      <c r="H86" s="11">
        <v>500</v>
      </c>
      <c r="I86" s="11"/>
      <c r="J86" s="11">
        <v>563</v>
      </c>
      <c r="K86" s="11">
        <v>563</v>
      </c>
      <c r="L86" s="39"/>
      <c r="M86" s="11">
        <v>700</v>
      </c>
      <c r="N86" s="11"/>
    </row>
    <row r="87" spans="1:15" ht="13.5" thickBot="1" x14ac:dyDescent="0.25">
      <c r="A87" s="9">
        <f t="shared" si="7"/>
        <v>85</v>
      </c>
      <c r="B87" s="10"/>
      <c r="C87" s="10"/>
      <c r="D87" s="10"/>
      <c r="E87" s="10" t="s">
        <v>80</v>
      </c>
      <c r="F87" s="10"/>
      <c r="G87" s="12"/>
      <c r="H87" s="14">
        <v>0</v>
      </c>
      <c r="I87" s="11"/>
      <c r="J87" s="14">
        <v>175</v>
      </c>
      <c r="K87" s="14">
        <f>J87</f>
        <v>175</v>
      </c>
      <c r="L87" s="39"/>
      <c r="M87" s="14">
        <v>0</v>
      </c>
      <c r="N87" s="11"/>
    </row>
    <row r="88" spans="1:15" x14ac:dyDescent="0.2">
      <c r="A88" s="9">
        <f t="shared" si="7"/>
        <v>86</v>
      </c>
      <c r="B88" s="10"/>
      <c r="C88" s="10"/>
      <c r="D88" s="10" t="s">
        <v>81</v>
      </c>
      <c r="E88" s="10"/>
      <c r="F88" s="10"/>
      <c r="G88" s="12"/>
      <c r="H88" s="11">
        <f>ROUND(SUM(H75:H87),5)</f>
        <v>24880</v>
      </c>
      <c r="I88" s="11"/>
      <c r="J88" s="11">
        <f>ROUND(SUM(J75:J87),5)</f>
        <v>13598</v>
      </c>
      <c r="K88" s="11">
        <f>ROUND(SUM(K75:K87),5)</f>
        <v>24721</v>
      </c>
      <c r="L88" s="39"/>
      <c r="M88" s="11">
        <f>ROUND(SUM(M75:M87),5)</f>
        <v>25450</v>
      </c>
      <c r="N88" s="11"/>
    </row>
    <row r="89" spans="1:15" x14ac:dyDescent="0.2">
      <c r="A89" s="9">
        <f t="shared" si="7"/>
        <v>87</v>
      </c>
      <c r="B89" s="10"/>
      <c r="C89" s="10"/>
      <c r="D89" s="10" t="s">
        <v>82</v>
      </c>
      <c r="E89" s="10"/>
      <c r="F89" s="10"/>
      <c r="G89" s="12"/>
      <c r="H89" s="11"/>
      <c r="I89" s="11"/>
      <c r="J89" s="11"/>
      <c r="K89" s="11"/>
      <c r="L89" s="39"/>
      <c r="M89" s="11"/>
      <c r="N89" s="11"/>
    </row>
    <row r="90" spans="1:15" x14ac:dyDescent="0.2">
      <c r="A90" s="9">
        <f t="shared" si="7"/>
        <v>88</v>
      </c>
      <c r="B90" s="10"/>
      <c r="C90" s="10"/>
      <c r="D90" s="10"/>
      <c r="E90" s="10" t="s">
        <v>83</v>
      </c>
      <c r="F90" s="10"/>
      <c r="G90" s="12"/>
      <c r="H90" s="11"/>
      <c r="I90" s="11"/>
      <c r="J90" s="11"/>
      <c r="K90" s="11"/>
      <c r="L90" s="39"/>
      <c r="M90" s="11"/>
      <c r="N90" s="11"/>
    </row>
    <row r="91" spans="1:15" ht="15" x14ac:dyDescent="0.25">
      <c r="A91" s="9">
        <f t="shared" si="7"/>
        <v>89</v>
      </c>
      <c r="B91" s="10"/>
      <c r="C91" s="10"/>
      <c r="D91" s="10"/>
      <c r="E91" s="10"/>
      <c r="F91" s="10" t="s">
        <v>84</v>
      </c>
      <c r="G91" s="12"/>
      <c r="H91" s="11">
        <v>6850</v>
      </c>
      <c r="I91" s="11"/>
      <c r="J91" s="11">
        <v>13299</v>
      </c>
      <c r="K91" s="11">
        <v>13299</v>
      </c>
      <c r="L91" s="39"/>
      <c r="M91" s="11">
        <v>12400</v>
      </c>
      <c r="N91"/>
      <c r="O91"/>
    </row>
    <row r="92" spans="1:15" x14ac:dyDescent="0.2">
      <c r="A92" s="9">
        <f t="shared" si="7"/>
        <v>90</v>
      </c>
      <c r="B92" s="10"/>
      <c r="C92" s="10"/>
      <c r="D92" s="10"/>
      <c r="E92" s="10"/>
      <c r="F92" s="10" t="s">
        <v>85</v>
      </c>
      <c r="G92" s="12"/>
      <c r="H92" s="11">
        <v>600</v>
      </c>
      <c r="I92" s="11"/>
      <c r="J92" s="11">
        <v>1188</v>
      </c>
      <c r="K92" s="11">
        <v>1188</v>
      </c>
      <c r="L92" s="39"/>
      <c r="M92" s="11">
        <f>M91*0.09</f>
        <v>1116</v>
      </c>
      <c r="N92" s="42" t="s">
        <v>168</v>
      </c>
    </row>
    <row r="93" spans="1:15" ht="13.5" thickBot="1" x14ac:dyDescent="0.25">
      <c r="A93" s="9">
        <f t="shared" si="7"/>
        <v>91</v>
      </c>
      <c r="B93" s="10"/>
      <c r="C93" s="10"/>
      <c r="D93" s="10"/>
      <c r="E93" s="10"/>
      <c r="F93" s="10" t="s">
        <v>86</v>
      </c>
      <c r="G93" s="12"/>
      <c r="H93" s="14">
        <v>200</v>
      </c>
      <c r="I93" s="11"/>
      <c r="J93" s="14">
        <v>2242</v>
      </c>
      <c r="K93" s="14">
        <v>2242</v>
      </c>
      <c r="L93" s="39"/>
      <c r="M93" s="14">
        <f>M91*0.07</f>
        <v>868.00000000000011</v>
      </c>
      <c r="N93" s="43" t="s">
        <v>169</v>
      </c>
    </row>
    <row r="94" spans="1:15" x14ac:dyDescent="0.2">
      <c r="A94" s="9">
        <f t="shared" si="7"/>
        <v>92</v>
      </c>
      <c r="B94" s="10"/>
      <c r="C94" s="10"/>
      <c r="D94" s="10"/>
      <c r="E94" s="10" t="s">
        <v>87</v>
      </c>
      <c r="F94" s="10"/>
      <c r="G94" s="12"/>
      <c r="H94" s="11">
        <f>ROUND(SUM(H90:H93),5)</f>
        <v>7650</v>
      </c>
      <c r="I94" s="11"/>
      <c r="J94" s="11">
        <f>ROUND(SUM(J90:J93),5)</f>
        <v>16729</v>
      </c>
      <c r="K94" s="11">
        <f>ROUND(SUM(K90:K93),5)</f>
        <v>16729</v>
      </c>
      <c r="L94" s="39"/>
      <c r="M94" s="11">
        <f>ROUND(SUM(M90:M93),5)</f>
        <v>14384</v>
      </c>
      <c r="N94" s="11"/>
    </row>
    <row r="95" spans="1:15" x14ac:dyDescent="0.2">
      <c r="A95" s="9">
        <f t="shared" si="7"/>
        <v>93</v>
      </c>
      <c r="B95" s="10"/>
      <c r="C95" s="10"/>
      <c r="D95" s="10"/>
      <c r="E95" s="10" t="s">
        <v>88</v>
      </c>
      <c r="F95" s="10"/>
      <c r="G95" s="12"/>
      <c r="H95" s="11">
        <v>300</v>
      </c>
      <c r="I95" s="11"/>
      <c r="J95" s="11">
        <v>0</v>
      </c>
      <c r="K95" s="11">
        <v>0</v>
      </c>
      <c r="L95" s="39"/>
      <c r="M95" s="11">
        <v>300</v>
      </c>
      <c r="N95" s="11"/>
    </row>
    <row r="96" spans="1:15" x14ac:dyDescent="0.2">
      <c r="A96" s="9">
        <f t="shared" si="7"/>
        <v>94</v>
      </c>
      <c r="B96" s="10"/>
      <c r="C96" s="10"/>
      <c r="D96" s="10"/>
      <c r="E96" s="10" t="s">
        <v>89</v>
      </c>
      <c r="F96" s="10"/>
      <c r="G96" s="12"/>
      <c r="H96" s="11">
        <v>0</v>
      </c>
      <c r="I96" s="11"/>
      <c r="J96" s="11">
        <v>0</v>
      </c>
      <c r="K96" s="11">
        <v>0</v>
      </c>
      <c r="L96" s="39"/>
      <c r="M96" s="11">
        <v>100</v>
      </c>
      <c r="N96" s="11"/>
    </row>
    <row r="97" spans="1:14" x14ac:dyDescent="0.2">
      <c r="A97" s="9">
        <f t="shared" si="7"/>
        <v>95</v>
      </c>
      <c r="B97" s="10"/>
      <c r="C97" s="10"/>
      <c r="D97" s="10"/>
      <c r="E97" s="10" t="s">
        <v>90</v>
      </c>
      <c r="F97" s="10"/>
      <c r="G97" s="12"/>
      <c r="H97" s="11">
        <v>5000</v>
      </c>
      <c r="I97" s="11"/>
      <c r="J97" s="11">
        <v>0</v>
      </c>
      <c r="K97" s="11">
        <v>1250</v>
      </c>
      <c r="L97" s="39"/>
      <c r="M97" s="11">
        <v>1000</v>
      </c>
      <c r="N97" s="11"/>
    </row>
    <row r="98" spans="1:14" x14ac:dyDescent="0.2">
      <c r="A98" s="9">
        <f t="shared" si="7"/>
        <v>96</v>
      </c>
      <c r="B98" s="10"/>
      <c r="C98" s="10"/>
      <c r="D98" s="10"/>
      <c r="E98" s="10" t="s">
        <v>91</v>
      </c>
      <c r="F98" s="10"/>
      <c r="G98" s="12"/>
      <c r="H98" s="11">
        <v>7000</v>
      </c>
      <c r="I98" s="11"/>
      <c r="J98" s="11">
        <v>600</v>
      </c>
      <c r="K98" s="11">
        <f>1600</f>
        <v>1600</v>
      </c>
      <c r="L98" s="39"/>
      <c r="M98" s="11">
        <f>16300-9300</f>
        <v>7000</v>
      </c>
      <c r="N98" s="11"/>
    </row>
    <row r="99" spans="1:14" x14ac:dyDescent="0.2">
      <c r="A99" s="9">
        <f t="shared" si="7"/>
        <v>97</v>
      </c>
      <c r="B99" s="10"/>
      <c r="C99" s="10"/>
      <c r="D99" s="10"/>
      <c r="E99" s="10" t="s">
        <v>92</v>
      </c>
      <c r="F99" s="10"/>
      <c r="G99" s="12"/>
      <c r="H99" s="11">
        <v>2500</v>
      </c>
      <c r="I99" s="11"/>
      <c r="J99" s="11">
        <v>6256</v>
      </c>
      <c r="K99" s="11">
        <f>J99</f>
        <v>6256</v>
      </c>
      <c r="L99" s="39"/>
      <c r="M99" s="11">
        <v>0</v>
      </c>
      <c r="N99" s="41" t="s">
        <v>7</v>
      </c>
    </row>
    <row r="100" spans="1:14" ht="13.5" thickBot="1" x14ac:dyDescent="0.25">
      <c r="A100" s="9">
        <f t="shared" si="7"/>
        <v>98</v>
      </c>
      <c r="B100" s="10"/>
      <c r="C100" s="10"/>
      <c r="D100" s="10"/>
      <c r="E100" s="10" t="s">
        <v>93</v>
      </c>
      <c r="F100" s="10"/>
      <c r="G100" s="12"/>
      <c r="H100" s="14">
        <v>200</v>
      </c>
      <c r="I100" s="11"/>
      <c r="J100" s="14">
        <v>0</v>
      </c>
      <c r="K100" s="14">
        <v>200</v>
      </c>
      <c r="L100" s="39"/>
      <c r="M100" s="14">
        <v>300</v>
      </c>
      <c r="N100" s="11"/>
    </row>
    <row r="101" spans="1:14" x14ac:dyDescent="0.2">
      <c r="A101" s="9">
        <f t="shared" si="7"/>
        <v>99</v>
      </c>
      <c r="B101" s="10"/>
      <c r="C101" s="10"/>
      <c r="D101" s="10" t="s">
        <v>94</v>
      </c>
      <c r="E101" s="10"/>
      <c r="F101" s="10"/>
      <c r="G101" s="12"/>
      <c r="H101" s="11">
        <f>ROUND(H89+SUM(H94:H100),5)</f>
        <v>22650</v>
      </c>
      <c r="I101" s="11"/>
      <c r="J101" s="11">
        <f>ROUND(J89+SUM(J94:J100),5)</f>
        <v>23585</v>
      </c>
      <c r="K101" s="11">
        <f>SUM(K94:K100)</f>
        <v>26035</v>
      </c>
      <c r="L101" s="39"/>
      <c r="M101" s="11">
        <f>ROUND(M89+SUM(M94:M100),5)</f>
        <v>23084</v>
      </c>
      <c r="N101" s="11"/>
    </row>
    <row r="102" spans="1:14" x14ac:dyDescent="0.2">
      <c r="A102" s="9">
        <f t="shared" si="7"/>
        <v>100</v>
      </c>
      <c r="B102" s="10"/>
      <c r="C102" s="10"/>
      <c r="D102" s="10" t="s">
        <v>95</v>
      </c>
      <c r="E102" s="10"/>
      <c r="F102" s="10"/>
      <c r="G102" s="12"/>
      <c r="H102" s="11"/>
      <c r="I102" s="11"/>
      <c r="J102" s="11"/>
      <c r="K102" s="11"/>
      <c r="L102" s="39"/>
      <c r="M102" s="11"/>
      <c r="N102" s="11"/>
    </row>
    <row r="103" spans="1:14" x14ac:dyDescent="0.2">
      <c r="A103" s="9">
        <f t="shared" si="7"/>
        <v>101</v>
      </c>
      <c r="B103" s="10"/>
      <c r="C103" s="10"/>
      <c r="D103" s="10"/>
      <c r="E103" s="10" t="s">
        <v>96</v>
      </c>
      <c r="F103" s="10"/>
      <c r="G103" s="12"/>
      <c r="H103" s="11">
        <v>3500</v>
      </c>
      <c r="I103" s="11"/>
      <c r="J103" s="11">
        <v>4748</v>
      </c>
      <c r="K103" s="11">
        <f>J103</f>
        <v>4748</v>
      </c>
      <c r="L103" s="39"/>
      <c r="M103" s="11">
        <v>4000</v>
      </c>
      <c r="N103" s="11"/>
    </row>
    <row r="104" spans="1:14" x14ac:dyDescent="0.2">
      <c r="A104" s="9">
        <f t="shared" si="7"/>
        <v>102</v>
      </c>
      <c r="B104" s="10"/>
      <c r="C104" s="10"/>
      <c r="D104" s="10"/>
      <c r="E104" s="10" t="s">
        <v>97</v>
      </c>
      <c r="F104" s="10"/>
      <c r="G104" s="12"/>
      <c r="H104" s="11">
        <v>350</v>
      </c>
      <c r="I104" s="11"/>
      <c r="J104" s="11">
        <v>535</v>
      </c>
      <c r="K104" s="11">
        <v>535</v>
      </c>
      <c r="L104" s="39"/>
      <c r="M104" s="11">
        <v>350</v>
      </c>
      <c r="N104" s="11"/>
    </row>
    <row r="105" spans="1:14" x14ac:dyDescent="0.2">
      <c r="A105" s="9">
        <f t="shared" si="7"/>
        <v>103</v>
      </c>
      <c r="B105" s="10"/>
      <c r="C105" s="10"/>
      <c r="D105" s="10"/>
      <c r="E105" s="10" t="s">
        <v>98</v>
      </c>
      <c r="F105" s="10"/>
      <c r="G105" s="12"/>
      <c r="H105" s="11">
        <v>3000</v>
      </c>
      <c r="I105" s="11"/>
      <c r="J105" s="11">
        <v>5084</v>
      </c>
      <c r="K105" s="11">
        <v>5084</v>
      </c>
      <c r="L105" s="39"/>
      <c r="M105" s="11">
        <v>3000</v>
      </c>
      <c r="N105" s="11"/>
    </row>
    <row r="106" spans="1:14" x14ac:dyDescent="0.2">
      <c r="A106" s="9">
        <f t="shared" si="7"/>
        <v>104</v>
      </c>
      <c r="B106" s="10"/>
      <c r="C106" s="10"/>
      <c r="D106" s="10"/>
      <c r="E106" s="10" t="s">
        <v>99</v>
      </c>
      <c r="F106" s="10"/>
      <c r="G106" s="12"/>
      <c r="H106" s="11">
        <v>1000</v>
      </c>
      <c r="I106" s="11"/>
      <c r="J106" s="11">
        <v>0</v>
      </c>
      <c r="K106" s="11">
        <v>1000</v>
      </c>
      <c r="L106" s="39"/>
      <c r="M106" s="11">
        <v>1000</v>
      </c>
      <c r="N106" s="11"/>
    </row>
    <row r="107" spans="1:14" x14ac:dyDescent="0.2">
      <c r="A107" s="9">
        <f t="shared" si="7"/>
        <v>105</v>
      </c>
      <c r="B107" s="10"/>
      <c r="C107" s="10"/>
      <c r="D107" s="10"/>
      <c r="E107" s="10" t="s">
        <v>100</v>
      </c>
      <c r="F107" s="10"/>
      <c r="G107" s="12"/>
      <c r="H107" s="11">
        <v>2000</v>
      </c>
      <c r="I107" s="11"/>
      <c r="J107" s="11">
        <v>460</v>
      </c>
      <c r="K107" s="11">
        <v>2000</v>
      </c>
      <c r="L107" s="39"/>
      <c r="M107" s="11">
        <v>2000</v>
      </c>
      <c r="N107" s="11"/>
    </row>
    <row r="108" spans="1:14" x14ac:dyDescent="0.2">
      <c r="A108" s="9">
        <f t="shared" si="7"/>
        <v>106</v>
      </c>
      <c r="B108" s="10"/>
      <c r="C108" s="10"/>
      <c r="D108" s="10"/>
      <c r="E108" s="10" t="s">
        <v>101</v>
      </c>
      <c r="F108" s="10"/>
      <c r="G108" s="12"/>
      <c r="H108" s="11">
        <v>1000</v>
      </c>
      <c r="I108" s="11"/>
      <c r="J108" s="11">
        <v>1220</v>
      </c>
      <c r="K108" s="11">
        <v>1220</v>
      </c>
      <c r="L108" s="39"/>
      <c r="M108" s="11">
        <v>1000</v>
      </c>
      <c r="N108" s="11"/>
    </row>
    <row r="109" spans="1:14" x14ac:dyDescent="0.2">
      <c r="A109" s="9">
        <f t="shared" si="7"/>
        <v>107</v>
      </c>
      <c r="B109" s="10"/>
      <c r="C109" s="10"/>
      <c r="D109" s="10"/>
      <c r="E109" s="10" t="s">
        <v>102</v>
      </c>
      <c r="F109" s="10"/>
      <c r="G109" s="12"/>
      <c r="H109" s="11">
        <v>500</v>
      </c>
      <c r="I109" s="11"/>
      <c r="J109" s="11">
        <v>520</v>
      </c>
      <c r="K109" s="11">
        <v>520</v>
      </c>
      <c r="L109" s="39"/>
      <c r="M109" s="11">
        <v>500</v>
      </c>
      <c r="N109" s="11"/>
    </row>
    <row r="110" spans="1:14" ht="13.5" thickBot="1" x14ac:dyDescent="0.25">
      <c r="A110" s="9">
        <f t="shared" si="7"/>
        <v>108</v>
      </c>
      <c r="B110" s="10"/>
      <c r="C110" s="10"/>
      <c r="D110" s="10"/>
      <c r="E110" s="10" t="s">
        <v>103</v>
      </c>
      <c r="F110" s="10"/>
      <c r="G110" s="12"/>
      <c r="H110" s="14">
        <v>0</v>
      </c>
      <c r="I110" s="11"/>
      <c r="J110" s="14">
        <v>0</v>
      </c>
      <c r="K110" s="14">
        <v>0</v>
      </c>
      <c r="L110" s="39"/>
      <c r="M110" s="14">
        <v>0</v>
      </c>
      <c r="N110" s="11"/>
    </row>
    <row r="111" spans="1:14" x14ac:dyDescent="0.2">
      <c r="A111" s="9">
        <f t="shared" si="7"/>
        <v>109</v>
      </c>
      <c r="B111" s="10"/>
      <c r="C111" s="10"/>
      <c r="D111" s="10" t="s">
        <v>104</v>
      </c>
      <c r="E111" s="10"/>
      <c r="F111" s="10"/>
      <c r="G111" s="12"/>
      <c r="H111" s="11">
        <f>ROUND(SUM(H102:H110),5)</f>
        <v>11350</v>
      </c>
      <c r="I111" s="11"/>
      <c r="J111" s="11">
        <f>ROUND(SUM(J102:J110),5)</f>
        <v>12567</v>
      </c>
      <c r="K111" s="11">
        <f>SUM(K103:K110)</f>
        <v>15107</v>
      </c>
      <c r="L111" s="39"/>
      <c r="M111" s="11">
        <f>ROUND(SUM(M102:M110),5)</f>
        <v>11850</v>
      </c>
      <c r="N111" s="41" t="s">
        <v>7</v>
      </c>
    </row>
    <row r="112" spans="1:14" x14ac:dyDescent="0.2">
      <c r="A112" s="9">
        <f t="shared" si="7"/>
        <v>110</v>
      </c>
      <c r="B112" s="10"/>
      <c r="C112" s="10"/>
      <c r="D112" s="10" t="s">
        <v>105</v>
      </c>
      <c r="E112" s="10"/>
      <c r="F112" s="10"/>
      <c r="G112" s="12"/>
      <c r="H112" s="11"/>
      <c r="I112" s="11"/>
      <c r="J112" s="11"/>
      <c r="K112" s="11"/>
      <c r="L112" s="39"/>
      <c r="M112" s="11"/>
      <c r="N112" s="11"/>
    </row>
    <row r="113" spans="1:14" x14ac:dyDescent="0.2">
      <c r="A113" s="9">
        <f t="shared" si="7"/>
        <v>111</v>
      </c>
      <c r="B113" s="10"/>
      <c r="C113" s="10"/>
      <c r="D113" s="10"/>
      <c r="E113" s="10" t="s">
        <v>106</v>
      </c>
      <c r="F113" s="10"/>
      <c r="G113" s="12"/>
      <c r="H113" s="11">
        <v>24000</v>
      </c>
      <c r="I113" s="11"/>
      <c r="J113" s="11">
        <v>2691</v>
      </c>
      <c r="K113" s="11">
        <v>24000</v>
      </c>
      <c r="L113" s="39"/>
      <c r="M113" s="11">
        <v>24000</v>
      </c>
      <c r="N113" s="5" t="s">
        <v>7</v>
      </c>
    </row>
    <row r="114" spans="1:14" x14ac:dyDescent="0.2">
      <c r="A114" s="9">
        <f t="shared" si="7"/>
        <v>112</v>
      </c>
      <c r="B114" s="10"/>
      <c r="C114" s="10"/>
      <c r="D114" s="10"/>
      <c r="E114" s="10" t="s">
        <v>107</v>
      </c>
      <c r="F114" s="10"/>
      <c r="G114" s="12"/>
      <c r="H114" s="11">
        <v>14725</v>
      </c>
      <c r="I114" s="11"/>
      <c r="J114" s="11">
        <v>9522</v>
      </c>
      <c r="K114" s="11">
        <v>14725</v>
      </c>
      <c r="L114" s="39"/>
      <c r="M114" s="11">
        <v>14725</v>
      </c>
      <c r="N114" s="11"/>
    </row>
    <row r="115" spans="1:14" ht="13.5" thickBot="1" x14ac:dyDescent="0.25">
      <c r="A115" s="9">
        <f t="shared" si="7"/>
        <v>113</v>
      </c>
      <c r="B115" s="10"/>
      <c r="C115" s="10"/>
      <c r="D115" s="10"/>
      <c r="E115" s="10" t="s">
        <v>108</v>
      </c>
      <c r="F115" s="10"/>
      <c r="G115" s="12"/>
      <c r="H115" s="14">
        <v>14000</v>
      </c>
      <c r="I115" s="11"/>
      <c r="J115" s="14">
        <v>8423</v>
      </c>
      <c r="K115" s="14">
        <v>14000</v>
      </c>
      <c r="L115" s="39"/>
      <c r="M115" s="14">
        <f>14000+600</f>
        <v>14600</v>
      </c>
      <c r="N115" s="11" t="s">
        <v>164</v>
      </c>
    </row>
    <row r="116" spans="1:14" x14ac:dyDescent="0.2">
      <c r="A116" s="9">
        <f t="shared" si="7"/>
        <v>114</v>
      </c>
      <c r="B116" s="10"/>
      <c r="C116" s="10"/>
      <c r="D116" s="10" t="s">
        <v>109</v>
      </c>
      <c r="E116" s="10"/>
      <c r="F116" s="10"/>
      <c r="G116" s="12"/>
      <c r="H116" s="11">
        <f>ROUND(SUM(H112:H115),5)</f>
        <v>52725</v>
      </c>
      <c r="I116" s="11"/>
      <c r="J116" s="11">
        <f>ROUND(SUM(J112:J115),5)</f>
        <v>20636</v>
      </c>
      <c r="K116" s="11">
        <f>ROUND(SUM(K112:K115),5)</f>
        <v>52725</v>
      </c>
      <c r="L116" s="39"/>
      <c r="M116" s="11">
        <f>ROUND(SUM(M112:M115),5)</f>
        <v>53325</v>
      </c>
      <c r="N116" s="11"/>
    </row>
    <row r="117" spans="1:14" x14ac:dyDescent="0.2">
      <c r="A117" s="9">
        <f t="shared" si="7"/>
        <v>115</v>
      </c>
      <c r="B117" s="10"/>
      <c r="C117" s="10"/>
      <c r="D117" s="10" t="s">
        <v>110</v>
      </c>
      <c r="E117" s="10"/>
      <c r="F117" s="10"/>
      <c r="G117" s="12"/>
      <c r="H117" s="11"/>
      <c r="I117" s="11"/>
      <c r="J117" s="11"/>
      <c r="K117" s="11"/>
      <c r="L117" s="39"/>
      <c r="M117" s="11"/>
      <c r="N117" s="11"/>
    </row>
    <row r="118" spans="1:14" x14ac:dyDescent="0.2">
      <c r="A118" s="9">
        <f t="shared" si="7"/>
        <v>116</v>
      </c>
      <c r="B118" s="10"/>
      <c r="C118" s="10"/>
      <c r="D118" s="10"/>
      <c r="E118" s="10" t="s">
        <v>111</v>
      </c>
      <c r="F118" s="10"/>
      <c r="G118" s="12"/>
      <c r="H118" s="11">
        <v>1250</v>
      </c>
      <c r="I118" s="11"/>
      <c r="J118" s="11">
        <v>0</v>
      </c>
      <c r="K118" s="11">
        <v>200</v>
      </c>
      <c r="L118" s="39"/>
      <c r="M118" s="11">
        <v>800</v>
      </c>
      <c r="N118" s="41" t="s">
        <v>7</v>
      </c>
    </row>
    <row r="119" spans="1:14" ht="13.5" thickBot="1" x14ac:dyDescent="0.25">
      <c r="A119" s="9">
        <f t="shared" si="7"/>
        <v>117</v>
      </c>
      <c r="B119" s="10"/>
      <c r="C119" s="10"/>
      <c r="D119" s="10"/>
      <c r="E119" s="10" t="s">
        <v>112</v>
      </c>
      <c r="F119" s="10"/>
      <c r="G119" s="12"/>
      <c r="H119" s="14">
        <v>400</v>
      </c>
      <c r="I119" s="11"/>
      <c r="J119" s="14">
        <v>0</v>
      </c>
      <c r="K119" s="14">
        <v>0</v>
      </c>
      <c r="L119" s="39"/>
      <c r="M119" s="14">
        <v>200</v>
      </c>
      <c r="N119" s="11"/>
    </row>
    <row r="120" spans="1:14" x14ac:dyDescent="0.2">
      <c r="A120" s="9">
        <f t="shared" si="7"/>
        <v>118</v>
      </c>
      <c r="B120" s="10"/>
      <c r="C120" s="10"/>
      <c r="D120" s="10" t="s">
        <v>113</v>
      </c>
      <c r="E120" s="10"/>
      <c r="F120" s="10"/>
      <c r="G120" s="12"/>
      <c r="H120" s="11">
        <f>ROUND(SUM(H117:H119),5)</f>
        <v>1650</v>
      </c>
      <c r="I120" s="11"/>
      <c r="J120" s="11">
        <f>ROUND(SUM(J117:J119),5)</f>
        <v>0</v>
      </c>
      <c r="K120" s="11">
        <f>ROUND(SUM(K117:K119),5)</f>
        <v>200</v>
      </c>
      <c r="L120" s="39"/>
      <c r="M120" s="11">
        <f>ROUND(SUM(M117:M119),5)</f>
        <v>1000</v>
      </c>
      <c r="N120" s="11"/>
    </row>
    <row r="121" spans="1:14" x14ac:dyDescent="0.2">
      <c r="A121" s="9">
        <f t="shared" si="7"/>
        <v>119</v>
      </c>
      <c r="B121" s="10"/>
      <c r="C121" s="10"/>
      <c r="D121" s="10" t="s">
        <v>114</v>
      </c>
      <c r="E121" s="10"/>
      <c r="F121" s="10"/>
      <c r="G121" s="12"/>
      <c r="H121" s="11"/>
      <c r="I121" s="11"/>
      <c r="J121" s="11"/>
      <c r="K121" s="11"/>
      <c r="L121" s="39"/>
      <c r="M121" s="11"/>
      <c r="N121" s="11"/>
    </row>
    <row r="122" spans="1:14" x14ac:dyDescent="0.2">
      <c r="A122" s="9">
        <f t="shared" si="7"/>
        <v>120</v>
      </c>
      <c r="B122" s="10"/>
      <c r="C122" s="10"/>
      <c r="D122" s="10"/>
      <c r="E122" s="10" t="s">
        <v>115</v>
      </c>
      <c r="F122" s="10"/>
      <c r="G122" s="12"/>
      <c r="H122" s="11">
        <v>4000</v>
      </c>
      <c r="I122" s="11"/>
      <c r="J122" s="11">
        <v>551</v>
      </c>
      <c r="K122" s="11">
        <v>2000</v>
      </c>
      <c r="L122" s="39"/>
      <c r="M122" s="11">
        <v>2000</v>
      </c>
      <c r="N122" s="5" t="s">
        <v>7</v>
      </c>
    </row>
    <row r="123" spans="1:14" x14ac:dyDescent="0.2">
      <c r="A123" s="9">
        <f t="shared" si="7"/>
        <v>121</v>
      </c>
      <c r="B123" s="10"/>
      <c r="C123" s="10"/>
      <c r="D123" s="10"/>
      <c r="E123" s="10" t="s">
        <v>116</v>
      </c>
      <c r="F123" s="10"/>
      <c r="G123" s="12"/>
      <c r="H123" s="11">
        <v>1000</v>
      </c>
      <c r="I123" s="11"/>
      <c r="J123" s="11">
        <v>439</v>
      </c>
      <c r="K123" s="11">
        <v>1000</v>
      </c>
      <c r="L123" s="39"/>
      <c r="M123" s="11">
        <v>1000</v>
      </c>
      <c r="N123" s="11"/>
    </row>
    <row r="124" spans="1:14" x14ac:dyDescent="0.2">
      <c r="A124" s="9">
        <f t="shared" si="7"/>
        <v>122</v>
      </c>
      <c r="B124" s="10"/>
      <c r="C124" s="10"/>
      <c r="D124" s="10"/>
      <c r="E124" s="10" t="s">
        <v>117</v>
      </c>
      <c r="F124" s="10"/>
      <c r="G124" s="12"/>
      <c r="H124" s="11">
        <v>1000</v>
      </c>
      <c r="I124" s="11"/>
      <c r="J124" s="11">
        <v>0</v>
      </c>
      <c r="K124" s="11">
        <v>1000</v>
      </c>
      <c r="L124" s="39"/>
      <c r="M124" s="11">
        <v>1000</v>
      </c>
      <c r="N124" s="11"/>
    </row>
    <row r="125" spans="1:14" ht="13.5" thickBot="1" x14ac:dyDescent="0.25">
      <c r="A125" s="9">
        <f t="shared" si="7"/>
        <v>123</v>
      </c>
      <c r="B125" s="10"/>
      <c r="C125" s="10"/>
      <c r="D125" s="10"/>
      <c r="E125" s="10" t="s">
        <v>118</v>
      </c>
      <c r="F125" s="10"/>
      <c r="G125" s="12"/>
      <c r="H125" s="14">
        <v>600</v>
      </c>
      <c r="I125" s="11"/>
      <c r="J125" s="14">
        <v>0</v>
      </c>
      <c r="K125" s="14">
        <v>600</v>
      </c>
      <c r="L125" s="39"/>
      <c r="M125" s="14">
        <v>600</v>
      </c>
      <c r="N125" s="11" t="s">
        <v>7</v>
      </c>
    </row>
    <row r="126" spans="1:14" x14ac:dyDescent="0.2">
      <c r="A126" s="9">
        <f t="shared" si="7"/>
        <v>124</v>
      </c>
      <c r="B126" s="10"/>
      <c r="C126" s="10"/>
      <c r="D126" s="10" t="s">
        <v>119</v>
      </c>
      <c r="E126" s="10"/>
      <c r="F126" s="10"/>
      <c r="G126" s="12"/>
      <c r="H126" s="11">
        <f>ROUND(SUM(H121:H125),5)</f>
        <v>6600</v>
      </c>
      <c r="I126" s="11"/>
      <c r="J126" s="11">
        <f>ROUND(SUM(J121:J125),5)</f>
        <v>990</v>
      </c>
      <c r="K126" s="11">
        <f>ROUND(SUM(K121:K125),5)</f>
        <v>4600</v>
      </c>
      <c r="L126" s="39"/>
      <c r="M126" s="11">
        <f>ROUND(SUM(M121:M125),5)</f>
        <v>4600</v>
      </c>
      <c r="N126" s="11"/>
    </row>
    <row r="127" spans="1:14" x14ac:dyDescent="0.2">
      <c r="A127" s="9">
        <f t="shared" si="7"/>
        <v>125</v>
      </c>
      <c r="B127" s="10"/>
      <c r="C127" s="10"/>
      <c r="D127" s="10" t="s">
        <v>120</v>
      </c>
      <c r="E127" s="10"/>
      <c r="F127" s="10"/>
      <c r="G127" s="12"/>
      <c r="H127" s="11"/>
      <c r="I127" s="11"/>
      <c r="J127" s="11"/>
      <c r="K127" s="11"/>
      <c r="L127" s="39"/>
      <c r="M127" s="11"/>
      <c r="N127" s="11"/>
    </row>
    <row r="128" spans="1:14" ht="13.5" thickBot="1" x14ac:dyDescent="0.25">
      <c r="A128" s="9">
        <f t="shared" si="7"/>
        <v>126</v>
      </c>
      <c r="B128" s="10"/>
      <c r="C128" s="10"/>
      <c r="D128" s="10"/>
      <c r="E128" s="10" t="s">
        <v>121</v>
      </c>
      <c r="F128" s="10"/>
      <c r="G128" s="12"/>
      <c r="H128" s="11">
        <v>2700</v>
      </c>
      <c r="I128" s="11"/>
      <c r="J128" s="11">
        <v>2674</v>
      </c>
      <c r="K128" s="11">
        <f>2974</f>
        <v>2974</v>
      </c>
      <c r="L128" s="39"/>
      <c r="M128" s="11">
        <v>3500</v>
      </c>
      <c r="N128" s="37" t="s">
        <v>7</v>
      </c>
    </row>
    <row r="129" spans="1:15" x14ac:dyDescent="0.2">
      <c r="A129" s="9">
        <f t="shared" si="7"/>
        <v>127</v>
      </c>
      <c r="B129" s="10"/>
      <c r="C129" s="10"/>
      <c r="D129" s="10" t="s">
        <v>122</v>
      </c>
      <c r="E129" s="10"/>
      <c r="F129" s="10"/>
      <c r="G129" s="12"/>
      <c r="H129" s="19">
        <f>ROUND(SUM(H127:H128),5)</f>
        <v>2700</v>
      </c>
      <c r="I129" s="11"/>
      <c r="J129" s="19">
        <f>ROUND(SUM(J127:J128),5)</f>
        <v>2674</v>
      </c>
      <c r="K129" s="19">
        <f>ROUND(SUM(K127:K128),5)</f>
        <v>2974</v>
      </c>
      <c r="L129" s="39"/>
      <c r="M129" s="19">
        <f>ROUND(SUM(M127:M128),5)</f>
        <v>3500</v>
      </c>
      <c r="N129" s="11"/>
    </row>
    <row r="130" spans="1:15" x14ac:dyDescent="0.2">
      <c r="A130" s="9">
        <f t="shared" si="7"/>
        <v>128</v>
      </c>
      <c r="B130" s="10"/>
      <c r="C130" s="10"/>
      <c r="D130" s="10" t="s">
        <v>123</v>
      </c>
      <c r="E130" s="10"/>
      <c r="F130" s="10"/>
      <c r="G130" s="12"/>
      <c r="H130" s="11"/>
      <c r="I130" s="11"/>
      <c r="J130" s="11"/>
      <c r="K130" s="11"/>
      <c r="L130" s="39"/>
      <c r="M130" s="11"/>
      <c r="N130" s="5" t="s">
        <v>7</v>
      </c>
    </row>
    <row r="131" spans="1:15" x14ac:dyDescent="0.2">
      <c r="A131" s="9">
        <f t="shared" si="7"/>
        <v>129</v>
      </c>
      <c r="B131" s="10"/>
      <c r="C131" s="10"/>
      <c r="D131" s="10"/>
      <c r="E131" s="10" t="s">
        <v>124</v>
      </c>
      <c r="F131" s="10"/>
      <c r="G131" s="12"/>
      <c r="H131" s="11"/>
      <c r="I131" s="11"/>
      <c r="J131" s="11"/>
      <c r="K131" s="11"/>
      <c r="L131" s="39"/>
      <c r="M131" s="11"/>
      <c r="N131" s="11"/>
    </row>
    <row r="132" spans="1:15" ht="13.5" thickBot="1" x14ac:dyDescent="0.25">
      <c r="A132" s="9">
        <f t="shared" si="7"/>
        <v>130</v>
      </c>
      <c r="B132" s="10"/>
      <c r="C132" s="10"/>
      <c r="D132" s="10"/>
      <c r="E132" s="10" t="s">
        <v>125</v>
      </c>
      <c r="F132" s="10"/>
      <c r="G132" s="12"/>
      <c r="H132" s="14"/>
      <c r="I132" s="11"/>
      <c r="J132" s="14">
        <v>846</v>
      </c>
      <c r="K132" s="14">
        <f>J132</f>
        <v>846</v>
      </c>
      <c r="L132" s="39"/>
      <c r="M132" s="14">
        <v>0</v>
      </c>
      <c r="N132" s="5" t="s">
        <v>7</v>
      </c>
    </row>
    <row r="133" spans="1:15" x14ac:dyDescent="0.2">
      <c r="A133" s="9">
        <f t="shared" si="7"/>
        <v>131</v>
      </c>
      <c r="B133" s="10"/>
      <c r="C133" s="10"/>
      <c r="D133" s="10" t="s">
        <v>126</v>
      </c>
      <c r="E133" s="10"/>
      <c r="F133" s="10"/>
      <c r="G133" s="12"/>
      <c r="H133" s="11">
        <f>SUM(H131:H132)</f>
        <v>0</v>
      </c>
      <c r="I133" s="11"/>
      <c r="J133" s="11">
        <f>SUM(J131:J132)</f>
        <v>846</v>
      </c>
      <c r="K133" s="11">
        <f>SUM(K131:K132)</f>
        <v>846</v>
      </c>
      <c r="L133" s="39"/>
      <c r="M133" s="11">
        <f>SUM(M131:M132)</f>
        <v>0</v>
      </c>
      <c r="N133" s="11" t="s">
        <v>165</v>
      </c>
    </row>
    <row r="134" spans="1:15" x14ac:dyDescent="0.2">
      <c r="A134" s="9">
        <f>A133+1</f>
        <v>132</v>
      </c>
      <c r="B134" s="10"/>
      <c r="C134" s="10"/>
      <c r="D134" s="10" t="s">
        <v>127</v>
      </c>
      <c r="E134" s="4"/>
      <c r="G134" s="12"/>
      <c r="H134" s="11">
        <v>0</v>
      </c>
      <c r="I134" s="11"/>
      <c r="J134" s="11">
        <v>440</v>
      </c>
      <c r="K134" s="11">
        <f>J134</f>
        <v>440</v>
      </c>
      <c r="L134" s="39"/>
      <c r="M134" s="11">
        <v>0</v>
      </c>
      <c r="N134" s="11" t="s">
        <v>7</v>
      </c>
    </row>
    <row r="135" spans="1:15" ht="15" x14ac:dyDescent="0.25">
      <c r="A135" s="9">
        <f>A133+1</f>
        <v>132</v>
      </c>
      <c r="B135" s="10"/>
      <c r="C135" s="10"/>
      <c r="D135" s="10" t="s">
        <v>128</v>
      </c>
      <c r="E135" s="4"/>
      <c r="G135" s="12"/>
      <c r="H135" s="39">
        <v>0</v>
      </c>
      <c r="I135" s="39"/>
      <c r="J135" s="39">
        <v>0</v>
      </c>
      <c r="K135" s="39">
        <v>0</v>
      </c>
      <c r="L135" s="39"/>
      <c r="M135" s="39">
        <v>0</v>
      </c>
      <c r="N135"/>
    </row>
    <row r="136" spans="1:15" ht="13.5" thickBot="1" x14ac:dyDescent="0.25">
      <c r="A136" s="9">
        <f>A134+1</f>
        <v>133</v>
      </c>
      <c r="B136" s="10"/>
      <c r="C136" s="10"/>
      <c r="D136" s="10" t="s">
        <v>185</v>
      </c>
      <c r="E136" s="4"/>
      <c r="G136" s="12"/>
      <c r="H136" s="11">
        <v>0</v>
      </c>
      <c r="I136" s="11"/>
      <c r="J136" s="18">
        <v>0</v>
      </c>
      <c r="K136" s="11">
        <v>1000</v>
      </c>
      <c r="L136" s="39"/>
      <c r="M136" s="11">
        <v>0</v>
      </c>
      <c r="N136" s="11" t="s">
        <v>203</v>
      </c>
    </row>
    <row r="137" spans="1:15" ht="15.75" thickBot="1" x14ac:dyDescent="0.3">
      <c r="A137" s="9">
        <f t="shared" ref="A137:A177" si="8">A136+1</f>
        <v>134</v>
      </c>
      <c r="B137" s="10"/>
      <c r="C137" s="10" t="s">
        <v>129</v>
      </c>
      <c r="D137" s="10"/>
      <c r="E137" s="10"/>
      <c r="F137" s="10"/>
      <c r="G137" s="12"/>
      <c r="H137" s="59">
        <f>H36+H39+H46+H49+H58+H70+H74+H88+H101+H111+H116+H120+H126+H129+H133+H134+H135+H136</f>
        <v>275333.08</v>
      </c>
      <c r="I137" s="25"/>
      <c r="J137" s="59">
        <f>J36+J39+J46+J49+J58+J70+J74+J88+J101+J111+J116+J120+J126+J129+J133+J134+J135+J136</f>
        <v>134705</v>
      </c>
      <c r="K137" s="59">
        <f>K36+K39+K46+K49+K58+K70+K74+K88+K101+K111+K116+K120+K126+K129+K133+K134+K135+K136</f>
        <v>282424.08</v>
      </c>
      <c r="L137" s="38"/>
      <c r="M137" s="59">
        <f>M36+M39+M46+M49+M58+M70+M74+M88+M101+M111+M116+M120+M126+M129+M133+M134+M135+M136</f>
        <v>281305.0724</v>
      </c>
      <c r="N137"/>
    </row>
    <row r="138" spans="1:15" s="20" customFormat="1" ht="15.75" thickBot="1" x14ac:dyDescent="0.3">
      <c r="A138" s="9">
        <f t="shared" si="8"/>
        <v>135</v>
      </c>
      <c r="B138" s="21" t="s">
        <v>130</v>
      </c>
      <c r="C138" s="21"/>
      <c r="D138" s="22"/>
      <c r="E138" s="22"/>
      <c r="F138" s="22"/>
      <c r="G138" s="22"/>
      <c r="H138" s="23">
        <f>ROUND(H26-H137,5)</f>
        <v>18303.919999999998</v>
      </c>
      <c r="I138" s="23"/>
      <c r="J138" s="23">
        <f>ROUND(J26-J137,5)</f>
        <v>74960</v>
      </c>
      <c r="K138" s="23">
        <f>ROUND(K26-K137,5)</f>
        <v>25616.92</v>
      </c>
      <c r="L138" s="23"/>
      <c r="M138" s="24">
        <f>ROUND(M26-M137,5)</f>
        <v>12031.927600000001</v>
      </c>
      <c r="N138"/>
    </row>
    <row r="139" spans="1:15" x14ac:dyDescent="0.2">
      <c r="A139" s="9">
        <f t="shared" si="8"/>
        <v>136</v>
      </c>
      <c r="K139" s="11"/>
      <c r="L139" s="39"/>
    </row>
    <row r="140" spans="1:15" x14ac:dyDescent="0.2">
      <c r="A140" s="9">
        <f t="shared" si="8"/>
        <v>137</v>
      </c>
      <c r="B140" s="10" t="s">
        <v>131</v>
      </c>
      <c r="C140" s="10"/>
      <c r="D140" s="10"/>
      <c r="E140" s="10"/>
      <c r="F140" s="10"/>
      <c r="H140" s="11"/>
      <c r="I140" s="11"/>
      <c r="J140" s="11"/>
      <c r="K140" s="11"/>
      <c r="L140" s="39"/>
      <c r="M140" s="11"/>
      <c r="N140" s="11"/>
    </row>
    <row r="141" spans="1:15" ht="13.5" thickBot="1" x14ac:dyDescent="0.25">
      <c r="A141" s="9">
        <f t="shared" si="8"/>
        <v>138</v>
      </c>
      <c r="B141" s="10"/>
      <c r="C141" s="10" t="s">
        <v>132</v>
      </c>
      <c r="D141" s="10"/>
      <c r="E141" s="10"/>
      <c r="F141" s="10"/>
      <c r="H141" s="11">
        <v>0</v>
      </c>
      <c r="I141" s="11"/>
      <c r="J141" s="11">
        <v>0</v>
      </c>
      <c r="K141" s="11">
        <v>0</v>
      </c>
      <c r="L141" s="39"/>
      <c r="M141" s="11">
        <v>0</v>
      </c>
      <c r="N141" s="5"/>
    </row>
    <row r="142" spans="1:15" ht="13.5" thickBot="1" x14ac:dyDescent="0.25">
      <c r="A142" s="9">
        <f t="shared" si="8"/>
        <v>139</v>
      </c>
      <c r="B142" s="10"/>
      <c r="C142" s="10"/>
      <c r="D142" s="10" t="s">
        <v>133</v>
      </c>
      <c r="E142" s="4"/>
      <c r="F142" s="4"/>
      <c r="G142" s="20"/>
      <c r="H142" s="23">
        <f>H141</f>
        <v>0</v>
      </c>
      <c r="I142" s="25"/>
      <c r="J142" s="23">
        <f>J141</f>
        <v>0</v>
      </c>
      <c r="K142" s="23">
        <f>K141</f>
        <v>0</v>
      </c>
      <c r="L142" s="38"/>
      <c r="M142" s="23">
        <f>M141</f>
        <v>0</v>
      </c>
      <c r="N142" s="5"/>
    </row>
    <row r="143" spans="1:15" x14ac:dyDescent="0.2">
      <c r="A143" s="9">
        <f t="shared" si="8"/>
        <v>140</v>
      </c>
      <c r="B143" s="10"/>
      <c r="C143" s="10" t="s">
        <v>134</v>
      </c>
      <c r="D143" s="10"/>
      <c r="E143" s="10"/>
      <c r="F143" s="10"/>
      <c r="H143" s="11"/>
      <c r="I143" s="11"/>
      <c r="J143" s="11"/>
      <c r="K143" s="11"/>
      <c r="L143" s="39"/>
      <c r="M143" s="11"/>
      <c r="N143" s="11"/>
      <c r="O143" s="26" t="s">
        <v>7</v>
      </c>
    </row>
    <row r="144" spans="1:15" x14ac:dyDescent="0.2">
      <c r="A144" s="9">
        <f t="shared" si="8"/>
        <v>141</v>
      </c>
      <c r="B144" s="10"/>
      <c r="C144" s="10"/>
      <c r="D144" s="10" t="s">
        <v>135</v>
      </c>
      <c r="F144" s="10"/>
      <c r="H144" s="11">
        <v>0</v>
      </c>
      <c r="I144" s="11"/>
      <c r="J144" s="11">
        <v>0</v>
      </c>
      <c r="K144" s="11">
        <v>0</v>
      </c>
      <c r="L144" s="39"/>
      <c r="M144" s="11">
        <v>0</v>
      </c>
      <c r="N144" s="11"/>
      <c r="O144" s="27" t="s">
        <v>7</v>
      </c>
    </row>
    <row r="145" spans="1:14" x14ac:dyDescent="0.2">
      <c r="A145" s="9">
        <f t="shared" si="8"/>
        <v>142</v>
      </c>
      <c r="B145" s="10"/>
      <c r="C145" s="10"/>
      <c r="D145" s="10" t="s">
        <v>136</v>
      </c>
      <c r="F145" s="10"/>
      <c r="H145" s="11">
        <v>0</v>
      </c>
      <c r="I145" s="11"/>
      <c r="J145" s="11">
        <v>0</v>
      </c>
      <c r="K145" s="11">
        <v>0</v>
      </c>
      <c r="L145" s="39"/>
      <c r="M145" s="11">
        <v>30000</v>
      </c>
      <c r="N145" s="66" t="s">
        <v>198</v>
      </c>
    </row>
    <row r="146" spans="1:14" ht="13.5" thickBot="1" x14ac:dyDescent="0.25">
      <c r="A146" s="9">
        <f t="shared" si="8"/>
        <v>143</v>
      </c>
      <c r="D146" s="20" t="s">
        <v>137</v>
      </c>
      <c r="H146" s="14">
        <v>1850</v>
      </c>
      <c r="I146" s="11"/>
      <c r="J146" s="14">
        <v>1850</v>
      </c>
      <c r="K146" s="14">
        <v>1850</v>
      </c>
      <c r="L146" s="39"/>
      <c r="M146" s="14">
        <v>1850</v>
      </c>
      <c r="N146" s="67" t="s">
        <v>7</v>
      </c>
    </row>
    <row r="147" spans="1:14" ht="13.5" thickBot="1" x14ac:dyDescent="0.25">
      <c r="A147" s="9">
        <f t="shared" si="8"/>
        <v>144</v>
      </c>
      <c r="D147" s="10" t="s">
        <v>138</v>
      </c>
      <c r="E147" s="4"/>
      <c r="F147" s="4"/>
      <c r="H147" s="11">
        <f>SUM(H144:H146)</f>
        <v>1850</v>
      </c>
      <c r="I147" s="11"/>
      <c r="J147" s="11">
        <f>SUM(J144:J146)</f>
        <v>1850</v>
      </c>
      <c r="K147" s="11">
        <f>SUM(K144:K146)</f>
        <v>1850</v>
      </c>
      <c r="L147" s="39"/>
      <c r="M147" s="11">
        <f>SUM(M144:M146)</f>
        <v>31850</v>
      </c>
      <c r="N147" s="11"/>
    </row>
    <row r="148" spans="1:14" ht="13.5" thickBot="1" x14ac:dyDescent="0.25">
      <c r="A148" s="9">
        <f t="shared" si="8"/>
        <v>145</v>
      </c>
      <c r="B148" s="10" t="s">
        <v>139</v>
      </c>
      <c r="C148" s="10"/>
      <c r="D148" s="10"/>
      <c r="E148" s="10"/>
      <c r="F148" s="10"/>
      <c r="G148" s="20"/>
      <c r="H148" s="23">
        <f>H142-H147</f>
        <v>-1850</v>
      </c>
      <c r="I148" s="25"/>
      <c r="J148" s="23">
        <f>J142-J147</f>
        <v>-1850</v>
      </c>
      <c r="K148" s="23">
        <f>K142-K147</f>
        <v>-1850</v>
      </c>
      <c r="L148" s="38"/>
      <c r="M148" s="23">
        <f>M142-M147</f>
        <v>-31850</v>
      </c>
      <c r="N148" s="25"/>
    </row>
    <row r="149" spans="1:14" ht="13.5" thickBot="1" x14ac:dyDescent="0.25">
      <c r="A149" s="9">
        <f t="shared" si="8"/>
        <v>146</v>
      </c>
      <c r="B149" s="4"/>
      <c r="C149" s="4"/>
      <c r="D149" s="20" t="s">
        <v>7</v>
      </c>
      <c r="E149" s="4"/>
      <c r="F149" s="4"/>
      <c r="K149" s="34"/>
      <c r="L149" s="40"/>
    </row>
    <row r="150" spans="1:14" ht="13.5" thickBot="1" x14ac:dyDescent="0.25">
      <c r="A150" s="9">
        <f t="shared" si="8"/>
        <v>147</v>
      </c>
      <c r="B150" s="21" t="s">
        <v>140</v>
      </c>
      <c r="C150" s="22"/>
      <c r="D150" s="22"/>
      <c r="E150" s="22"/>
      <c r="F150" s="22"/>
      <c r="G150" s="58"/>
      <c r="H150" s="23">
        <f>H138+H148</f>
        <v>16453.919999999998</v>
      </c>
      <c r="I150" s="23"/>
      <c r="J150" s="23">
        <f>J138+J148</f>
        <v>73110</v>
      </c>
      <c r="K150" s="23">
        <f>K138+K148</f>
        <v>23766.92</v>
      </c>
      <c r="L150" s="23"/>
      <c r="M150" s="24">
        <f>M138+M148</f>
        <v>-19818.072399999997</v>
      </c>
      <c r="N150" s="25"/>
    </row>
    <row r="151" spans="1:14" x14ac:dyDescent="0.2">
      <c r="A151" s="9">
        <f t="shared" si="8"/>
        <v>148</v>
      </c>
      <c r="B151" s="4"/>
      <c r="C151" s="4"/>
      <c r="D151" s="4"/>
      <c r="E151" s="4"/>
      <c r="F151" s="4"/>
    </row>
    <row r="152" spans="1:14" x14ac:dyDescent="0.2">
      <c r="A152" s="9">
        <f t="shared" si="8"/>
        <v>149</v>
      </c>
      <c r="B152" s="10" t="s">
        <v>141</v>
      </c>
      <c r="C152" s="10"/>
      <c r="D152" s="10"/>
      <c r="E152" s="10"/>
      <c r="F152" s="10"/>
      <c r="H152" s="11"/>
      <c r="I152" s="11"/>
      <c r="J152" s="11"/>
      <c r="K152" s="11"/>
      <c r="L152" s="39"/>
      <c r="M152" s="11"/>
      <c r="N152" s="11"/>
    </row>
    <row r="153" spans="1:14" x14ac:dyDescent="0.2">
      <c r="A153" s="9">
        <f t="shared" si="8"/>
        <v>150</v>
      </c>
      <c r="B153" s="10"/>
      <c r="C153" s="10" t="s">
        <v>2</v>
      </c>
      <c r="D153" s="10"/>
      <c r="E153" s="10"/>
      <c r="F153" s="10"/>
      <c r="H153" s="11"/>
      <c r="I153" s="11"/>
      <c r="J153" s="11"/>
      <c r="K153" s="11"/>
      <c r="L153" s="39"/>
      <c r="M153" s="11"/>
      <c r="N153" s="11"/>
    </row>
    <row r="154" spans="1:14" x14ac:dyDescent="0.2">
      <c r="A154" s="9">
        <f t="shared" si="8"/>
        <v>151</v>
      </c>
      <c r="B154" s="10"/>
      <c r="C154" s="10"/>
      <c r="D154" s="10" t="s">
        <v>3</v>
      </c>
      <c r="E154" s="10"/>
      <c r="F154" s="10"/>
      <c r="H154" s="11">
        <v>40000</v>
      </c>
      <c r="I154" s="11"/>
      <c r="J154" s="11">
        <v>26000</v>
      </c>
      <c r="K154" s="11">
        <f>H154</f>
        <v>40000</v>
      </c>
      <c r="L154" s="39"/>
      <c r="M154" s="11">
        <v>40000</v>
      </c>
      <c r="N154" s="4" t="s">
        <v>142</v>
      </c>
    </row>
    <row r="155" spans="1:14" ht="13.5" thickBot="1" x14ac:dyDescent="0.25">
      <c r="A155" s="9">
        <f t="shared" si="8"/>
        <v>152</v>
      </c>
      <c r="B155" s="10"/>
      <c r="C155" s="10"/>
      <c r="D155" s="10" t="s">
        <v>143</v>
      </c>
      <c r="E155" s="4"/>
      <c r="F155" s="4"/>
      <c r="H155" s="14">
        <f>-H12</f>
        <v>60300</v>
      </c>
      <c r="I155" s="11"/>
      <c r="J155" s="14">
        <v>44000</v>
      </c>
      <c r="K155" s="14">
        <f>H155</f>
        <v>60300</v>
      </c>
      <c r="L155" s="39"/>
      <c r="M155" s="14">
        <f>-M12</f>
        <v>60300</v>
      </c>
      <c r="N155" s="4" t="s">
        <v>197</v>
      </c>
    </row>
    <row r="156" spans="1:14" x14ac:dyDescent="0.2">
      <c r="A156" s="9">
        <f t="shared" si="8"/>
        <v>153</v>
      </c>
      <c r="B156" s="10"/>
      <c r="C156" s="10"/>
      <c r="D156" s="10" t="s">
        <v>144</v>
      </c>
      <c r="E156" s="4"/>
      <c r="F156" s="4"/>
      <c r="G156" s="20"/>
      <c r="H156" s="25">
        <f>ROUND(SUM(H154:H155),5)</f>
        <v>100300</v>
      </c>
      <c r="I156" s="25"/>
      <c r="J156" s="25">
        <f>ROUND(SUM(J154:J155),5)</f>
        <v>70000</v>
      </c>
      <c r="K156" s="25">
        <f>ROUND(SUM(K154:K155),5)</f>
        <v>100300</v>
      </c>
      <c r="L156" s="38"/>
      <c r="M156" s="25">
        <f>ROUND(SUM(M154:M155),5)</f>
        <v>100300</v>
      </c>
      <c r="N156" s="48"/>
    </row>
    <row r="157" spans="1:14" x14ac:dyDescent="0.2">
      <c r="A157" s="9">
        <f t="shared" si="8"/>
        <v>154</v>
      </c>
      <c r="B157" s="10"/>
      <c r="C157" s="10" t="s">
        <v>145</v>
      </c>
      <c r="D157" s="10"/>
      <c r="E157" s="10"/>
      <c r="F157" s="10"/>
      <c r="H157" s="11"/>
      <c r="I157" s="11"/>
      <c r="J157" s="11"/>
      <c r="K157" s="11"/>
      <c r="L157" s="39"/>
      <c r="M157" s="11"/>
      <c r="N157" s="48"/>
    </row>
    <row r="158" spans="1:14" x14ac:dyDescent="0.2">
      <c r="A158" s="9">
        <f t="shared" si="8"/>
        <v>155</v>
      </c>
      <c r="B158" s="10"/>
      <c r="C158" s="10"/>
      <c r="D158" s="10" t="s">
        <v>146</v>
      </c>
      <c r="F158" s="10"/>
      <c r="H158" s="11">
        <v>0</v>
      </c>
      <c r="I158" s="11"/>
      <c r="J158" s="11">
        <v>0</v>
      </c>
      <c r="K158" s="11">
        <v>0</v>
      </c>
      <c r="L158" s="39"/>
      <c r="M158" s="11">
        <v>0</v>
      </c>
      <c r="N158" s="5" t="s">
        <v>7</v>
      </c>
    </row>
    <row r="159" spans="1:14" x14ac:dyDescent="0.2">
      <c r="A159" s="9">
        <f t="shared" si="8"/>
        <v>156</v>
      </c>
      <c r="B159" s="10"/>
      <c r="C159" s="10"/>
      <c r="D159" s="10" t="s">
        <v>147</v>
      </c>
      <c r="F159" s="10"/>
      <c r="H159" s="11">
        <v>99000</v>
      </c>
      <c r="I159" s="11"/>
      <c r="J159" s="11">
        <v>0</v>
      </c>
      <c r="K159" s="11">
        <v>90000</v>
      </c>
      <c r="L159" s="39"/>
      <c r="M159" s="11">
        <v>119000</v>
      </c>
      <c r="N159" s="5" t="s">
        <v>7</v>
      </c>
    </row>
    <row r="160" spans="1:14" x14ac:dyDescent="0.2">
      <c r="A160" s="9">
        <f t="shared" si="8"/>
        <v>157</v>
      </c>
      <c r="D160" s="20" t="s">
        <v>148</v>
      </c>
      <c r="H160" s="11">
        <v>30000</v>
      </c>
      <c r="I160" s="11"/>
      <c r="J160" s="11">
        <v>0</v>
      </c>
      <c r="K160" s="11">
        <v>0</v>
      </c>
      <c r="L160" s="39"/>
      <c r="M160" s="11">
        <v>30000</v>
      </c>
      <c r="N160" s="11"/>
    </row>
    <row r="161" spans="1:29" ht="15" x14ac:dyDescent="0.25">
      <c r="A161" s="9">
        <f t="shared" si="8"/>
        <v>158</v>
      </c>
      <c r="D161" s="20" t="s">
        <v>166</v>
      </c>
      <c r="H161" s="11">
        <v>0</v>
      </c>
      <c r="I161" s="11"/>
      <c r="J161" s="11">
        <v>0</v>
      </c>
      <c r="K161" s="11">
        <v>6000</v>
      </c>
      <c r="L161" s="39"/>
      <c r="M161" s="11">
        <v>0</v>
      </c>
      <c r="N161"/>
    </row>
    <row r="162" spans="1:29" x14ac:dyDescent="0.2">
      <c r="A162" s="9">
        <f t="shared" si="8"/>
        <v>159</v>
      </c>
      <c r="D162" s="20" t="s">
        <v>149</v>
      </c>
      <c r="H162" s="11">
        <v>6000</v>
      </c>
      <c r="I162" s="11"/>
      <c r="J162" s="11">
        <v>0</v>
      </c>
      <c r="K162" s="11">
        <v>0</v>
      </c>
      <c r="L162" s="39"/>
      <c r="M162" s="11">
        <v>6000</v>
      </c>
      <c r="N162" s="41" t="s">
        <v>180</v>
      </c>
    </row>
    <row r="163" spans="1:29" ht="13.5" thickBot="1" x14ac:dyDescent="0.25">
      <c r="A163" s="9">
        <f t="shared" si="8"/>
        <v>160</v>
      </c>
      <c r="D163" s="20" t="s">
        <v>150</v>
      </c>
      <c r="H163" s="14">
        <v>0</v>
      </c>
      <c r="I163" s="11"/>
      <c r="J163" s="14">
        <v>0</v>
      </c>
      <c r="K163" s="14">
        <v>0</v>
      </c>
      <c r="L163" s="39"/>
      <c r="M163" s="14">
        <v>0</v>
      </c>
      <c r="N163" s="41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</row>
    <row r="164" spans="1:29" s="30" customFormat="1" ht="13.5" thickBot="1" x14ac:dyDescent="0.25">
      <c r="A164" s="9">
        <f t="shared" si="8"/>
        <v>161</v>
      </c>
      <c r="B164" s="28"/>
      <c r="C164" s="28"/>
      <c r="D164" s="29" t="s">
        <v>151</v>
      </c>
      <c r="G164" s="28"/>
      <c r="H164" s="31">
        <f>SUM(H158:H163)</f>
        <v>135000</v>
      </c>
      <c r="I164" s="31"/>
      <c r="J164" s="31">
        <f>SUM(J158:J163)</f>
        <v>0</v>
      </c>
      <c r="K164" s="31">
        <f>SUM(K158:K163)</f>
        <v>96000</v>
      </c>
      <c r="L164" s="46"/>
      <c r="M164" s="31">
        <f>SUM(M158:M163)</f>
        <v>155000</v>
      </c>
      <c r="N164" s="50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</row>
    <row r="165" spans="1:29" ht="13.5" thickBot="1" x14ac:dyDescent="0.25">
      <c r="A165" s="9">
        <f t="shared" si="8"/>
        <v>162</v>
      </c>
      <c r="B165" s="21" t="s">
        <v>152</v>
      </c>
      <c r="C165" s="22"/>
      <c r="D165" s="22"/>
      <c r="E165" s="22"/>
      <c r="F165" s="22"/>
      <c r="G165" s="58"/>
      <c r="H165" s="23">
        <f>H156-H164</f>
        <v>-34700</v>
      </c>
      <c r="I165" s="23"/>
      <c r="J165" s="23">
        <f>J156-J164</f>
        <v>70000</v>
      </c>
      <c r="K165" s="23">
        <f>K156-K164</f>
        <v>4300</v>
      </c>
      <c r="L165" s="23"/>
      <c r="M165" s="24">
        <f>M156-M164</f>
        <v>-54700</v>
      </c>
      <c r="N165" s="50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</row>
    <row r="166" spans="1:29" x14ac:dyDescent="0.2">
      <c r="A166" s="9">
        <f t="shared" si="8"/>
        <v>163</v>
      </c>
      <c r="B166" s="10"/>
      <c r="C166" s="10"/>
      <c r="D166" s="10"/>
      <c r="E166" s="10"/>
      <c r="F166" s="10"/>
      <c r="G166" s="20"/>
      <c r="H166" s="38"/>
      <c r="I166" s="25"/>
      <c r="J166" s="38"/>
      <c r="K166" s="38"/>
      <c r="L166" s="38"/>
      <c r="M166" s="38"/>
      <c r="N166" s="50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</row>
    <row r="167" spans="1:29" x14ac:dyDescent="0.2">
      <c r="A167" s="9">
        <f t="shared" si="8"/>
        <v>164</v>
      </c>
      <c r="B167" s="10" t="s">
        <v>172</v>
      </c>
      <c r="C167" s="10"/>
      <c r="D167" s="10"/>
      <c r="E167" s="10"/>
      <c r="F167" s="10"/>
      <c r="H167" s="11"/>
      <c r="I167" s="11"/>
      <c r="J167" s="11"/>
      <c r="K167" s="11"/>
      <c r="L167" s="39"/>
      <c r="M167" s="11"/>
      <c r="N167" s="11"/>
    </row>
    <row r="168" spans="1:29" x14ac:dyDescent="0.2">
      <c r="A168" s="9">
        <f t="shared" si="8"/>
        <v>165</v>
      </c>
      <c r="B168" s="10"/>
      <c r="C168" s="10"/>
      <c r="D168" s="10" t="s">
        <v>173</v>
      </c>
      <c r="E168" s="10"/>
      <c r="F168" s="10"/>
      <c r="H168" s="11">
        <v>0</v>
      </c>
      <c r="I168" s="11"/>
      <c r="J168" s="11">
        <v>0</v>
      </c>
      <c r="K168" s="11">
        <v>18250</v>
      </c>
      <c r="L168" s="39"/>
      <c r="M168" s="11">
        <f>9300+(8000/2)</f>
        <v>13300</v>
      </c>
      <c r="N168" s="5"/>
    </row>
    <row r="169" spans="1:29" x14ac:dyDescent="0.2">
      <c r="A169" s="9">
        <f t="shared" si="8"/>
        <v>166</v>
      </c>
      <c r="B169" s="10"/>
      <c r="C169" s="10"/>
      <c r="D169" s="10" t="s">
        <v>176</v>
      </c>
      <c r="E169" s="4"/>
      <c r="F169" s="4"/>
      <c r="H169" s="39">
        <v>0</v>
      </c>
      <c r="I169" s="39"/>
      <c r="J169" s="39">
        <v>0</v>
      </c>
      <c r="K169" s="39">
        <v>-34471</v>
      </c>
      <c r="L169" s="39"/>
      <c r="M169" s="39">
        <v>0</v>
      </c>
      <c r="N169" s="5" t="s">
        <v>7</v>
      </c>
    </row>
    <row r="170" spans="1:29" ht="13.5" thickBot="1" x14ac:dyDescent="0.25">
      <c r="A170" s="9">
        <f t="shared" si="8"/>
        <v>167</v>
      </c>
      <c r="B170" s="10"/>
      <c r="C170" s="10"/>
      <c r="D170" s="10" t="s">
        <v>174</v>
      </c>
      <c r="E170" s="4"/>
      <c r="F170" s="4"/>
      <c r="H170" s="39">
        <v>0</v>
      </c>
      <c r="I170" s="11"/>
      <c r="J170" s="39">
        <v>0</v>
      </c>
      <c r="K170" s="39">
        <v>0</v>
      </c>
      <c r="L170" s="39"/>
      <c r="M170" s="39">
        <f>-9300-(4000)</f>
        <v>-13300</v>
      </c>
      <c r="N170" s="5" t="s">
        <v>7</v>
      </c>
    </row>
    <row r="171" spans="1:29" ht="15.75" thickBot="1" x14ac:dyDescent="0.3">
      <c r="A171" s="9">
        <f t="shared" si="8"/>
        <v>168</v>
      </c>
      <c r="B171" s="21" t="s">
        <v>175</v>
      </c>
      <c r="C171" s="22"/>
      <c r="D171" s="60"/>
      <c r="E171" s="60"/>
      <c r="F171" s="60"/>
      <c r="G171" s="58"/>
      <c r="H171" s="23">
        <f>ROUND(SUM(H168:H170),5)</f>
        <v>0</v>
      </c>
      <c r="I171" s="23"/>
      <c r="J171" s="23">
        <f>ROUND(SUM(J168:J170),5)</f>
        <v>0</v>
      </c>
      <c r="K171" s="23">
        <f>ROUND(SUM(K168:K170),5)</f>
        <v>-16221</v>
      </c>
      <c r="L171" s="23"/>
      <c r="M171" s="24">
        <f>SUM(M168:M170)</f>
        <v>0</v>
      </c>
      <c r="N171" s="48"/>
    </row>
    <row r="172" spans="1:29" ht="13.5" thickBot="1" x14ac:dyDescent="0.25">
      <c r="A172" s="9">
        <f t="shared" si="8"/>
        <v>169</v>
      </c>
    </row>
    <row r="173" spans="1:29" ht="36.75" customHeight="1" thickTop="1" thickBot="1" x14ac:dyDescent="0.3">
      <c r="A173" s="9">
        <f t="shared" si="8"/>
        <v>170</v>
      </c>
      <c r="B173" s="76" t="s">
        <v>196</v>
      </c>
      <c r="C173" s="77"/>
      <c r="D173" s="77"/>
      <c r="E173" s="77"/>
      <c r="F173" s="78"/>
      <c r="H173" s="32" t="s">
        <v>167</v>
      </c>
      <c r="I173" s="33"/>
      <c r="J173" s="32" t="s">
        <v>161</v>
      </c>
      <c r="K173" s="32" t="s">
        <v>193</v>
      </c>
      <c r="L173" s="47"/>
      <c r="M173" s="32" t="s">
        <v>194</v>
      </c>
      <c r="N173"/>
      <c r="O173" s="5"/>
    </row>
    <row r="174" spans="1:29" x14ac:dyDescent="0.2">
      <c r="A174" s="9">
        <f t="shared" si="8"/>
        <v>171</v>
      </c>
      <c r="B174" s="10"/>
      <c r="C174" s="10"/>
      <c r="D174" s="10" t="s">
        <v>153</v>
      </c>
      <c r="F174" s="10"/>
      <c r="H174" s="11">
        <v>42122</v>
      </c>
      <c r="I174" s="11"/>
      <c r="J174" s="11">
        <v>191665.29</v>
      </c>
      <c r="K174" s="41">
        <f>H174+K150</f>
        <v>65888.92</v>
      </c>
      <c r="L174" s="52"/>
      <c r="M174" s="52">
        <f>K174+M150</f>
        <v>46070.847600000001</v>
      </c>
      <c r="N174" s="49" t="s">
        <v>191</v>
      </c>
      <c r="O174" s="5"/>
    </row>
    <row r="175" spans="1:29" x14ac:dyDescent="0.2">
      <c r="A175" s="9">
        <f t="shared" si="8"/>
        <v>172</v>
      </c>
      <c r="B175" s="10"/>
      <c r="C175" s="10"/>
      <c r="D175" s="10" t="s">
        <v>154</v>
      </c>
      <c r="F175" s="10"/>
      <c r="H175" s="11">
        <v>244203</v>
      </c>
      <c r="I175" s="11"/>
      <c r="J175" s="11">
        <v>328885.7</v>
      </c>
      <c r="K175" s="11">
        <f>H175+K165</f>
        <v>248503</v>
      </c>
      <c r="L175" s="39"/>
      <c r="M175" s="39">
        <f>K175+M162</f>
        <v>254503</v>
      </c>
      <c r="N175" s="4" t="s">
        <v>190</v>
      </c>
      <c r="O175" s="5"/>
    </row>
    <row r="176" spans="1:29" ht="13.5" thickBot="1" x14ac:dyDescent="0.25">
      <c r="A176" s="9">
        <f t="shared" si="8"/>
        <v>173</v>
      </c>
      <c r="D176" s="20" t="s">
        <v>155</v>
      </c>
      <c r="H176" s="39">
        <v>32958</v>
      </c>
      <c r="I176" s="11"/>
      <c r="J176" s="39">
        <v>27700.66</v>
      </c>
      <c r="K176" s="11">
        <f>J176+K171</f>
        <v>11479.66</v>
      </c>
      <c r="L176" s="39"/>
      <c r="M176" s="39">
        <f>K176+M171</f>
        <v>11479.66</v>
      </c>
      <c r="N176" s="49" t="s">
        <v>192</v>
      </c>
      <c r="O176" s="5"/>
    </row>
    <row r="177" spans="1:15" ht="15.75" thickBot="1" x14ac:dyDescent="0.3">
      <c r="A177" s="9">
        <f t="shared" si="8"/>
        <v>174</v>
      </c>
      <c r="B177" s="61"/>
      <c r="C177" s="58"/>
      <c r="D177" s="22" t="s">
        <v>156</v>
      </c>
      <c r="E177" s="62"/>
      <c r="F177" s="62"/>
      <c r="G177" s="63"/>
      <c r="H177" s="64">
        <f>SUM(H174:H176)</f>
        <v>319283</v>
      </c>
      <c r="I177" s="64"/>
      <c r="J177" s="64">
        <f>SUM(J174:J176)</f>
        <v>548251.65</v>
      </c>
      <c r="K177" s="64">
        <f>SUM(K174:K176)</f>
        <v>325871.57999999996</v>
      </c>
      <c r="L177" s="64"/>
      <c r="M177" s="65">
        <f>SUM(M174:M176)</f>
        <v>312053.50759999995</v>
      </c>
      <c r="N177"/>
      <c r="O177" s="5"/>
    </row>
    <row r="178" spans="1:15" x14ac:dyDescent="0.2">
      <c r="A178" s="9" t="s">
        <v>7</v>
      </c>
      <c r="M178" s="11"/>
      <c r="O178" s="5"/>
    </row>
    <row r="179" spans="1:15" x14ac:dyDescent="0.2">
      <c r="A179" s="9"/>
      <c r="M179" s="11"/>
      <c r="O179" s="5"/>
    </row>
    <row r="180" spans="1:15" x14ac:dyDescent="0.2">
      <c r="A180" s="9"/>
      <c r="M180" s="11"/>
      <c r="O180" s="5"/>
    </row>
    <row r="181" spans="1:15" x14ac:dyDescent="0.2">
      <c r="A181" s="9"/>
      <c r="M181" s="11"/>
      <c r="O181" s="5"/>
    </row>
    <row r="182" spans="1:15" x14ac:dyDescent="0.2">
      <c r="A182" s="9"/>
      <c r="M182" s="11"/>
      <c r="O182" s="5"/>
    </row>
    <row r="183" spans="1:15" x14ac:dyDescent="0.2">
      <c r="A183" s="9"/>
      <c r="M183" s="11"/>
      <c r="O183" s="5"/>
    </row>
  </sheetData>
  <mergeCells count="2">
    <mergeCell ref="B1:F2"/>
    <mergeCell ref="B173:F173"/>
  </mergeCells>
  <printOptions gridLines="1"/>
  <pageMargins left="0.2" right="0.2" top="0.25" bottom="0.25" header="0.2" footer="0.2"/>
  <pageSetup scale="75" fitToWidth="0" fitToHeight="0" orientation="landscape" r:id="rId1"/>
  <rowBreaks count="1" manualBreakCount="1">
    <brk id="171" max="16383" man="1"/>
  </rowBreaks>
  <ignoredErrors>
    <ignoredError sqref="K133 K17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P&amp;L</vt:lpstr>
      <vt:lpstr>'P&amp;L'!Print_Area</vt:lpstr>
      <vt:lpstr>'P&amp;L'!Print_Titles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Lynch</dc:creator>
  <cp:lastModifiedBy>Leslie Lynch</cp:lastModifiedBy>
  <cp:lastPrinted>2020-06-07T19:51:56Z</cp:lastPrinted>
  <dcterms:created xsi:type="dcterms:W3CDTF">2020-04-21T20:20:26Z</dcterms:created>
  <dcterms:modified xsi:type="dcterms:W3CDTF">2020-07-28T00:03:40Z</dcterms:modified>
</cp:coreProperties>
</file>