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intonkeith/Desktop/Temp/"/>
    </mc:Choice>
  </mc:AlternateContent>
  <xr:revisionPtr revIDLastSave="0" documentId="8_{29EB60D1-4A52-3948-8BBC-E4CF84884AE6}" xr6:coauthVersionLast="47" xr6:coauthVersionMax="47" xr10:uidLastSave="{00000000-0000-0000-0000-000000000000}"/>
  <bookViews>
    <workbookView xWindow="0" yWindow="500" windowWidth="38400" windowHeight="19920" xr2:uid="{8AA87984-B43A-4C91-A0C5-5B2478204AE6}"/>
  </bookViews>
  <sheets>
    <sheet name="P&amp;L" sheetId="1" r:id="rId1"/>
    <sheet name="Grant Account" sheetId="2" r:id="rId2"/>
  </sheets>
  <definedNames>
    <definedName name="_xlnm.Print_Area" localSheetId="0">'P&amp;L'!$A$1:$I$180</definedName>
    <definedName name="_xlnm.Print_Titles" localSheetId="0">'P&amp;L'!$1:$2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A137" i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H178" i="1" l="1"/>
  <c r="J172" i="1" l="1"/>
  <c r="J165" i="1"/>
  <c r="J147" i="1"/>
  <c r="H36" i="1"/>
  <c r="H7" i="1"/>
  <c r="J130" i="1"/>
  <c r="J134" i="1"/>
  <c r="J127" i="1"/>
  <c r="J121" i="1"/>
  <c r="J117" i="1"/>
  <c r="J112" i="1"/>
  <c r="J94" i="1"/>
  <c r="J93" i="1"/>
  <c r="J78" i="1"/>
  <c r="J77" i="1"/>
  <c r="J89" i="1" l="1"/>
  <c r="J95" i="1"/>
  <c r="J75" i="1"/>
  <c r="J64" i="1"/>
  <c r="J63" i="1"/>
  <c r="J58" i="1"/>
  <c r="J59" i="1" s="1"/>
  <c r="J49" i="1"/>
  <c r="J46" i="1"/>
  <c r="J39" i="1"/>
  <c r="J30" i="1"/>
  <c r="J31" i="1"/>
  <c r="J33" i="1"/>
  <c r="J34" i="1"/>
  <c r="J29" i="1"/>
  <c r="J102" i="1" l="1"/>
  <c r="J137" i="1" s="1"/>
  <c r="J71" i="1"/>
  <c r="J36" i="1"/>
  <c r="J10" i="1" l="1"/>
  <c r="J12" i="1" s="1"/>
  <c r="J155" i="1" s="1"/>
  <c r="H6" i="1"/>
  <c r="J157" i="1" l="1"/>
  <c r="J166" i="1" s="1"/>
  <c r="J176" i="1" s="1"/>
  <c r="J8" i="1"/>
  <c r="H134" i="1"/>
  <c r="J26" i="1" l="1"/>
  <c r="H171" i="1"/>
  <c r="H169" i="1"/>
  <c r="H42" i="1"/>
  <c r="J138" i="1" l="1"/>
  <c r="J150" i="1" s="1"/>
  <c r="J175" i="1" s="1"/>
  <c r="J178" i="1" s="1"/>
  <c r="H172" i="1"/>
  <c r="H99" i="1"/>
  <c r="H94" i="1"/>
  <c r="H93" i="1"/>
  <c r="H64" i="1"/>
  <c r="H63" i="1"/>
  <c r="H165" i="1" l="1"/>
  <c r="H147" i="1"/>
  <c r="H142" i="1"/>
  <c r="H130" i="1"/>
  <c r="H127" i="1"/>
  <c r="H121" i="1"/>
  <c r="H117" i="1"/>
  <c r="H112" i="1"/>
  <c r="H95" i="1"/>
  <c r="H102" i="1" s="1"/>
  <c r="H89" i="1"/>
  <c r="H75" i="1"/>
  <c r="H71" i="1"/>
  <c r="H59" i="1"/>
  <c r="H49" i="1"/>
  <c r="H46" i="1"/>
  <c r="H39" i="1"/>
  <c r="H10" i="1"/>
  <c r="H12" i="1" s="1"/>
  <c r="H155" i="1" s="1"/>
  <c r="H157" i="1" s="1"/>
  <c r="H8" i="1"/>
  <c r="H137" i="1" l="1"/>
  <c r="H148" i="1"/>
  <c r="H26" i="1"/>
  <c r="H166" i="1"/>
  <c r="H138" i="1" l="1"/>
  <c r="H150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l="1"/>
  <c r="A136" i="1" s="1"/>
</calcChain>
</file>

<file path=xl/sharedStrings.xml><?xml version="1.0" encoding="utf-8"?>
<sst xmlns="http://schemas.openxmlformats.org/spreadsheetml/2006/main" count="301" uniqueCount="247">
  <si>
    <t>Ordinary Income/Expense</t>
  </si>
  <si>
    <t>Income</t>
  </si>
  <si>
    <t>4000 · Assessments</t>
  </si>
  <si>
    <t>4010 · Improved Lots</t>
  </si>
  <si>
    <t>4020 · Unimproved Lots</t>
  </si>
  <si>
    <t>Total 4000 · Assessments</t>
  </si>
  <si>
    <t xml:space="preserve"> </t>
  </si>
  <si>
    <t>HOA dues allocated to Capital Reserve</t>
  </si>
  <si>
    <t>4225 · Water Billing Service Fee</t>
  </si>
  <si>
    <t>4250 · Water Usage Charge</t>
  </si>
  <si>
    <t>Water fees Allocated to Capital Reserve</t>
  </si>
  <si>
    <t>4100 · Road Easements</t>
  </si>
  <si>
    <t>4500 · Stable Lease</t>
  </si>
  <si>
    <t>4300 · Misc. Income</t>
  </si>
  <si>
    <t>4320 · Interest Income</t>
  </si>
  <si>
    <t>4400 · Late Fees</t>
  </si>
  <si>
    <t>4800 · High Meadow Fees</t>
  </si>
  <si>
    <t>4805 · Watson Property Fees</t>
  </si>
  <si>
    <t>Total Income</t>
  </si>
  <si>
    <t>Expense</t>
  </si>
  <si>
    <t>6100 · Caretaker &amp; Help</t>
  </si>
  <si>
    <t>6110 · Wages</t>
  </si>
  <si>
    <t>6120 · Payroll Taxes</t>
  </si>
  <si>
    <t>6140 · Workman's Compensation</t>
  </si>
  <si>
    <t>6150 · Travel Allowance</t>
  </si>
  <si>
    <t>6160 · Retirement expense</t>
  </si>
  <si>
    <t>6561 · Payroll Outsourcing Expenses</t>
  </si>
  <si>
    <t>6570 · Hired Help Wages</t>
  </si>
  <si>
    <t>Total 6100 · Caretaker &amp; Help</t>
  </si>
  <si>
    <t>6200 · Ranch House</t>
  </si>
  <si>
    <t>6230-40 · Maintenance &amp; Improvements</t>
  </si>
  <si>
    <t>Total 6200 · Ranch House</t>
  </si>
  <si>
    <t>6300 · Equipment Shed</t>
  </si>
  <si>
    <t>6320 · Electricity</t>
  </si>
  <si>
    <t>6330 · Telephone</t>
  </si>
  <si>
    <t>6340 · Maintenance</t>
  </si>
  <si>
    <t>6360 · Small Tools &amp; Equipment</t>
  </si>
  <si>
    <t>6370 · Supplies - expendable</t>
  </si>
  <si>
    <t>Total 6300 · Equipment Shed</t>
  </si>
  <si>
    <t>6500 · Beautification Committee</t>
  </si>
  <si>
    <t>6510 · Plants and tools</t>
  </si>
  <si>
    <t>Total 6500 · Beautification Committee</t>
  </si>
  <si>
    <t>6600 · Lakeside Committee</t>
  </si>
  <si>
    <t>6610-Lakeside Payroll</t>
  </si>
  <si>
    <t>6611-Wages</t>
  </si>
  <si>
    <t>6612-Payroll Taxes</t>
  </si>
  <si>
    <t>6613-Payroll Expenses</t>
  </si>
  <si>
    <t>6620 · Furniture</t>
  </si>
  <si>
    <t>6640 · Signs &amp; Misc.</t>
  </si>
  <si>
    <t>6690 · Projects</t>
  </si>
  <si>
    <t>Total 6600 · Lakeside Committee</t>
  </si>
  <si>
    <t>6700 · Roads Committee</t>
  </si>
  <si>
    <t>6703-Roads Payroll</t>
  </si>
  <si>
    <t>6704-Wages</t>
  </si>
  <si>
    <t>6705-Payroll Taxes</t>
  </si>
  <si>
    <t>6706-Payroll Expenses</t>
  </si>
  <si>
    <t>6710 · FCR- Gravel</t>
  </si>
  <si>
    <t>6730 · FCR- Mag Chlor</t>
  </si>
  <si>
    <t>6750 · Culverts</t>
  </si>
  <si>
    <t>6760 · Equipment Rentals</t>
  </si>
  <si>
    <t>6740 · Road Contracting</t>
  </si>
  <si>
    <t>6790 · Road Sand</t>
  </si>
  <si>
    <t>Total 6700 · Roads Committee</t>
  </si>
  <si>
    <t>6800 · Firewise Program</t>
  </si>
  <si>
    <t>6810-Mitigation Projects</t>
  </si>
  <si>
    <t>6820-Administrative Costs</t>
  </si>
  <si>
    <t>Total 6800 · Firewise Program</t>
  </si>
  <si>
    <t>6900 · Utilities Committee</t>
  </si>
  <si>
    <t>6910 · Electricity - pumps</t>
  </si>
  <si>
    <t>6915 · Scada phone</t>
  </si>
  <si>
    <t>6920 · Water Tests</t>
  </si>
  <si>
    <t>6921 · Propane for Backup Generators</t>
  </si>
  <si>
    <t>6925 · Chemicals</t>
  </si>
  <si>
    <t>6930 · Genset Operations</t>
  </si>
  <si>
    <t>6940 · System Repairs</t>
  </si>
  <si>
    <t>6950 · System Improvements</t>
  </si>
  <si>
    <t>6960 · Consultants</t>
  </si>
  <si>
    <t>6970 · Memberships &amp; Fees</t>
  </si>
  <si>
    <t>6980 · Training</t>
  </si>
  <si>
    <t>6990 · Utilities  Misc</t>
  </si>
  <si>
    <t>Total 6900 · Utilities Committee</t>
  </si>
  <si>
    <t>7000 · Common Property</t>
  </si>
  <si>
    <t>7050 · Common Property - Payroll</t>
  </si>
  <si>
    <t>7051 · Wages</t>
  </si>
  <si>
    <t>7052 · Payroll Taxes</t>
  </si>
  <si>
    <t>7053 · Payroll Expenses</t>
  </si>
  <si>
    <t>Total 7050 · Common Property - Payroll</t>
  </si>
  <si>
    <t>6520 · Cleanup Day</t>
  </si>
  <si>
    <t>7010 · Beetle Control - Sevin</t>
  </si>
  <si>
    <t>7030 · Weed &amp; Pest Control</t>
  </si>
  <si>
    <t>7041 · Chipper Rental</t>
  </si>
  <si>
    <t>7070 · Signs</t>
  </si>
  <si>
    <t>Total 7000 · Common Property</t>
  </si>
  <si>
    <t>7100 · Equipment Operations</t>
  </si>
  <si>
    <t>7110 · Fuels, Lubricants &amp; Filters</t>
  </si>
  <si>
    <t>7120 · Licenses and Permits</t>
  </si>
  <si>
    <t>7130 · Grader Repairs &amp; Maintenance</t>
  </si>
  <si>
    <t>7140 · Dump Truck Repairs &amp; Maintenanc</t>
  </si>
  <si>
    <t>7160 · Backhoe Repairs &amp; Maintenance</t>
  </si>
  <si>
    <t>7170 · PickUp Repairs &amp; Maintenance</t>
  </si>
  <si>
    <t>7175 · Tractor Repairs &amp; Maintenance</t>
  </si>
  <si>
    <t>7180 · Air Curtain Burner Maintenance</t>
  </si>
  <si>
    <t>Total 7100 · Equipment Operations</t>
  </si>
  <si>
    <t>7200 · Services</t>
  </si>
  <si>
    <t>7210 · Insurance</t>
  </si>
  <si>
    <t>7220 · Bookkeeping &amp; Financial Reports</t>
  </si>
  <si>
    <t>7230 · Dumpsters</t>
  </si>
  <si>
    <t>Total 7200 · Services</t>
  </si>
  <si>
    <t>7300 · Activities</t>
  </si>
  <si>
    <t>7310 · Annual Meeting</t>
  </si>
  <si>
    <t>7330 · Special Events</t>
  </si>
  <si>
    <t>Total 7300 · Activities</t>
  </si>
  <si>
    <t>7400 · Board Operations</t>
  </si>
  <si>
    <t>7410 · Professional Services</t>
  </si>
  <si>
    <t>7420 · Administrative</t>
  </si>
  <si>
    <t>7430 · Discretionary Payments-Bonus</t>
  </si>
  <si>
    <t>7445 · AED Renewal Fees</t>
  </si>
  <si>
    <t>Total 7400 · Board Operations</t>
  </si>
  <si>
    <t>7900 · Dam Committee</t>
  </si>
  <si>
    <t>7915 · Dam Maintenance</t>
  </si>
  <si>
    <t>Total 7900 · Dam Committee</t>
  </si>
  <si>
    <t>7090-Fire Recovery</t>
  </si>
  <si>
    <t>7094-Wages</t>
  </si>
  <si>
    <t>7096-Mud, Muck &amp; Mire</t>
  </si>
  <si>
    <t>Total 7090-Fire Recovery</t>
  </si>
  <si>
    <t>7500-Water Task Force</t>
  </si>
  <si>
    <t>Total Expense</t>
  </si>
  <si>
    <t>Total Net Ordinary Income</t>
  </si>
  <si>
    <t>Operating Fund - Financing</t>
  </si>
  <si>
    <t>Income - Notes or other sources</t>
  </si>
  <si>
    <t>Total Financing Cash In</t>
  </si>
  <si>
    <t>Financing Expenditures</t>
  </si>
  <si>
    <t>Spillway Note Repayments</t>
  </si>
  <si>
    <t>Easement Note Repayments</t>
  </si>
  <si>
    <t>Interest Payments</t>
  </si>
  <si>
    <t>Total Financing Cash Out</t>
  </si>
  <si>
    <t>Net Cash Flow - Financing</t>
  </si>
  <si>
    <t>Total Net Cash Flow - Operating Fund</t>
  </si>
  <si>
    <t>Capital Reserve</t>
  </si>
  <si>
    <t xml:space="preserve">$40,000 of HOA dues </t>
  </si>
  <si>
    <t xml:space="preserve">4250 · Water Fees </t>
  </si>
  <si>
    <t>Total Capital Reserve Cash In</t>
  </si>
  <si>
    <t>Capital Expenditures</t>
  </si>
  <si>
    <t>8001-Pipeline Engineering Study</t>
  </si>
  <si>
    <t>8002-Water Task Force - well drilling</t>
  </si>
  <si>
    <t>8003-Water - tank exterior paint</t>
  </si>
  <si>
    <t>8005-Fire Hydrant replacement</t>
  </si>
  <si>
    <t>8006-Culverts</t>
  </si>
  <si>
    <t>Total Capital Reserve Cash Out</t>
  </si>
  <si>
    <t>Net Cash Flow - Capital Reserve Budget</t>
  </si>
  <si>
    <t>Operating Fund</t>
  </si>
  <si>
    <t>Capital Reserve Fund</t>
  </si>
  <si>
    <t>Grant Fund</t>
  </si>
  <si>
    <t>Total Cash Balances</t>
  </si>
  <si>
    <t>FY 2021 Budget</t>
  </si>
  <si>
    <t>$3,000 on 94 improved lots</t>
  </si>
  <si>
    <t>$2,900 on 6 unimproved lots</t>
  </si>
  <si>
    <t>Culvert estimate in Roads</t>
  </si>
  <si>
    <t>AED Replacements</t>
  </si>
  <si>
    <t>FY 2021 9%</t>
  </si>
  <si>
    <t>FY 2021 7%</t>
  </si>
  <si>
    <t xml:space="preserve">   expansion that's not included here</t>
  </si>
  <si>
    <t>FY 2021 Budget Notes</t>
  </si>
  <si>
    <t>Grant Account</t>
  </si>
  <si>
    <t>Grant Income</t>
  </si>
  <si>
    <t>Grant Expenses - fire mitigation</t>
  </si>
  <si>
    <t>Net Cash Flow - Grant Budget</t>
  </si>
  <si>
    <t>Grant Expenses - chipper</t>
  </si>
  <si>
    <t>Water usage fee estimated at $25/mo</t>
  </si>
  <si>
    <t>Water fees allocated to capital</t>
  </si>
  <si>
    <t>HOA dues allocated to capital</t>
  </si>
  <si>
    <t>Deferred from 2020 per Eb</t>
  </si>
  <si>
    <t>3% increase</t>
  </si>
  <si>
    <t>4355 · Voluntary HomeownerContributions</t>
  </si>
  <si>
    <t xml:space="preserve">Lakeside </t>
  </si>
  <si>
    <t>Healthy Forest</t>
  </si>
  <si>
    <t>General</t>
  </si>
  <si>
    <t>Lot transfer fees &amp; Shed &amp; Dumpster Racquet Club</t>
  </si>
  <si>
    <t>Decrease equal to Capital Reserve net cash flow</t>
  </si>
  <si>
    <t>Budget At End of FY2021</t>
  </si>
  <si>
    <t>For mud/muck committee culvert work</t>
  </si>
  <si>
    <t>Cash - Bank of the San Juans: 
Beginning Balance plus receipts and less expenses equals forecast of ending balance</t>
  </si>
  <si>
    <t>100% of usage &amp; half of base fee</t>
  </si>
  <si>
    <t>Oct 2020 $30k notes due (final $20k due in Oct 2021)</t>
  </si>
  <si>
    <t>Requested add'l $12k in FY 2021 for aeration</t>
  </si>
  <si>
    <t>FY 2021 Estimate</t>
  </si>
  <si>
    <t>$50/mo water base fee</t>
  </si>
  <si>
    <t>Assessments: FY 2021 No change</t>
  </si>
  <si>
    <t>Firewise Accounting</t>
  </si>
  <si>
    <t>Date</t>
  </si>
  <si>
    <t>Amount</t>
  </si>
  <si>
    <t>Expenditures</t>
  </si>
  <si>
    <t>differernce</t>
  </si>
  <si>
    <t>Other Grants</t>
  </si>
  <si>
    <t>difference</t>
  </si>
  <si>
    <t>Conservation Legacy</t>
  </si>
  <si>
    <t>$15 / lot to capital for future repairs</t>
  </si>
  <si>
    <t>FY 2022</t>
  </si>
  <si>
    <t>FY 2022 Budget Notes</t>
  </si>
  <si>
    <t>Calculation based on 8 of 109 lots</t>
  </si>
  <si>
    <t>Updated to 1 of 109 lots</t>
  </si>
  <si>
    <t>Lot transfer fees</t>
  </si>
  <si>
    <t>Remove line</t>
  </si>
  <si>
    <t>increase 2.4%</t>
  </si>
  <si>
    <t>$100 monthly toward Zetor (15 months)</t>
  </si>
  <si>
    <t>Shade &amp; furniture</t>
  </si>
  <si>
    <t>Fish</t>
  </si>
  <si>
    <t>Aeration, sand, bathroom cleaning</t>
  </si>
  <si>
    <t>road base</t>
  </si>
  <si>
    <t>New Provider, State Farm</t>
  </si>
  <si>
    <t>Socials, BBQ, Ranch Holiday events</t>
  </si>
  <si>
    <t>Funds in Capital Budget</t>
  </si>
  <si>
    <t>7285- Tennis/Pickle Ball Court</t>
  </si>
  <si>
    <t>Self-funded with remaining Tennis Club Funds</t>
  </si>
  <si>
    <t>Increase due to more trash/recycle</t>
  </si>
  <si>
    <t>Oct 2021 $20,000 final notes due</t>
  </si>
  <si>
    <t>Meetings, potlucks, printing, porta-potty</t>
  </si>
  <si>
    <t>Forest Management</t>
  </si>
  <si>
    <t>7040  · Forest Management/Security</t>
  </si>
  <si>
    <t>Testing and connecting new well</t>
  </si>
  <si>
    <t>Budget At End of FY2022</t>
  </si>
  <si>
    <t>Deferred from 2021 per Eb</t>
  </si>
  <si>
    <t>Needed this fiscal year</t>
  </si>
  <si>
    <t>Increase reflects expected Grant account net cash flow</t>
  </si>
  <si>
    <t>Decrease is from Oper Fund net cash flow</t>
  </si>
  <si>
    <t>Cash - Bank of the San Juans:</t>
  </si>
  <si>
    <t>Surveyor, maintenance, exterminator, misc.</t>
  </si>
  <si>
    <t>Final interest due</t>
  </si>
  <si>
    <t>3 grants cash to FCR for 3 years</t>
  </si>
  <si>
    <t>4357</t>
  </si>
  <si>
    <t>Visionary</t>
  </si>
  <si>
    <t>Credit for 6 internet lines</t>
  </si>
  <si>
    <t>Tennis Court reserve</t>
  </si>
  <si>
    <t>$3,000 on 95 improved lots (1 paid last year)</t>
  </si>
  <si>
    <t>Rapid response, Misc. down from $1,000</t>
  </si>
  <si>
    <t>Transfer from operating for rebuilt 10 yrs.</t>
  </si>
  <si>
    <t>Amount spent before reinbursement</t>
  </si>
  <si>
    <t>Mowing meadows and misc.</t>
  </si>
  <si>
    <t>Garden</t>
  </si>
  <si>
    <t>Remove Line</t>
  </si>
  <si>
    <t>Needed for chipper repairs/maintenance</t>
  </si>
  <si>
    <t>Decrease due to dumpster purchases</t>
  </si>
  <si>
    <t>Constant Contact, Zoom, printing</t>
  </si>
  <si>
    <t>Funds over $30,000  going to Operating</t>
  </si>
  <si>
    <t>$2,900 on 5 unimproved lots</t>
  </si>
  <si>
    <t xml:space="preserve">Legal, </t>
  </si>
  <si>
    <t>Falls Creek Ranch Association                                          Approved Budget FY2022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</si>
</sst>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00"/>
      <name val="Calibri (Body)"/>
    </font>
    <font>
      <b/>
      <sz val="10"/>
      <color rgb="FFFF0000"/>
      <name val="Calibri"/>
      <family val="2"/>
      <scheme val="minor"/>
    </font>
    <font>
      <sz val="9"/>
      <color theme="1"/>
      <name val="Helvetica"/>
      <family val="2"/>
    </font>
    <font>
      <sz val="10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39" fontId="4" fillId="0" borderId="0"/>
    <xf numFmtId="39" fontId="4" fillId="0" borderId="0"/>
  </cellStyleXfs>
  <cellXfs count="95">
    <xf numFmtId="0" fontId="0" fillId="0" borderId="0" xfId="0"/>
    <xf numFmtId="49" fontId="3" fillId="0" borderId="0" xfId="0" applyNumberFormat="1" applyFont="1" applyAlignment="1">
      <alignment horizontal="center"/>
    </xf>
    <xf numFmtId="49" fontId="4" fillId="0" borderId="4" xfId="0" applyNumberFormat="1" applyFont="1" applyBorder="1" applyAlignment="1">
      <alignment horizontal="centerContinuous"/>
    </xf>
    <xf numFmtId="0" fontId="4" fillId="0" borderId="0" xfId="0" applyFont="1"/>
    <xf numFmtId="0" fontId="5" fillId="0" borderId="0" xfId="0" applyFont="1"/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horizontal="center"/>
    </xf>
    <xf numFmtId="49" fontId="3" fillId="0" borderId="0" xfId="0" applyNumberFormat="1" applyFont="1"/>
    <xf numFmtId="39" fontId="4" fillId="0" borderId="0" xfId="0" applyNumberFormat="1" applyFont="1"/>
    <xf numFmtId="49" fontId="4" fillId="0" borderId="0" xfId="0" applyNumberFormat="1" applyFont="1"/>
    <xf numFmtId="0" fontId="5" fillId="0" borderId="9" xfId="0" applyFont="1" applyBorder="1"/>
    <xf numFmtId="39" fontId="4" fillId="0" borderId="6" xfId="0" applyNumberFormat="1" applyFont="1" applyBorder="1"/>
    <xf numFmtId="0" fontId="5" fillId="0" borderId="10" xfId="0" applyFont="1" applyBorder="1"/>
    <xf numFmtId="0" fontId="5" fillId="0" borderId="11" xfId="0" applyFont="1" applyBorder="1"/>
    <xf numFmtId="39" fontId="4" fillId="0" borderId="2" xfId="0" applyNumberFormat="1" applyFont="1" applyBorder="1"/>
    <xf numFmtId="0" fontId="3" fillId="0" borderId="0" xfId="0" applyFont="1"/>
    <xf numFmtId="49" fontId="3" fillId="0" borderId="12" xfId="0" applyNumberFormat="1" applyFont="1" applyBorder="1"/>
    <xf numFmtId="49" fontId="3" fillId="0" borderId="13" xfId="0" applyNumberFormat="1" applyFont="1" applyBorder="1"/>
    <xf numFmtId="39" fontId="3" fillId="0" borderId="13" xfId="0" applyNumberFormat="1" applyFont="1" applyBorder="1"/>
    <xf numFmtId="39" fontId="3" fillId="0" borderId="14" xfId="0" applyNumberFormat="1" applyFont="1" applyBorder="1"/>
    <xf numFmtId="39" fontId="3" fillId="0" borderId="0" xfId="0" applyNumberFormat="1" applyFont="1"/>
    <xf numFmtId="0" fontId="3" fillId="2" borderId="0" xfId="0" applyFont="1" applyFill="1"/>
    <xf numFmtId="49" fontId="3" fillId="2" borderId="0" xfId="0" applyNumberFormat="1" applyFont="1" applyFill="1"/>
    <xf numFmtId="0" fontId="4" fillId="2" borderId="0" xfId="0" applyFont="1" applyFill="1"/>
    <xf numFmtId="39" fontId="3" fillId="2" borderId="0" xfId="0" applyNumberFormat="1" applyFont="1" applyFill="1"/>
    <xf numFmtId="49" fontId="3" fillId="0" borderId="8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6" fillId="0" borderId="0" xfId="0" applyFont="1"/>
    <xf numFmtId="39" fontId="3" fillId="0" borderId="0" xfId="0" applyNumberFormat="1" applyFont="1" applyBorder="1"/>
    <xf numFmtId="39" fontId="4" fillId="0" borderId="0" xfId="0" applyNumberFormat="1" applyFont="1" applyBorder="1"/>
    <xf numFmtId="39" fontId="4" fillId="0" borderId="0" xfId="0" applyNumberFormat="1" applyFont="1" applyFill="1"/>
    <xf numFmtId="39" fontId="4" fillId="0" borderId="0" xfId="0" quotePrefix="1" applyNumberFormat="1" applyFont="1" applyFill="1"/>
    <xf numFmtId="39" fontId="4" fillId="0" borderId="0" xfId="0" quotePrefix="1" applyNumberFormat="1" applyFont="1"/>
    <xf numFmtId="0" fontId="4" fillId="0" borderId="0" xfId="0" applyFont="1" applyBorder="1"/>
    <xf numFmtId="0" fontId="5" fillId="0" borderId="0" xfId="0" applyFont="1" applyFill="1"/>
    <xf numFmtId="0" fontId="4" fillId="0" borderId="0" xfId="0" applyFont="1" applyFill="1"/>
    <xf numFmtId="39" fontId="3" fillId="0" borderId="0" xfId="0" applyNumberFormat="1" applyFont="1" applyFill="1"/>
    <xf numFmtId="49" fontId="3" fillId="3" borderId="8" xfId="0" applyNumberFormat="1" applyFont="1" applyFill="1" applyBorder="1" applyAlignment="1">
      <alignment horizontal="center"/>
    </xf>
    <xf numFmtId="49" fontId="7" fillId="0" borderId="0" xfId="0" applyNumberFormat="1" applyFont="1" applyAlignment="1">
      <alignment horizontal="centerContinuous"/>
    </xf>
    <xf numFmtId="49" fontId="3" fillId="0" borderId="0" xfId="0" applyNumberFormat="1" applyFont="1" applyBorder="1"/>
    <xf numFmtId="0" fontId="3" fillId="0" borderId="0" xfId="0" applyFont="1" applyBorder="1"/>
    <xf numFmtId="49" fontId="4" fillId="0" borderId="0" xfId="0" applyNumberFormat="1" applyFont="1" applyBorder="1"/>
    <xf numFmtId="164" fontId="4" fillId="0" borderId="0" xfId="1" applyNumberFormat="1" applyFont="1" applyBorder="1" applyAlignment="1">
      <alignment horizontal="center"/>
    </xf>
    <xf numFmtId="0" fontId="3" fillId="0" borderId="13" xfId="0" applyFont="1" applyBorder="1"/>
    <xf numFmtId="39" fontId="3" fillId="0" borderId="2" xfId="0" applyNumberFormat="1" applyFont="1" applyBorder="1"/>
    <xf numFmtId="0" fontId="0" fillId="0" borderId="13" xfId="0" applyBorder="1"/>
    <xf numFmtId="0" fontId="3" fillId="0" borderId="12" xfId="0" applyFont="1" applyBorder="1"/>
    <xf numFmtId="0" fontId="4" fillId="0" borderId="13" xfId="0" applyFont="1" applyBorder="1"/>
    <xf numFmtId="43" fontId="4" fillId="0" borderId="13" xfId="1" applyFont="1" applyBorder="1"/>
    <xf numFmtId="43" fontId="3" fillId="0" borderId="14" xfId="1" applyFont="1" applyBorder="1" applyAlignment="1">
      <alignment horizontal="center" wrapText="1"/>
    </xf>
    <xf numFmtId="17" fontId="4" fillId="0" borderId="0" xfId="0" quotePrefix="1" applyNumberFormat="1" applyFont="1"/>
    <xf numFmtId="164" fontId="4" fillId="0" borderId="0" xfId="1" quotePrefix="1" applyNumberFormat="1" applyFont="1"/>
    <xf numFmtId="9" fontId="4" fillId="0" borderId="0" xfId="0" applyNumberFormat="1" applyFont="1"/>
    <xf numFmtId="0" fontId="8" fillId="0" borderId="0" xfId="0" applyFont="1"/>
    <xf numFmtId="0" fontId="2" fillId="0" borderId="0" xfId="0" applyFont="1"/>
    <xf numFmtId="14" fontId="0" fillId="0" borderId="0" xfId="0" applyNumberFormat="1"/>
    <xf numFmtId="8" fontId="0" fillId="0" borderId="0" xfId="0" applyNumberFormat="1"/>
    <xf numFmtId="4" fontId="4" fillId="0" borderId="0" xfId="0" applyNumberFormat="1" applyFont="1"/>
    <xf numFmtId="4" fontId="5" fillId="0" borderId="0" xfId="0" applyNumberFormat="1" applyFont="1"/>
    <xf numFmtId="4" fontId="4" fillId="0" borderId="0" xfId="0" applyNumberFormat="1" applyFont="1" applyBorder="1"/>
    <xf numFmtId="4" fontId="3" fillId="0" borderId="0" xfId="0" applyNumberFormat="1" applyFont="1"/>
    <xf numFmtId="4" fontId="4" fillId="0" borderId="0" xfId="1" applyNumberFormat="1" applyFont="1"/>
    <xf numFmtId="4" fontId="4" fillId="0" borderId="0" xfId="0" applyNumberFormat="1" applyFont="1" applyFill="1"/>
    <xf numFmtId="4" fontId="4" fillId="4" borderId="12" xfId="0" applyNumberFormat="1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4" fontId="4" fillId="0" borderId="6" xfId="0" applyNumberFormat="1" applyFont="1" applyBorder="1"/>
    <xf numFmtId="9" fontId="4" fillId="0" borderId="0" xfId="0" applyNumberFormat="1" applyFont="1" applyAlignment="1">
      <alignment horizontal="left" vertical="top"/>
    </xf>
    <xf numFmtId="39" fontId="4" fillId="0" borderId="15" xfId="0" applyNumberFormat="1" applyFont="1" applyBorder="1"/>
    <xf numFmtId="4" fontId="5" fillId="0" borderId="6" xfId="0" applyNumberFormat="1" applyFont="1" applyBorder="1"/>
    <xf numFmtId="4" fontId="4" fillId="0" borderId="13" xfId="0" applyNumberFormat="1" applyFont="1" applyBorder="1"/>
    <xf numFmtId="4" fontId="3" fillId="0" borderId="13" xfId="0" applyNumberFormat="1" applyFont="1" applyBorder="1"/>
    <xf numFmtId="6" fontId="4" fillId="0" borderId="0" xfId="0" applyNumberFormat="1" applyFont="1"/>
    <xf numFmtId="0" fontId="3" fillId="0" borderId="16" xfId="0" applyFont="1" applyBorder="1"/>
    <xf numFmtId="0" fontId="4" fillId="0" borderId="16" xfId="0" applyFont="1" applyBorder="1"/>
    <xf numFmtId="0" fontId="0" fillId="0" borderId="12" xfId="0" applyBorder="1"/>
    <xf numFmtId="4" fontId="9" fillId="0" borderId="14" xfId="0" applyNumberFormat="1" applyFont="1" applyBorder="1"/>
    <xf numFmtId="0" fontId="2" fillId="0" borderId="12" xfId="0" applyFont="1" applyBorder="1"/>
    <xf numFmtId="4" fontId="10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49" fontId="12" fillId="0" borderId="0" xfId="0" applyNumberFormat="1" applyFont="1"/>
    <xf numFmtId="3" fontId="13" fillId="0" borderId="0" xfId="0" applyNumberFormat="1" applyFont="1"/>
    <xf numFmtId="49" fontId="14" fillId="0" borderId="0" xfId="0" applyNumberFormat="1" applyFont="1"/>
    <xf numFmtId="0" fontId="14" fillId="0" borderId="0" xfId="0" applyFont="1"/>
    <xf numFmtId="49" fontId="2" fillId="0" borderId="1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vertical="center" wrapText="1"/>
    </xf>
    <xf numFmtId="49" fontId="3" fillId="0" borderId="13" xfId="0" applyNumberFormat="1" applyFont="1" applyBorder="1" applyAlignment="1">
      <alignment vertical="center" wrapText="1"/>
    </xf>
    <xf numFmtId="49" fontId="3" fillId="0" borderId="14" xfId="0" applyNumberFormat="1" applyFont="1" applyBorder="1" applyAlignment="1">
      <alignment vertical="center" wrapText="1"/>
    </xf>
  </cellXfs>
  <cellStyles count="4">
    <cellStyle name="Comma" xfId="1" builtinId="3"/>
    <cellStyle name="Normal" xfId="0" builtinId="0"/>
    <cellStyle name="Style 1" xfId="2" xr:uid="{39DB4C50-605A-464D-B48E-0E5C819F8984}"/>
    <cellStyle name="Style 2" xfId="3" xr:uid="{46D3926E-F1FB-4E4E-9E31-6A0B83150439}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669D4-D985-485E-812E-EE240E9BACF7}">
  <dimension ref="A1:X184"/>
  <sheetViews>
    <sheetView tabSelected="1" zoomScale="162" zoomScaleNormal="162" workbookViewId="0">
      <selection activeCell="B1" sqref="B1:F2"/>
    </sheetView>
  </sheetViews>
  <sheetFormatPr baseColWidth="10" defaultColWidth="9.1640625" defaultRowHeight="14" x14ac:dyDescent="0.2"/>
  <cols>
    <col min="1" max="1" width="5.83203125" style="27" customWidth="1"/>
    <col min="2" max="3" width="3" style="16" customWidth="1"/>
    <col min="4" max="4" width="3.1640625" style="16" customWidth="1"/>
    <col min="5" max="5" width="4.1640625" style="16" customWidth="1"/>
    <col min="6" max="6" width="11" style="16" customWidth="1"/>
    <col min="7" max="7" width="15.33203125" style="3" customWidth="1"/>
    <col min="8" max="8" width="16.5" style="3" customWidth="1"/>
    <col min="9" max="9" width="39.6640625" style="3" customWidth="1"/>
    <col min="10" max="10" width="19" style="58" customWidth="1"/>
    <col min="11" max="11" width="27.33203125" style="3" customWidth="1"/>
    <col min="12" max="12" width="25" style="3" customWidth="1"/>
    <col min="13" max="16384" width="9.1640625" style="3"/>
  </cols>
  <sheetData>
    <row r="1" spans="1:14" ht="17" thickBot="1" x14ac:dyDescent="0.25">
      <c r="A1" s="1"/>
      <c r="B1" s="86" t="s">
        <v>246</v>
      </c>
      <c r="C1" s="87"/>
      <c r="D1" s="87"/>
      <c r="E1" s="87"/>
      <c r="F1" s="88"/>
      <c r="G1" s="2"/>
      <c r="H1" s="39"/>
      <c r="N1" s="54"/>
    </row>
    <row r="2" spans="1:14" s="6" customFormat="1" ht="16" thickTop="1" thickBot="1" x14ac:dyDescent="0.25">
      <c r="A2" s="1"/>
      <c r="B2" s="89"/>
      <c r="C2" s="90"/>
      <c r="D2" s="90"/>
      <c r="E2" s="90"/>
      <c r="F2" s="91"/>
      <c r="G2" s="5"/>
      <c r="H2" s="38" t="s">
        <v>154</v>
      </c>
      <c r="I2" s="38" t="s">
        <v>162</v>
      </c>
      <c r="J2" s="64" t="s">
        <v>197</v>
      </c>
      <c r="K2" s="65" t="s">
        <v>198</v>
      </c>
    </row>
    <row r="3" spans="1:14" x14ac:dyDescent="0.2">
      <c r="A3" s="7">
        <f>A2+1</f>
        <v>1</v>
      </c>
      <c r="B3" s="8" t="s">
        <v>0</v>
      </c>
      <c r="C3" s="8"/>
      <c r="D3" s="8"/>
      <c r="E3" s="8"/>
      <c r="F3" s="8"/>
      <c r="G3" s="10"/>
      <c r="H3" s="9"/>
      <c r="I3" s="9"/>
    </row>
    <row r="4" spans="1:14" x14ac:dyDescent="0.2">
      <c r="A4" s="7">
        <f t="shared" ref="A4:A73" si="0">A3+1</f>
        <v>2</v>
      </c>
      <c r="B4" s="8"/>
      <c r="C4" s="8" t="s">
        <v>1</v>
      </c>
      <c r="D4" s="8"/>
      <c r="E4" s="8"/>
      <c r="F4" s="8"/>
      <c r="G4" s="10"/>
      <c r="H4" s="9"/>
      <c r="I4" s="9"/>
    </row>
    <row r="5" spans="1:14" x14ac:dyDescent="0.2">
      <c r="A5" s="7">
        <f t="shared" si="0"/>
        <v>3</v>
      </c>
      <c r="B5" s="8"/>
      <c r="C5" s="8"/>
      <c r="D5" s="8" t="s">
        <v>2</v>
      </c>
      <c r="E5" s="8"/>
      <c r="F5" s="8"/>
      <c r="G5" s="10"/>
      <c r="H5" s="9"/>
      <c r="I5" s="11" t="s">
        <v>187</v>
      </c>
    </row>
    <row r="6" spans="1:14" x14ac:dyDescent="0.2">
      <c r="A6" s="7">
        <f t="shared" si="0"/>
        <v>4</v>
      </c>
      <c r="B6" s="8"/>
      <c r="C6" s="8"/>
      <c r="D6" s="8"/>
      <c r="E6" s="8" t="s">
        <v>3</v>
      </c>
      <c r="F6" s="8"/>
      <c r="G6" s="10"/>
      <c r="H6" s="9">
        <f>3000*94</f>
        <v>282000</v>
      </c>
      <c r="I6" s="13" t="s">
        <v>155</v>
      </c>
      <c r="J6" s="58">
        <f>3000*95</f>
        <v>285000</v>
      </c>
      <c r="K6" s="3" t="s">
        <v>233</v>
      </c>
    </row>
    <row r="7" spans="1:14" ht="15" thickBot="1" x14ac:dyDescent="0.25">
      <c r="A7" s="7">
        <f t="shared" si="0"/>
        <v>5</v>
      </c>
      <c r="B7" s="8"/>
      <c r="C7" s="8"/>
      <c r="D7" s="8"/>
      <c r="E7" s="8" t="s">
        <v>4</v>
      </c>
      <c r="F7" s="8"/>
      <c r="G7" s="10"/>
      <c r="H7" s="68">
        <f>2900*6</f>
        <v>17400</v>
      </c>
      <c r="I7" s="14" t="s">
        <v>156</v>
      </c>
      <c r="J7" s="58">
        <f>2900*5</f>
        <v>14500</v>
      </c>
      <c r="K7" s="3" t="s">
        <v>244</v>
      </c>
    </row>
    <row r="8" spans="1:14" x14ac:dyDescent="0.2">
      <c r="A8" s="7">
        <f t="shared" si="0"/>
        <v>6</v>
      </c>
      <c r="B8" s="8"/>
      <c r="C8" s="8"/>
      <c r="D8" s="8" t="s">
        <v>5</v>
      </c>
      <c r="E8" s="8"/>
      <c r="F8" s="8"/>
      <c r="G8" s="10"/>
      <c r="H8" s="9">
        <f>ROUND(SUM(H5:H7),5)</f>
        <v>299400</v>
      </c>
      <c r="J8" s="58">
        <f>SUM(J6:J7)</f>
        <v>299500</v>
      </c>
    </row>
    <row r="9" spans="1:14" x14ac:dyDescent="0.2">
      <c r="A9" s="7">
        <f t="shared" si="0"/>
        <v>7</v>
      </c>
      <c r="B9" s="8"/>
      <c r="C9" s="8"/>
      <c r="D9" s="8"/>
      <c r="E9" s="8"/>
      <c r="F9" s="8" t="s">
        <v>7</v>
      </c>
      <c r="G9" s="10"/>
      <c r="H9" s="9">
        <v>-40000</v>
      </c>
      <c r="I9" s="3" t="s">
        <v>170</v>
      </c>
      <c r="J9" s="9">
        <v>-40000</v>
      </c>
      <c r="K9" s="3" t="s">
        <v>170</v>
      </c>
    </row>
    <row r="10" spans="1:14" x14ac:dyDescent="0.2">
      <c r="A10" s="7">
        <f t="shared" si="0"/>
        <v>8</v>
      </c>
      <c r="B10" s="8"/>
      <c r="C10" s="8"/>
      <c r="D10" s="8" t="s">
        <v>8</v>
      </c>
      <c r="E10" s="8"/>
      <c r="F10" s="8"/>
      <c r="G10" s="10"/>
      <c r="H10" s="9">
        <f>25*12*101*2</f>
        <v>60600</v>
      </c>
      <c r="I10" s="3" t="s">
        <v>186</v>
      </c>
      <c r="J10" s="58">
        <f>25*12*101*2</f>
        <v>60600</v>
      </c>
      <c r="K10" s="3" t="s">
        <v>186</v>
      </c>
    </row>
    <row r="11" spans="1:14" x14ac:dyDescent="0.2">
      <c r="A11" s="7">
        <f t="shared" si="0"/>
        <v>9</v>
      </c>
      <c r="B11" s="8"/>
      <c r="C11" s="8"/>
      <c r="D11" s="8" t="s">
        <v>9</v>
      </c>
      <c r="E11" s="8"/>
      <c r="F11" s="8"/>
      <c r="G11" s="10"/>
      <c r="H11" s="9">
        <v>30000</v>
      </c>
      <c r="I11" s="3" t="s">
        <v>168</v>
      </c>
      <c r="J11" s="58">
        <v>30000</v>
      </c>
      <c r="K11" s="3" t="s">
        <v>168</v>
      </c>
    </row>
    <row r="12" spans="1:14" x14ac:dyDescent="0.2">
      <c r="A12" s="7">
        <f t="shared" si="0"/>
        <v>10</v>
      </c>
      <c r="B12" s="8"/>
      <c r="C12" s="8"/>
      <c r="D12" s="8"/>
      <c r="E12" s="8"/>
      <c r="F12" s="8" t="s">
        <v>10</v>
      </c>
      <c r="G12" s="10"/>
      <c r="H12" s="9">
        <f>-H11-(H10/2)</f>
        <v>-60300</v>
      </c>
      <c r="I12" s="3" t="s">
        <v>169</v>
      </c>
      <c r="J12" s="9">
        <f>-J11-(J10/2)</f>
        <v>-60300</v>
      </c>
      <c r="K12" s="3" t="s">
        <v>169</v>
      </c>
    </row>
    <row r="13" spans="1:14" x14ac:dyDescent="0.2">
      <c r="A13" s="7">
        <f t="shared" si="0"/>
        <v>11</v>
      </c>
      <c r="B13" s="8"/>
      <c r="C13" s="8"/>
      <c r="D13" s="8" t="s">
        <v>11</v>
      </c>
      <c r="E13" s="8"/>
      <c r="F13" s="8"/>
      <c r="G13" s="10"/>
      <c r="H13" s="9">
        <v>100</v>
      </c>
      <c r="I13" s="9"/>
      <c r="J13" s="58">
        <v>100</v>
      </c>
      <c r="K13" s="9"/>
    </row>
    <row r="14" spans="1:14" x14ac:dyDescent="0.2">
      <c r="A14" s="7">
        <f t="shared" si="0"/>
        <v>12</v>
      </c>
      <c r="B14" s="8"/>
      <c r="C14" s="8"/>
      <c r="D14" s="8" t="s">
        <v>12</v>
      </c>
      <c r="E14" s="8"/>
      <c r="F14" s="8"/>
      <c r="G14" s="10"/>
      <c r="H14" s="9">
        <v>1</v>
      </c>
      <c r="I14" s="9"/>
      <c r="J14" s="58">
        <v>1</v>
      </c>
      <c r="K14" s="9"/>
    </row>
    <row r="15" spans="1:14" x14ac:dyDescent="0.2">
      <c r="A15" s="7">
        <f t="shared" si="0"/>
        <v>13</v>
      </c>
      <c r="B15" s="8"/>
      <c r="C15" s="8"/>
      <c r="D15" s="8" t="s">
        <v>13</v>
      </c>
      <c r="E15" s="8"/>
      <c r="F15" s="8"/>
      <c r="G15" s="10"/>
      <c r="H15" s="9">
        <v>0</v>
      </c>
      <c r="I15" s="36" t="s">
        <v>177</v>
      </c>
      <c r="J15" s="58">
        <v>0</v>
      </c>
      <c r="K15" s="36" t="s">
        <v>201</v>
      </c>
    </row>
    <row r="16" spans="1:14" x14ac:dyDescent="0.2">
      <c r="A16" s="7">
        <f t="shared" si="0"/>
        <v>14</v>
      </c>
      <c r="B16" s="8"/>
      <c r="C16" s="8"/>
      <c r="D16" s="8" t="s">
        <v>14</v>
      </c>
      <c r="E16" s="8"/>
      <c r="F16" s="8"/>
      <c r="G16" s="10"/>
      <c r="H16" s="9">
        <v>36</v>
      </c>
      <c r="I16" s="31"/>
      <c r="J16" s="58">
        <v>36</v>
      </c>
      <c r="K16" s="31"/>
    </row>
    <row r="17" spans="1:11" x14ac:dyDescent="0.2">
      <c r="A17" s="7">
        <f t="shared" si="0"/>
        <v>15</v>
      </c>
      <c r="B17" s="8"/>
      <c r="C17" s="8"/>
      <c r="D17" s="8" t="s">
        <v>173</v>
      </c>
      <c r="E17" s="8"/>
      <c r="F17" s="8"/>
      <c r="G17" s="10"/>
      <c r="H17" s="9"/>
      <c r="I17" s="35"/>
      <c r="K17" s="3" t="s">
        <v>202</v>
      </c>
    </row>
    <row r="18" spans="1:11" x14ac:dyDescent="0.2">
      <c r="A18" s="7">
        <f t="shared" si="0"/>
        <v>16</v>
      </c>
      <c r="B18" s="8"/>
      <c r="C18" s="8"/>
      <c r="D18" s="8"/>
      <c r="E18" s="8"/>
      <c r="F18" s="8" t="s">
        <v>175</v>
      </c>
      <c r="G18" s="10"/>
      <c r="H18" s="9"/>
      <c r="I18" s="35"/>
      <c r="K18" s="3" t="s">
        <v>202</v>
      </c>
    </row>
    <row r="19" spans="1:11" x14ac:dyDescent="0.2">
      <c r="A19" s="7">
        <f t="shared" si="0"/>
        <v>17</v>
      </c>
      <c r="B19" s="8"/>
      <c r="C19" s="8"/>
      <c r="D19" s="8"/>
      <c r="E19" s="8"/>
      <c r="F19" s="8" t="s">
        <v>174</v>
      </c>
      <c r="G19" s="10"/>
      <c r="H19" s="9"/>
      <c r="I19" s="35"/>
      <c r="K19" s="3" t="s">
        <v>202</v>
      </c>
    </row>
    <row r="20" spans="1:11" x14ac:dyDescent="0.2">
      <c r="A20" s="7">
        <f t="shared" si="0"/>
        <v>18</v>
      </c>
      <c r="B20" s="8"/>
      <c r="C20" s="8"/>
      <c r="D20" s="8"/>
      <c r="E20" s="8"/>
      <c r="F20" s="8" t="s">
        <v>176</v>
      </c>
      <c r="G20" s="10"/>
      <c r="H20" s="9"/>
      <c r="I20" s="35"/>
      <c r="K20" s="3" t="s">
        <v>202</v>
      </c>
    </row>
    <row r="21" spans="1:11" x14ac:dyDescent="0.2">
      <c r="A21" s="7">
        <f t="shared" si="0"/>
        <v>19</v>
      </c>
      <c r="B21" s="8"/>
      <c r="C21" s="8"/>
      <c r="D21" s="82"/>
      <c r="E21" s="82"/>
      <c r="F21" s="84" t="s">
        <v>238</v>
      </c>
      <c r="G21" s="10"/>
      <c r="H21" s="9"/>
      <c r="I21" s="35"/>
      <c r="J21" s="78"/>
      <c r="K21" s="85" t="s">
        <v>239</v>
      </c>
    </row>
    <row r="22" spans="1:11" x14ac:dyDescent="0.2">
      <c r="A22" s="7">
        <f t="shared" si="0"/>
        <v>20</v>
      </c>
      <c r="B22" s="8"/>
      <c r="C22" s="8"/>
      <c r="D22" s="8" t="s">
        <v>229</v>
      </c>
      <c r="E22" s="8"/>
      <c r="F22" s="8" t="s">
        <v>230</v>
      </c>
      <c r="G22" s="10"/>
      <c r="H22" s="9"/>
      <c r="I22" s="35"/>
      <c r="J22" s="58">
        <v>1680</v>
      </c>
      <c r="K22" s="3" t="s">
        <v>231</v>
      </c>
    </row>
    <row r="23" spans="1:11" x14ac:dyDescent="0.2">
      <c r="A23" s="7">
        <f t="shared" si="0"/>
        <v>21</v>
      </c>
      <c r="B23" s="8"/>
      <c r="C23" s="8"/>
      <c r="D23" s="8" t="s">
        <v>15</v>
      </c>
      <c r="E23" s="8"/>
      <c r="F23" s="8"/>
      <c r="G23" s="10"/>
      <c r="H23" s="9">
        <v>0</v>
      </c>
      <c r="I23" s="4"/>
      <c r="J23" s="58">
        <v>0</v>
      </c>
    </row>
    <row r="24" spans="1:11" x14ac:dyDescent="0.2">
      <c r="A24" s="7">
        <f t="shared" si="0"/>
        <v>22</v>
      </c>
      <c r="B24" s="8"/>
      <c r="C24" s="8"/>
      <c r="D24" s="8" t="s">
        <v>16</v>
      </c>
      <c r="E24" s="8"/>
      <c r="F24" s="8"/>
      <c r="G24" s="10"/>
      <c r="H24" s="9">
        <v>3000</v>
      </c>
      <c r="I24" s="3" t="s">
        <v>185</v>
      </c>
      <c r="J24" s="58">
        <v>4418</v>
      </c>
      <c r="K24" s="3" t="s">
        <v>199</v>
      </c>
    </row>
    <row r="25" spans="1:11" ht="15" thickBot="1" x14ac:dyDescent="0.25">
      <c r="A25" s="7">
        <f t="shared" si="0"/>
        <v>23</v>
      </c>
      <c r="B25" s="8"/>
      <c r="C25" s="8"/>
      <c r="D25" s="8" t="s">
        <v>17</v>
      </c>
      <c r="E25" s="8"/>
      <c r="F25" s="8"/>
      <c r="G25" s="10"/>
      <c r="H25" s="12">
        <v>500</v>
      </c>
      <c r="I25" s="3" t="s">
        <v>185</v>
      </c>
      <c r="J25" s="66">
        <v>552</v>
      </c>
      <c r="K25" s="3" t="s">
        <v>200</v>
      </c>
    </row>
    <row r="26" spans="1:11" x14ac:dyDescent="0.2">
      <c r="A26" s="7">
        <f t="shared" si="0"/>
        <v>24</v>
      </c>
      <c r="B26" s="8"/>
      <c r="C26" s="8" t="s">
        <v>18</v>
      </c>
      <c r="D26" s="8"/>
      <c r="E26" s="8"/>
      <c r="F26" s="8"/>
      <c r="G26" s="10"/>
      <c r="H26" s="21">
        <f>ROUND(H4+SUM(H8:H25),5)</f>
        <v>293337</v>
      </c>
      <c r="I26" s="9"/>
      <c r="J26" s="21">
        <f>ROUND(J4+SUM(J8:J25),5)</f>
        <v>296587</v>
      </c>
    </row>
    <row r="27" spans="1:11" x14ac:dyDescent="0.2">
      <c r="A27" s="7">
        <f t="shared" si="0"/>
        <v>25</v>
      </c>
      <c r="B27" s="8"/>
      <c r="C27" s="8" t="s">
        <v>19</v>
      </c>
      <c r="D27" s="8"/>
      <c r="E27" s="8"/>
      <c r="F27" s="8"/>
      <c r="G27" s="10"/>
      <c r="H27" s="9"/>
      <c r="I27" s="9"/>
    </row>
    <row r="28" spans="1:11" x14ac:dyDescent="0.2">
      <c r="A28" s="7">
        <f t="shared" si="0"/>
        <v>26</v>
      </c>
      <c r="B28" s="8"/>
      <c r="C28" s="8"/>
      <c r="D28" s="8" t="s">
        <v>20</v>
      </c>
      <c r="E28" s="8"/>
      <c r="F28" s="8"/>
      <c r="G28" s="10"/>
      <c r="H28" s="9">
        <v>0</v>
      </c>
      <c r="I28" s="9"/>
      <c r="K28" s="3" t="s">
        <v>204</v>
      </c>
    </row>
    <row r="29" spans="1:11" x14ac:dyDescent="0.2">
      <c r="A29" s="7">
        <f t="shared" si="0"/>
        <v>27</v>
      </c>
      <c r="B29" s="8"/>
      <c r="C29" s="8"/>
      <c r="D29" s="8"/>
      <c r="E29" s="8" t="s">
        <v>21</v>
      </c>
      <c r="F29" s="8"/>
      <c r="G29" s="10"/>
      <c r="H29" s="9">
        <v>65210</v>
      </c>
      <c r="I29" s="53" t="s">
        <v>172</v>
      </c>
      <c r="J29" s="59">
        <f>H29*0.024+H29</f>
        <v>66775.039999999994</v>
      </c>
      <c r="K29" s="3" t="s">
        <v>203</v>
      </c>
    </row>
    <row r="30" spans="1:11" x14ac:dyDescent="0.2">
      <c r="A30" s="7">
        <f t="shared" si="0"/>
        <v>28</v>
      </c>
      <c r="B30" s="8"/>
      <c r="C30" s="8"/>
      <c r="D30" s="8"/>
      <c r="E30" s="8" t="s">
        <v>22</v>
      </c>
      <c r="F30" s="8"/>
      <c r="G30" s="10"/>
      <c r="H30" s="9">
        <v>5698.09</v>
      </c>
      <c r="I30" s="53" t="s">
        <v>172</v>
      </c>
      <c r="J30" s="59">
        <f t="shared" ref="J30:J34" si="1">H30*0.024+H30</f>
        <v>5834.8441600000006</v>
      </c>
      <c r="K30" s="3" t="s">
        <v>203</v>
      </c>
    </row>
    <row r="31" spans="1:11" x14ac:dyDescent="0.2">
      <c r="A31" s="7">
        <f t="shared" si="0"/>
        <v>29</v>
      </c>
      <c r="B31" s="8"/>
      <c r="C31" s="8"/>
      <c r="D31" s="8"/>
      <c r="E31" s="8" t="s">
        <v>23</v>
      </c>
      <c r="F31" s="8"/>
      <c r="G31" s="10"/>
      <c r="H31" s="9">
        <v>4431.38</v>
      </c>
      <c r="I31" s="53" t="s">
        <v>172</v>
      </c>
      <c r="J31" s="59">
        <f t="shared" si="1"/>
        <v>4537.7331199999999</v>
      </c>
      <c r="K31" s="3" t="s">
        <v>203</v>
      </c>
    </row>
    <row r="32" spans="1:11" x14ac:dyDescent="0.2">
      <c r="A32" s="7">
        <f t="shared" si="0"/>
        <v>30</v>
      </c>
      <c r="B32" s="8"/>
      <c r="C32" s="8"/>
      <c r="D32" s="8"/>
      <c r="E32" s="8" t="s">
        <v>24</v>
      </c>
      <c r="F32" s="8"/>
      <c r="G32" s="10"/>
      <c r="H32" s="9">
        <v>300</v>
      </c>
      <c r="I32" s="9"/>
      <c r="J32" s="59">
        <v>300</v>
      </c>
    </row>
    <row r="33" spans="1:11" x14ac:dyDescent="0.2">
      <c r="A33" s="7">
        <f t="shared" si="0"/>
        <v>31</v>
      </c>
      <c r="B33" s="8"/>
      <c r="C33" s="8"/>
      <c r="D33" s="8"/>
      <c r="E33" s="8" t="s">
        <v>25</v>
      </c>
      <c r="F33" s="8"/>
      <c r="G33" s="10"/>
      <c r="H33" s="9">
        <v>4431.38</v>
      </c>
      <c r="I33" s="53" t="s">
        <v>172</v>
      </c>
      <c r="J33" s="59">
        <f t="shared" si="1"/>
        <v>4537.7331199999999</v>
      </c>
      <c r="K33" s="3" t="s">
        <v>203</v>
      </c>
    </row>
    <row r="34" spans="1:11" x14ac:dyDescent="0.2">
      <c r="A34" s="7">
        <f t="shared" si="0"/>
        <v>32</v>
      </c>
      <c r="B34" s="8"/>
      <c r="C34" s="8"/>
      <c r="D34" s="8"/>
      <c r="E34" s="8" t="s">
        <v>26</v>
      </c>
      <c r="F34" s="8"/>
      <c r="G34" s="10"/>
      <c r="H34" s="9">
        <v>1060.9000000000001</v>
      </c>
      <c r="I34" s="53" t="s">
        <v>172</v>
      </c>
      <c r="J34" s="59">
        <f t="shared" si="1"/>
        <v>1086.3616000000002</v>
      </c>
      <c r="K34" s="3" t="s">
        <v>203</v>
      </c>
    </row>
    <row r="35" spans="1:11" ht="15" thickBot="1" x14ac:dyDescent="0.25">
      <c r="A35" s="7">
        <f t="shared" si="0"/>
        <v>33</v>
      </c>
      <c r="B35" s="8"/>
      <c r="C35" s="8"/>
      <c r="D35" s="8"/>
      <c r="E35" s="8" t="s">
        <v>27</v>
      </c>
      <c r="F35" s="8"/>
      <c r="G35" s="10"/>
      <c r="H35" s="12">
        <v>500</v>
      </c>
      <c r="I35" s="9"/>
      <c r="J35" s="69">
        <v>500</v>
      </c>
    </row>
    <row r="36" spans="1:11" x14ac:dyDescent="0.2">
      <c r="A36" s="7">
        <f t="shared" si="0"/>
        <v>34</v>
      </c>
      <c r="B36" s="8"/>
      <c r="C36" s="8"/>
      <c r="D36" s="8" t="s">
        <v>28</v>
      </c>
      <c r="E36" s="8"/>
      <c r="F36" s="8"/>
      <c r="G36" s="10"/>
      <c r="H36" s="9">
        <f>SUM(H29:H35)</f>
        <v>81631.75</v>
      </c>
      <c r="I36" s="9"/>
      <c r="J36" s="9">
        <f>ROUND(SUM(J28:J35),5)</f>
        <v>83571.712</v>
      </c>
    </row>
    <row r="37" spans="1:11" x14ac:dyDescent="0.2">
      <c r="A37" s="7">
        <f t="shared" si="0"/>
        <v>35</v>
      </c>
      <c r="B37" s="8"/>
      <c r="C37" s="8"/>
      <c r="D37" s="8" t="s">
        <v>29</v>
      </c>
      <c r="E37" s="8"/>
      <c r="F37" s="8"/>
      <c r="G37" s="10"/>
      <c r="H37" s="9"/>
      <c r="I37" s="9"/>
      <c r="J37" s="9"/>
    </row>
    <row r="38" spans="1:11" ht="15" thickBot="1" x14ac:dyDescent="0.25">
      <c r="A38" s="7">
        <f t="shared" si="0"/>
        <v>36</v>
      </c>
      <c r="B38" s="8"/>
      <c r="C38" s="8"/>
      <c r="D38" s="8"/>
      <c r="E38" s="8" t="s">
        <v>30</v>
      </c>
      <c r="F38" s="8"/>
      <c r="G38" s="10"/>
      <c r="H38" s="12">
        <v>1500</v>
      </c>
      <c r="I38" s="9"/>
      <c r="J38" s="12">
        <v>1500</v>
      </c>
    </row>
    <row r="39" spans="1:11" x14ac:dyDescent="0.2">
      <c r="A39" s="7">
        <f t="shared" si="0"/>
        <v>37</v>
      </c>
      <c r="B39" s="8"/>
      <c r="C39" s="8"/>
      <c r="D39" s="8" t="s">
        <v>31</v>
      </c>
      <c r="E39" s="8"/>
      <c r="F39" s="8"/>
      <c r="G39" s="10"/>
      <c r="H39" s="9">
        <f>H38</f>
        <v>1500</v>
      </c>
      <c r="I39" s="9"/>
      <c r="J39" s="9">
        <f>J38</f>
        <v>1500</v>
      </c>
    </row>
    <row r="40" spans="1:11" x14ac:dyDescent="0.2">
      <c r="A40" s="7">
        <f t="shared" si="0"/>
        <v>38</v>
      </c>
      <c r="B40" s="8"/>
      <c r="C40" s="8"/>
      <c r="D40" s="8" t="s">
        <v>32</v>
      </c>
      <c r="E40" s="8"/>
      <c r="F40" s="8"/>
      <c r="G40" s="10"/>
      <c r="H40" s="9"/>
      <c r="I40" s="9"/>
      <c r="J40" s="9"/>
    </row>
    <row r="41" spans="1:11" x14ac:dyDescent="0.2">
      <c r="A41" s="7">
        <f t="shared" si="0"/>
        <v>39</v>
      </c>
      <c r="B41" s="8"/>
      <c r="C41" s="8"/>
      <c r="D41" s="8"/>
      <c r="E41" s="8" t="s">
        <v>33</v>
      </c>
      <c r="F41" s="8"/>
      <c r="G41" s="10"/>
      <c r="H41" s="9">
        <v>850</v>
      </c>
      <c r="I41" s="9"/>
      <c r="J41" s="9">
        <v>850</v>
      </c>
    </row>
    <row r="42" spans="1:11" x14ac:dyDescent="0.2">
      <c r="A42" s="7">
        <f t="shared" si="0"/>
        <v>40</v>
      </c>
      <c r="B42" s="8"/>
      <c r="C42" s="8"/>
      <c r="D42" s="8"/>
      <c r="E42" s="8" t="s">
        <v>34</v>
      </c>
      <c r="F42" s="8"/>
      <c r="G42" s="10"/>
      <c r="H42" s="9">
        <f>145+480</f>
        <v>625</v>
      </c>
      <c r="I42" s="9"/>
      <c r="J42" s="9">
        <v>660</v>
      </c>
    </row>
    <row r="43" spans="1:11" x14ac:dyDescent="0.2">
      <c r="A43" s="7">
        <f t="shared" si="0"/>
        <v>41</v>
      </c>
      <c r="B43" s="8"/>
      <c r="C43" s="8"/>
      <c r="D43" s="8"/>
      <c r="E43" s="8" t="s">
        <v>35</v>
      </c>
      <c r="F43" s="8"/>
      <c r="G43" s="10"/>
      <c r="H43" s="9">
        <v>500</v>
      </c>
      <c r="I43" s="9"/>
      <c r="J43" s="9">
        <v>500</v>
      </c>
    </row>
    <row r="44" spans="1:11" x14ac:dyDescent="0.2">
      <c r="A44" s="7">
        <f t="shared" si="0"/>
        <v>42</v>
      </c>
      <c r="B44" s="8"/>
      <c r="C44" s="8"/>
      <c r="D44" s="8"/>
      <c r="E44" s="8" t="s">
        <v>36</v>
      </c>
      <c r="F44" s="8"/>
      <c r="G44" s="10"/>
      <c r="H44" s="9">
        <v>700</v>
      </c>
      <c r="I44" s="9"/>
      <c r="J44" s="9">
        <v>700</v>
      </c>
    </row>
    <row r="45" spans="1:11" ht="15" thickBot="1" x14ac:dyDescent="0.25">
      <c r="A45" s="7">
        <f t="shared" si="0"/>
        <v>43</v>
      </c>
      <c r="B45" s="8"/>
      <c r="C45" s="8"/>
      <c r="D45" s="8"/>
      <c r="E45" s="8" t="s">
        <v>37</v>
      </c>
      <c r="F45" s="8"/>
      <c r="G45" s="10"/>
      <c r="H45" s="12">
        <v>200</v>
      </c>
      <c r="I45" s="9"/>
      <c r="J45" s="12">
        <v>200</v>
      </c>
    </row>
    <row r="46" spans="1:11" x14ac:dyDescent="0.2">
      <c r="A46" s="7">
        <f t="shared" si="0"/>
        <v>44</v>
      </c>
      <c r="B46" s="8"/>
      <c r="C46" s="8"/>
      <c r="D46" s="8" t="s">
        <v>38</v>
      </c>
      <c r="E46" s="8"/>
      <c r="F46" s="8"/>
      <c r="G46" s="10"/>
      <c r="H46" s="9">
        <f>ROUND(SUM(H40:H45),5)</f>
        <v>2875</v>
      </c>
      <c r="I46" s="9"/>
      <c r="J46" s="9">
        <f>ROUND(SUM(J40:J45),5)</f>
        <v>2910</v>
      </c>
    </row>
    <row r="47" spans="1:11" x14ac:dyDescent="0.2">
      <c r="A47" s="7">
        <f t="shared" si="0"/>
        <v>45</v>
      </c>
      <c r="B47" s="8"/>
      <c r="C47" s="8"/>
      <c r="D47" s="8" t="s">
        <v>39</v>
      </c>
      <c r="E47" s="8"/>
      <c r="F47" s="8"/>
      <c r="G47" s="10"/>
      <c r="H47" s="9"/>
      <c r="I47" s="9"/>
      <c r="J47" s="9"/>
    </row>
    <row r="48" spans="1:11" ht="15" thickBot="1" x14ac:dyDescent="0.25">
      <c r="A48" s="7">
        <f t="shared" si="0"/>
        <v>46</v>
      </c>
      <c r="B48" s="8"/>
      <c r="C48" s="8"/>
      <c r="D48" s="8"/>
      <c r="E48" s="8" t="s">
        <v>40</v>
      </c>
      <c r="F48" s="8"/>
      <c r="G48" s="10"/>
      <c r="H48" s="12">
        <v>300</v>
      </c>
      <c r="I48" s="9"/>
      <c r="J48" s="12">
        <v>300</v>
      </c>
    </row>
    <row r="49" spans="1:11" x14ac:dyDescent="0.2">
      <c r="A49" s="7">
        <f t="shared" si="0"/>
        <v>47</v>
      </c>
      <c r="B49" s="8"/>
      <c r="C49" s="8"/>
      <c r="D49" s="8" t="s">
        <v>41</v>
      </c>
      <c r="E49" s="8"/>
      <c r="F49" s="8"/>
      <c r="G49" s="10"/>
      <c r="H49" s="9">
        <f>ROUND(SUM(H47:H48),5)</f>
        <v>300</v>
      </c>
      <c r="I49" s="9"/>
      <c r="J49" s="9">
        <f>ROUND(SUM(J47:J48),5)</f>
        <v>300</v>
      </c>
    </row>
    <row r="50" spans="1:11" x14ac:dyDescent="0.2">
      <c r="A50" s="7">
        <f t="shared" si="0"/>
        <v>48</v>
      </c>
      <c r="B50" s="8"/>
      <c r="C50" s="8"/>
      <c r="D50" s="8" t="s">
        <v>42</v>
      </c>
      <c r="E50" s="8"/>
      <c r="F50" s="8"/>
      <c r="G50" s="10"/>
      <c r="H50" s="9"/>
      <c r="I50" s="9"/>
    </row>
    <row r="51" spans="1:11" s="34" customFormat="1" x14ac:dyDescent="0.2">
      <c r="A51" s="43">
        <f t="shared" si="0"/>
        <v>49</v>
      </c>
      <c r="B51" s="40"/>
      <c r="C51" s="40"/>
      <c r="D51" s="40"/>
      <c r="E51" s="41" t="s">
        <v>43</v>
      </c>
      <c r="F51" s="40"/>
      <c r="G51" s="42"/>
      <c r="H51" s="30"/>
      <c r="I51" s="30"/>
      <c r="J51" s="60"/>
    </row>
    <row r="52" spans="1:11" x14ac:dyDescent="0.2">
      <c r="A52" s="7">
        <f t="shared" si="0"/>
        <v>50</v>
      </c>
      <c r="B52" s="8"/>
      <c r="C52" s="8"/>
      <c r="D52" s="8"/>
      <c r="E52" s="8"/>
      <c r="F52" s="8" t="s">
        <v>44</v>
      </c>
      <c r="G52" s="10"/>
      <c r="H52" s="9">
        <v>0</v>
      </c>
      <c r="I52" s="9"/>
    </row>
    <row r="53" spans="1:11" x14ac:dyDescent="0.2">
      <c r="A53" s="7">
        <f t="shared" si="0"/>
        <v>51</v>
      </c>
      <c r="B53" s="8"/>
      <c r="C53" s="8"/>
      <c r="D53" s="8"/>
      <c r="E53" s="8"/>
      <c r="F53" s="8" t="s">
        <v>45</v>
      </c>
      <c r="G53" s="10"/>
      <c r="H53" s="9">
        <v>0</v>
      </c>
      <c r="I53" s="32"/>
    </row>
    <row r="54" spans="1:11" x14ac:dyDescent="0.2">
      <c r="A54" s="7">
        <f t="shared" si="0"/>
        <v>52</v>
      </c>
      <c r="B54" s="8"/>
      <c r="C54" s="8"/>
      <c r="D54" s="8"/>
      <c r="E54" s="8"/>
      <c r="F54" s="8" t="s">
        <v>46</v>
      </c>
      <c r="G54" s="10"/>
      <c r="H54" s="9">
        <v>0</v>
      </c>
      <c r="I54" s="33"/>
    </row>
    <row r="55" spans="1:11" x14ac:dyDescent="0.2">
      <c r="A55" s="7">
        <f t="shared" si="0"/>
        <v>53</v>
      </c>
      <c r="B55" s="8"/>
      <c r="C55" s="8"/>
      <c r="D55" s="8"/>
      <c r="E55" s="8" t="s">
        <v>47</v>
      </c>
      <c r="F55" s="8"/>
      <c r="G55" s="10"/>
      <c r="H55" s="9">
        <v>4500</v>
      </c>
      <c r="I55" s="9"/>
      <c r="J55" s="58">
        <v>4500</v>
      </c>
      <c r="K55" s="3" t="s">
        <v>205</v>
      </c>
    </row>
    <row r="56" spans="1:11" x14ac:dyDescent="0.2">
      <c r="A56" s="7"/>
      <c r="B56" s="8"/>
      <c r="C56" s="8"/>
      <c r="D56" s="8"/>
      <c r="E56" s="8"/>
      <c r="F56" s="8" t="s">
        <v>206</v>
      </c>
      <c r="G56" s="10"/>
      <c r="H56" s="9"/>
      <c r="I56" s="9"/>
      <c r="J56" s="58">
        <v>4000</v>
      </c>
    </row>
    <row r="57" spans="1:11" x14ac:dyDescent="0.2">
      <c r="A57" s="7">
        <f>A55+1</f>
        <v>54</v>
      </c>
      <c r="B57" s="8"/>
      <c r="C57" s="8"/>
      <c r="D57" s="8"/>
      <c r="E57" s="8" t="s">
        <v>48</v>
      </c>
      <c r="F57" s="8"/>
      <c r="G57" s="10"/>
      <c r="H57" s="9">
        <v>500</v>
      </c>
      <c r="I57" s="9"/>
      <c r="J57" s="58">
        <v>500</v>
      </c>
      <c r="K57" s="80"/>
    </row>
    <row r="58" spans="1:11" ht="15" thickBot="1" x14ac:dyDescent="0.25">
      <c r="A58" s="7">
        <f t="shared" si="0"/>
        <v>55</v>
      </c>
      <c r="B58" s="8"/>
      <c r="C58" s="8"/>
      <c r="D58" s="8"/>
      <c r="E58" s="8" t="s">
        <v>49</v>
      </c>
      <c r="F58" s="8"/>
      <c r="G58" s="10"/>
      <c r="H58" s="12">
        <v>13400</v>
      </c>
      <c r="I58" s="3" t="s">
        <v>184</v>
      </c>
      <c r="J58" s="66">
        <f>4700+1500</f>
        <v>6200</v>
      </c>
      <c r="K58" s="3" t="s">
        <v>207</v>
      </c>
    </row>
    <row r="59" spans="1:11" x14ac:dyDescent="0.2">
      <c r="A59" s="7">
        <f t="shared" si="0"/>
        <v>56</v>
      </c>
      <c r="B59" s="8"/>
      <c r="C59" s="8"/>
      <c r="D59" s="8" t="s">
        <v>50</v>
      </c>
      <c r="E59" s="8"/>
      <c r="F59" s="8"/>
      <c r="G59" s="10"/>
      <c r="H59" s="9">
        <f>ROUND(SUM(H50:H58),5)</f>
        <v>18400</v>
      </c>
      <c r="I59" s="9" t="s">
        <v>161</v>
      </c>
      <c r="J59" s="9">
        <f>ROUND(SUM(J50:J58),5)</f>
        <v>15200</v>
      </c>
    </row>
    <row r="60" spans="1:11" x14ac:dyDescent="0.2">
      <c r="A60" s="7">
        <f t="shared" si="0"/>
        <v>57</v>
      </c>
      <c r="B60" s="8"/>
      <c r="C60" s="8"/>
      <c r="D60" s="8" t="s">
        <v>51</v>
      </c>
      <c r="E60" s="8"/>
      <c r="F60" s="8"/>
      <c r="G60" s="10"/>
      <c r="H60" s="9"/>
      <c r="I60" s="9"/>
    </row>
    <row r="61" spans="1:11" x14ac:dyDescent="0.2">
      <c r="A61" s="7">
        <f t="shared" si="0"/>
        <v>58</v>
      </c>
      <c r="B61" s="8"/>
      <c r="C61" s="8"/>
      <c r="D61" s="8"/>
      <c r="E61" s="8" t="s">
        <v>52</v>
      </c>
      <c r="F61" s="3"/>
      <c r="G61" s="10"/>
      <c r="H61" s="9"/>
      <c r="I61" s="9"/>
    </row>
    <row r="62" spans="1:11" x14ac:dyDescent="0.2">
      <c r="A62" s="7">
        <f t="shared" si="0"/>
        <v>59</v>
      </c>
      <c r="B62" s="8"/>
      <c r="C62" s="8"/>
      <c r="D62" s="8"/>
      <c r="E62" s="3"/>
      <c r="F62" s="8" t="s">
        <v>53</v>
      </c>
      <c r="G62" s="10"/>
      <c r="H62" s="9">
        <v>2000</v>
      </c>
      <c r="I62" s="9"/>
      <c r="J62" s="58">
        <v>500</v>
      </c>
    </row>
    <row r="63" spans="1:11" x14ac:dyDescent="0.2">
      <c r="A63" s="7">
        <f t="shared" si="0"/>
        <v>60</v>
      </c>
      <c r="B63" s="8"/>
      <c r="C63" s="8"/>
      <c r="D63" s="8"/>
      <c r="E63" s="8"/>
      <c r="F63" s="8" t="s">
        <v>54</v>
      </c>
      <c r="G63" s="10"/>
      <c r="H63" s="9">
        <f>H62*0.09</f>
        <v>180</v>
      </c>
      <c r="I63" s="32" t="s">
        <v>159</v>
      </c>
      <c r="J63" s="58">
        <f>J62*0.09</f>
        <v>45</v>
      </c>
      <c r="K63" s="67">
        <v>0.09</v>
      </c>
    </row>
    <row r="64" spans="1:11" x14ac:dyDescent="0.2">
      <c r="A64" s="7">
        <f t="shared" si="0"/>
        <v>61</v>
      </c>
      <c r="B64" s="8"/>
      <c r="C64" s="8"/>
      <c r="D64" s="8"/>
      <c r="E64" s="8"/>
      <c r="F64" s="8" t="s">
        <v>55</v>
      </c>
      <c r="G64" s="10"/>
      <c r="H64" s="9">
        <f>H62*0.07</f>
        <v>140</v>
      </c>
      <c r="I64" s="33" t="s">
        <v>160</v>
      </c>
      <c r="J64" s="58">
        <f>J62*0.07</f>
        <v>35</v>
      </c>
      <c r="K64" s="67">
        <v>7.0000000000000007E-2</v>
      </c>
    </row>
    <row r="65" spans="1:11" x14ac:dyDescent="0.2">
      <c r="A65" s="7">
        <f t="shared" si="0"/>
        <v>62</v>
      </c>
      <c r="B65" s="8"/>
      <c r="C65" s="8"/>
      <c r="D65" s="8"/>
      <c r="E65" s="8" t="s">
        <v>56</v>
      </c>
      <c r="F65" s="8"/>
      <c r="G65" s="10"/>
      <c r="H65" s="9">
        <v>20000</v>
      </c>
      <c r="I65" s="9"/>
      <c r="J65" s="58">
        <v>18900</v>
      </c>
      <c r="K65" s="3" t="s">
        <v>208</v>
      </c>
    </row>
    <row r="66" spans="1:11" x14ac:dyDescent="0.2">
      <c r="A66" s="7">
        <f t="shared" si="0"/>
        <v>63</v>
      </c>
      <c r="B66" s="8"/>
      <c r="C66" s="8"/>
      <c r="D66" s="8"/>
      <c r="E66" s="8" t="s">
        <v>57</v>
      </c>
      <c r="F66" s="8"/>
      <c r="G66" s="10"/>
      <c r="H66" s="9">
        <v>12000</v>
      </c>
      <c r="I66" s="9"/>
      <c r="J66" s="58">
        <v>17000</v>
      </c>
      <c r="K66" s="79"/>
    </row>
    <row r="67" spans="1:11" x14ac:dyDescent="0.2">
      <c r="A67" s="7">
        <f t="shared" si="0"/>
        <v>64</v>
      </c>
      <c r="B67" s="8"/>
      <c r="C67" s="8"/>
      <c r="D67" s="8"/>
      <c r="E67" s="8" t="s">
        <v>58</v>
      </c>
      <c r="F67" s="8"/>
      <c r="G67" s="10"/>
      <c r="H67" s="9">
        <v>3000</v>
      </c>
      <c r="I67" s="9" t="s">
        <v>180</v>
      </c>
      <c r="J67" s="58">
        <v>3000</v>
      </c>
      <c r="K67" s="9" t="s">
        <v>180</v>
      </c>
    </row>
    <row r="68" spans="1:11" x14ac:dyDescent="0.2">
      <c r="A68" s="7">
        <f t="shared" si="0"/>
        <v>65</v>
      </c>
      <c r="B68" s="8"/>
      <c r="C68" s="8"/>
      <c r="D68" s="8"/>
      <c r="E68" s="8" t="s">
        <v>59</v>
      </c>
      <c r="F68" s="8"/>
      <c r="G68" s="10"/>
      <c r="H68" s="9">
        <v>5000</v>
      </c>
      <c r="I68" s="9"/>
      <c r="J68" s="58">
        <v>1500</v>
      </c>
    </row>
    <row r="69" spans="1:11" x14ac:dyDescent="0.2">
      <c r="A69" s="7">
        <f t="shared" si="0"/>
        <v>66</v>
      </c>
      <c r="B69" s="8"/>
      <c r="C69" s="8"/>
      <c r="D69" s="8"/>
      <c r="E69" s="8" t="s">
        <v>60</v>
      </c>
      <c r="F69" s="8"/>
      <c r="G69" s="10"/>
      <c r="H69" s="9">
        <v>10000</v>
      </c>
      <c r="I69" s="9"/>
      <c r="J69" s="58">
        <v>7500</v>
      </c>
    </row>
    <row r="70" spans="1:11" ht="15" thickBot="1" x14ac:dyDescent="0.25">
      <c r="A70" s="7">
        <f>A69+1</f>
        <v>67</v>
      </c>
      <c r="B70" s="8"/>
      <c r="C70" s="8"/>
      <c r="D70" s="8"/>
      <c r="E70" s="8" t="s">
        <v>61</v>
      </c>
      <c r="F70" s="8"/>
      <c r="G70" s="10"/>
      <c r="H70" s="12">
        <v>0</v>
      </c>
      <c r="I70" s="9"/>
      <c r="J70" s="66">
        <v>500</v>
      </c>
    </row>
    <row r="71" spans="1:11" x14ac:dyDescent="0.2">
      <c r="A71" s="7">
        <f>A70+1</f>
        <v>68</v>
      </c>
      <c r="B71" s="8"/>
      <c r="C71" s="8"/>
      <c r="D71" s="8" t="s">
        <v>62</v>
      </c>
      <c r="E71" s="8"/>
      <c r="F71" s="8"/>
      <c r="G71" s="10"/>
      <c r="H71" s="9">
        <f>ROUND(SUM(H60:H70),5)</f>
        <v>52320</v>
      </c>
      <c r="I71" s="4" t="s">
        <v>6</v>
      </c>
      <c r="J71" s="9">
        <f>ROUND(SUM(J60:J70),5)</f>
        <v>48980</v>
      </c>
    </row>
    <row r="72" spans="1:11" x14ac:dyDescent="0.2">
      <c r="A72" s="7">
        <f t="shared" si="0"/>
        <v>69</v>
      </c>
      <c r="B72" s="8"/>
      <c r="C72" s="8"/>
      <c r="D72" s="8" t="s">
        <v>63</v>
      </c>
      <c r="E72" s="8"/>
      <c r="F72" s="8"/>
      <c r="G72" s="10"/>
      <c r="H72" s="9"/>
      <c r="I72" s="9"/>
    </row>
    <row r="73" spans="1:11" x14ac:dyDescent="0.2">
      <c r="A73" s="7">
        <f t="shared" si="0"/>
        <v>70</v>
      </c>
      <c r="B73" s="8"/>
      <c r="C73" s="8"/>
      <c r="D73" s="8"/>
      <c r="E73" s="8" t="s">
        <v>64</v>
      </c>
      <c r="F73" s="8"/>
      <c r="G73" s="10"/>
      <c r="H73" s="9">
        <v>1000</v>
      </c>
      <c r="I73" s="8"/>
      <c r="J73" s="58">
        <v>500</v>
      </c>
      <c r="K73" s="3" t="s">
        <v>234</v>
      </c>
    </row>
    <row r="74" spans="1:11" ht="15" thickBot="1" x14ac:dyDescent="0.25">
      <c r="A74" s="7">
        <f t="shared" ref="A74:A137" si="2">A73+1</f>
        <v>71</v>
      </c>
      <c r="B74" s="8"/>
      <c r="C74" s="8"/>
      <c r="D74" s="8"/>
      <c r="E74" s="8" t="s">
        <v>65</v>
      </c>
      <c r="F74" s="8"/>
      <c r="G74" s="10"/>
      <c r="H74" s="12"/>
      <c r="I74" s="8"/>
      <c r="J74" s="66">
        <v>500</v>
      </c>
      <c r="K74" s="3" t="s">
        <v>216</v>
      </c>
    </row>
    <row r="75" spans="1:11" x14ac:dyDescent="0.2">
      <c r="A75" s="7">
        <f t="shared" si="2"/>
        <v>72</v>
      </c>
      <c r="B75" s="8"/>
      <c r="C75" s="8"/>
      <c r="D75" s="8" t="s">
        <v>66</v>
      </c>
      <c r="E75" s="8"/>
      <c r="F75" s="8"/>
      <c r="G75" s="10"/>
      <c r="H75" s="9">
        <f>H73</f>
        <v>1000</v>
      </c>
      <c r="J75" s="58">
        <f>SUM(J73:J74)</f>
        <v>1000</v>
      </c>
    </row>
    <row r="76" spans="1:11" x14ac:dyDescent="0.2">
      <c r="A76" s="7">
        <f t="shared" si="2"/>
        <v>73</v>
      </c>
      <c r="B76" s="8"/>
      <c r="C76" s="8"/>
      <c r="D76" s="8" t="s">
        <v>67</v>
      </c>
      <c r="E76" s="8"/>
      <c r="F76" s="8"/>
      <c r="G76" s="10"/>
      <c r="H76" s="9"/>
      <c r="I76" s="9"/>
    </row>
    <row r="77" spans="1:11" x14ac:dyDescent="0.2">
      <c r="A77" s="7">
        <f t="shared" si="2"/>
        <v>74</v>
      </c>
      <c r="B77" s="8"/>
      <c r="C77" s="8"/>
      <c r="D77" s="8"/>
      <c r="E77" s="8" t="s">
        <v>68</v>
      </c>
      <c r="F77" s="8"/>
      <c r="G77" s="10"/>
      <c r="H77" s="9">
        <v>3000</v>
      </c>
      <c r="I77" s="9"/>
      <c r="J77" s="9">
        <f>260*12</f>
        <v>3120</v>
      </c>
    </row>
    <row r="78" spans="1:11" x14ac:dyDescent="0.2">
      <c r="A78" s="7">
        <f t="shared" si="2"/>
        <v>75</v>
      </c>
      <c r="B78" s="8"/>
      <c r="C78" s="8"/>
      <c r="D78" s="8"/>
      <c r="E78" s="8" t="s">
        <v>69</v>
      </c>
      <c r="F78" s="8"/>
      <c r="G78" s="10"/>
      <c r="H78" s="9">
        <v>1900</v>
      </c>
      <c r="I78" s="9"/>
      <c r="J78" s="9">
        <f>146.92*12</f>
        <v>1763.04</v>
      </c>
    </row>
    <row r="79" spans="1:11" x14ac:dyDescent="0.2">
      <c r="A79" s="7">
        <f t="shared" si="2"/>
        <v>76</v>
      </c>
      <c r="B79" s="8"/>
      <c r="C79" s="8"/>
      <c r="D79" s="8"/>
      <c r="E79" s="8" t="s">
        <v>70</v>
      </c>
      <c r="F79" s="8"/>
      <c r="G79" s="10"/>
      <c r="H79" s="9">
        <v>7600</v>
      </c>
      <c r="I79" s="9"/>
      <c r="J79" s="9">
        <v>7500</v>
      </c>
    </row>
    <row r="80" spans="1:11" x14ac:dyDescent="0.2">
      <c r="A80" s="7">
        <f t="shared" si="2"/>
        <v>77</v>
      </c>
      <c r="B80" s="8"/>
      <c r="C80" s="8"/>
      <c r="D80" s="8"/>
      <c r="E80" s="8" t="s">
        <v>71</v>
      </c>
      <c r="F80" s="8"/>
      <c r="G80" s="10"/>
      <c r="H80" s="9">
        <v>150</v>
      </c>
      <c r="I80" s="9"/>
      <c r="J80" s="9">
        <v>150</v>
      </c>
    </row>
    <row r="81" spans="1:11" x14ac:dyDescent="0.2">
      <c r="A81" s="7">
        <f t="shared" si="2"/>
        <v>78</v>
      </c>
      <c r="B81" s="8"/>
      <c r="C81" s="8"/>
      <c r="D81" s="8"/>
      <c r="E81" s="8" t="s">
        <v>72</v>
      </c>
      <c r="F81" s="8"/>
      <c r="G81" s="10"/>
      <c r="H81" s="9">
        <v>250</v>
      </c>
      <c r="I81" s="9"/>
      <c r="J81" s="9">
        <v>200</v>
      </c>
    </row>
    <row r="82" spans="1:11" x14ac:dyDescent="0.2">
      <c r="A82" s="7">
        <f t="shared" si="2"/>
        <v>79</v>
      </c>
      <c r="B82" s="8"/>
      <c r="C82" s="8"/>
      <c r="D82" s="8"/>
      <c r="E82" s="8" t="s">
        <v>73</v>
      </c>
      <c r="F82" s="8"/>
      <c r="G82" s="10"/>
      <c r="H82" s="9">
        <v>700</v>
      </c>
      <c r="I82" s="9"/>
      <c r="J82" s="9">
        <v>700</v>
      </c>
    </row>
    <row r="83" spans="1:11" x14ac:dyDescent="0.2">
      <c r="A83" s="7">
        <f t="shared" si="2"/>
        <v>80</v>
      </c>
      <c r="B83" s="8"/>
      <c r="C83" s="8"/>
      <c r="D83" s="8"/>
      <c r="E83" s="8" t="s">
        <v>74</v>
      </c>
      <c r="F83" s="8"/>
      <c r="G83" s="10"/>
      <c r="H83" s="9">
        <v>6500</v>
      </c>
      <c r="I83" s="9"/>
      <c r="J83" s="9">
        <v>6500</v>
      </c>
    </row>
    <row r="84" spans="1:11" x14ac:dyDescent="0.2">
      <c r="A84" s="7">
        <f t="shared" si="2"/>
        <v>81</v>
      </c>
      <c r="B84" s="8"/>
      <c r="C84" s="8"/>
      <c r="D84" s="8"/>
      <c r="E84" s="8" t="s">
        <v>75</v>
      </c>
      <c r="F84" s="8"/>
      <c r="G84" s="10"/>
      <c r="H84" s="9">
        <v>150</v>
      </c>
      <c r="I84" s="9"/>
      <c r="J84" s="9">
        <v>150</v>
      </c>
    </row>
    <row r="85" spans="1:11" x14ac:dyDescent="0.2">
      <c r="A85" s="7">
        <f t="shared" si="2"/>
        <v>82</v>
      </c>
      <c r="B85" s="8"/>
      <c r="C85" s="8"/>
      <c r="D85" s="8"/>
      <c r="E85" s="8" t="s">
        <v>76</v>
      </c>
      <c r="F85" s="8"/>
      <c r="G85" s="10"/>
      <c r="H85" s="9">
        <v>0</v>
      </c>
      <c r="I85" s="9"/>
      <c r="J85" s="9">
        <v>0</v>
      </c>
    </row>
    <row r="86" spans="1:11" x14ac:dyDescent="0.2">
      <c r="A86" s="7">
        <f t="shared" si="2"/>
        <v>83</v>
      </c>
      <c r="B86" s="8"/>
      <c r="C86" s="8"/>
      <c r="D86" s="8"/>
      <c r="E86" s="8" t="s">
        <v>77</v>
      </c>
      <c r="F86" s="8"/>
      <c r="G86" s="10"/>
      <c r="H86" s="9">
        <v>4500</v>
      </c>
      <c r="I86" s="9"/>
      <c r="J86" s="9">
        <v>5000</v>
      </c>
    </row>
    <row r="87" spans="1:11" x14ac:dyDescent="0.2">
      <c r="A87" s="7">
        <f t="shared" si="2"/>
        <v>84</v>
      </c>
      <c r="B87" s="8"/>
      <c r="C87" s="8"/>
      <c r="D87" s="8"/>
      <c r="E87" s="8" t="s">
        <v>78</v>
      </c>
      <c r="F87" s="8"/>
      <c r="G87" s="10"/>
      <c r="H87" s="9">
        <v>700</v>
      </c>
      <c r="I87" s="9"/>
      <c r="J87" s="9">
        <v>500</v>
      </c>
    </row>
    <row r="88" spans="1:11" ht="15" thickBot="1" x14ac:dyDescent="0.25">
      <c r="A88" s="7">
        <f t="shared" si="2"/>
        <v>85</v>
      </c>
      <c r="B88" s="8"/>
      <c r="C88" s="8"/>
      <c r="D88" s="8"/>
      <c r="E88" s="8" t="s">
        <v>79</v>
      </c>
      <c r="F88" s="8"/>
      <c r="G88" s="10"/>
      <c r="H88" s="12">
        <v>0</v>
      </c>
      <c r="I88" s="9"/>
      <c r="J88" s="12">
        <v>0</v>
      </c>
    </row>
    <row r="89" spans="1:11" x14ac:dyDescent="0.2">
      <c r="A89" s="7">
        <f t="shared" si="2"/>
        <v>86</v>
      </c>
      <c r="B89" s="8"/>
      <c r="C89" s="8"/>
      <c r="D89" s="8" t="s">
        <v>80</v>
      </c>
      <c r="E89" s="8"/>
      <c r="F89" s="8"/>
      <c r="G89" s="10"/>
      <c r="H89" s="9">
        <f>ROUND(SUM(H76:H88),5)</f>
        <v>25450</v>
      </c>
      <c r="I89" s="9"/>
      <c r="J89" s="9">
        <f>ROUND(SUM(J76:J88),5)</f>
        <v>25583.040000000001</v>
      </c>
    </row>
    <row r="90" spans="1:11" x14ac:dyDescent="0.2">
      <c r="A90" s="7">
        <f t="shared" si="2"/>
        <v>87</v>
      </c>
      <c r="B90" s="8"/>
      <c r="C90" s="8"/>
      <c r="D90" s="8" t="s">
        <v>81</v>
      </c>
      <c r="E90" s="8"/>
      <c r="F90" s="8"/>
      <c r="G90" s="10"/>
      <c r="H90" s="9"/>
      <c r="I90" s="9"/>
    </row>
    <row r="91" spans="1:11" x14ac:dyDescent="0.2">
      <c r="A91" s="7">
        <f t="shared" si="2"/>
        <v>88</v>
      </c>
      <c r="B91" s="8"/>
      <c r="C91" s="8"/>
      <c r="D91" s="8"/>
      <c r="E91" s="8" t="s">
        <v>82</v>
      </c>
      <c r="F91" s="8"/>
      <c r="G91" s="10"/>
      <c r="H91" s="9"/>
      <c r="I91" s="9"/>
    </row>
    <row r="92" spans="1:11" ht="15" x14ac:dyDescent="0.2">
      <c r="A92" s="7">
        <f t="shared" si="2"/>
        <v>89</v>
      </c>
      <c r="B92" s="8"/>
      <c r="C92" s="8"/>
      <c r="D92" s="8"/>
      <c r="E92" s="8" t="s">
        <v>83</v>
      </c>
      <c r="G92" s="10"/>
      <c r="H92" s="9">
        <v>12400</v>
      </c>
      <c r="I92"/>
      <c r="J92" s="9">
        <v>12400</v>
      </c>
    </row>
    <row r="93" spans="1:11" x14ac:dyDescent="0.2">
      <c r="A93" s="7">
        <f t="shared" si="2"/>
        <v>90</v>
      </c>
      <c r="B93" s="8"/>
      <c r="C93" s="8"/>
      <c r="D93" s="8"/>
      <c r="E93" s="8" t="s">
        <v>84</v>
      </c>
      <c r="G93" s="10"/>
      <c r="H93" s="9">
        <f>H92*0.09</f>
        <v>1116</v>
      </c>
      <c r="I93" s="32" t="s">
        <v>159</v>
      </c>
      <c r="J93" s="9">
        <f>J92*0.09</f>
        <v>1116</v>
      </c>
      <c r="K93" s="67">
        <v>0.09</v>
      </c>
    </row>
    <row r="94" spans="1:11" ht="15" thickBot="1" x14ac:dyDescent="0.25">
      <c r="A94" s="7">
        <f t="shared" si="2"/>
        <v>91</v>
      </c>
      <c r="B94" s="8"/>
      <c r="C94" s="8"/>
      <c r="D94" s="8"/>
      <c r="E94" s="8" t="s">
        <v>85</v>
      </c>
      <c r="G94" s="10"/>
      <c r="H94" s="12">
        <f>H92*0.07</f>
        <v>868.00000000000011</v>
      </c>
      <c r="I94" s="33" t="s">
        <v>160</v>
      </c>
      <c r="J94" s="12">
        <f>J92*0.07</f>
        <v>868.00000000000011</v>
      </c>
      <c r="K94" s="67">
        <v>7.0000000000000007E-2</v>
      </c>
    </row>
    <row r="95" spans="1:11" x14ac:dyDescent="0.2">
      <c r="A95" s="7">
        <f t="shared" si="2"/>
        <v>92</v>
      </c>
      <c r="B95" s="8"/>
      <c r="C95" s="8"/>
      <c r="D95" s="8"/>
      <c r="E95" s="8" t="s">
        <v>86</v>
      </c>
      <c r="F95" s="8"/>
      <c r="G95" s="10"/>
      <c r="H95" s="9">
        <f>ROUND(SUM(H91:H94),5)</f>
        <v>14384</v>
      </c>
      <c r="I95" s="9"/>
      <c r="J95" s="9">
        <f>ROUND(SUM(J91:J94),5)</f>
        <v>14384</v>
      </c>
    </row>
    <row r="96" spans="1:11" x14ac:dyDescent="0.2">
      <c r="A96" s="7">
        <f t="shared" si="2"/>
        <v>93</v>
      </c>
      <c r="B96" s="8"/>
      <c r="C96" s="8"/>
      <c r="D96" s="8"/>
      <c r="E96" s="8" t="s">
        <v>87</v>
      </c>
      <c r="F96" s="8"/>
      <c r="G96" s="10"/>
      <c r="H96" s="9">
        <v>300</v>
      </c>
      <c r="I96" s="9"/>
      <c r="J96" s="9">
        <v>300</v>
      </c>
    </row>
    <row r="97" spans="1:11" x14ac:dyDescent="0.2">
      <c r="A97" s="7">
        <f t="shared" si="2"/>
        <v>94</v>
      </c>
      <c r="B97" s="8"/>
      <c r="C97" s="8"/>
      <c r="D97" s="8"/>
      <c r="E97" s="8" t="s">
        <v>88</v>
      </c>
      <c r="F97" s="8"/>
      <c r="G97" s="10"/>
      <c r="H97" s="9">
        <v>100</v>
      </c>
      <c r="I97" s="9"/>
      <c r="J97" s="9">
        <v>100</v>
      </c>
    </row>
    <row r="98" spans="1:11" x14ac:dyDescent="0.2">
      <c r="A98" s="7">
        <f t="shared" si="2"/>
        <v>95</v>
      </c>
      <c r="B98" s="8"/>
      <c r="C98" s="8"/>
      <c r="D98" s="8"/>
      <c r="E98" s="8" t="s">
        <v>89</v>
      </c>
      <c r="F98" s="8"/>
      <c r="G98" s="10"/>
      <c r="H98" s="9">
        <v>1000</v>
      </c>
      <c r="I98" s="9"/>
      <c r="J98" s="9">
        <v>1000</v>
      </c>
    </row>
    <row r="99" spans="1:11" x14ac:dyDescent="0.2">
      <c r="A99" s="7">
        <f t="shared" si="2"/>
        <v>96</v>
      </c>
      <c r="B99" s="8"/>
      <c r="C99" s="8"/>
      <c r="D99" s="8"/>
      <c r="E99" s="8" t="s">
        <v>218</v>
      </c>
      <c r="F99" s="8" t="s">
        <v>217</v>
      </c>
      <c r="G99" s="10"/>
      <c r="H99" s="9">
        <f>16300-9300</f>
        <v>7000</v>
      </c>
      <c r="I99" s="9"/>
      <c r="J99" s="9">
        <v>7000</v>
      </c>
      <c r="K99" s="3" t="s">
        <v>237</v>
      </c>
    </row>
    <row r="100" spans="1:11" x14ac:dyDescent="0.2">
      <c r="A100" s="7">
        <f t="shared" si="2"/>
        <v>97</v>
      </c>
      <c r="B100" s="8"/>
      <c r="C100" s="8"/>
      <c r="D100" s="8"/>
      <c r="E100" s="8" t="s">
        <v>90</v>
      </c>
      <c r="F100" s="8"/>
      <c r="G100" s="10"/>
      <c r="H100" s="9">
        <v>0</v>
      </c>
      <c r="I100" s="31"/>
      <c r="J100" s="9">
        <v>0</v>
      </c>
      <c r="K100" s="79"/>
    </row>
    <row r="101" spans="1:11" ht="15" thickBot="1" x14ac:dyDescent="0.25">
      <c r="A101" s="7">
        <f t="shared" si="2"/>
        <v>98</v>
      </c>
      <c r="B101" s="8"/>
      <c r="C101" s="8"/>
      <c r="D101" s="8"/>
      <c r="E101" s="8" t="s">
        <v>91</v>
      </c>
      <c r="F101" s="8"/>
      <c r="G101" s="10"/>
      <c r="H101" s="12">
        <v>300</v>
      </c>
      <c r="I101" s="9"/>
      <c r="J101" s="12">
        <v>300</v>
      </c>
    </row>
    <row r="102" spans="1:11" x14ac:dyDescent="0.2">
      <c r="A102" s="7">
        <f t="shared" si="2"/>
        <v>99</v>
      </c>
      <c r="B102" s="8"/>
      <c r="C102" s="8"/>
      <c r="D102" s="8" t="s">
        <v>92</v>
      </c>
      <c r="E102" s="8"/>
      <c r="F102" s="8"/>
      <c r="G102" s="10"/>
      <c r="H102" s="9">
        <f>ROUND(H90+SUM(H95:H101),5)</f>
        <v>23084</v>
      </c>
      <c r="I102" s="9"/>
      <c r="J102" s="9">
        <f>ROUND(J90+SUM(J95:J101),5)</f>
        <v>23084</v>
      </c>
    </row>
    <row r="103" spans="1:11" x14ac:dyDescent="0.2">
      <c r="A103" s="7">
        <f t="shared" si="2"/>
        <v>100</v>
      </c>
      <c r="B103" s="8"/>
      <c r="C103" s="8"/>
      <c r="D103" s="8" t="s">
        <v>93</v>
      </c>
      <c r="E103" s="8"/>
      <c r="F103" s="8"/>
      <c r="G103" s="10"/>
      <c r="H103" s="9"/>
      <c r="I103" s="9"/>
    </row>
    <row r="104" spans="1:11" x14ac:dyDescent="0.2">
      <c r="A104" s="7">
        <f t="shared" si="2"/>
        <v>101</v>
      </c>
      <c r="B104" s="8"/>
      <c r="C104" s="8"/>
      <c r="D104" s="8"/>
      <c r="E104" s="8" t="s">
        <v>94</v>
      </c>
      <c r="F104" s="8"/>
      <c r="G104" s="10"/>
      <c r="H104" s="9">
        <v>4000</v>
      </c>
      <c r="I104" s="9"/>
      <c r="J104" s="9">
        <v>4000</v>
      </c>
    </row>
    <row r="105" spans="1:11" x14ac:dyDescent="0.2">
      <c r="A105" s="7">
        <f t="shared" si="2"/>
        <v>102</v>
      </c>
      <c r="B105" s="8"/>
      <c r="C105" s="8"/>
      <c r="D105" s="8"/>
      <c r="E105" s="8" t="s">
        <v>95</v>
      </c>
      <c r="F105" s="8"/>
      <c r="G105" s="10"/>
      <c r="H105" s="9">
        <v>350</v>
      </c>
      <c r="I105" s="9"/>
      <c r="J105" s="9">
        <v>350</v>
      </c>
    </row>
    <row r="106" spans="1:11" x14ac:dyDescent="0.2">
      <c r="A106" s="7">
        <f t="shared" si="2"/>
        <v>103</v>
      </c>
      <c r="B106" s="8"/>
      <c r="C106" s="8"/>
      <c r="D106" s="8"/>
      <c r="E106" s="8" t="s">
        <v>96</v>
      </c>
      <c r="F106" s="8"/>
      <c r="G106" s="10"/>
      <c r="H106" s="9">
        <v>3000</v>
      </c>
      <c r="I106" s="9"/>
      <c r="J106" s="9">
        <v>3000</v>
      </c>
    </row>
    <row r="107" spans="1:11" x14ac:dyDescent="0.2">
      <c r="A107" s="7">
        <f t="shared" si="2"/>
        <v>104</v>
      </c>
      <c r="B107" s="8"/>
      <c r="C107" s="8"/>
      <c r="D107" s="8"/>
      <c r="E107" s="8" t="s">
        <v>97</v>
      </c>
      <c r="F107" s="8"/>
      <c r="G107" s="10"/>
      <c r="H107" s="9">
        <v>1000</v>
      </c>
      <c r="I107" s="9"/>
      <c r="J107" s="9">
        <v>1000</v>
      </c>
    </row>
    <row r="108" spans="1:11" x14ac:dyDescent="0.2">
      <c r="A108" s="7">
        <f t="shared" si="2"/>
        <v>105</v>
      </c>
      <c r="B108" s="8"/>
      <c r="C108" s="8"/>
      <c r="D108" s="8"/>
      <c r="E108" s="8" t="s">
        <v>98</v>
      </c>
      <c r="F108" s="8"/>
      <c r="G108" s="10"/>
      <c r="H108" s="9">
        <v>2000</v>
      </c>
      <c r="I108" s="9"/>
      <c r="J108" s="9">
        <v>2000</v>
      </c>
    </row>
    <row r="109" spans="1:11" x14ac:dyDescent="0.2">
      <c r="A109" s="7">
        <f t="shared" si="2"/>
        <v>106</v>
      </c>
      <c r="B109" s="8"/>
      <c r="C109" s="8"/>
      <c r="D109" s="8"/>
      <c r="E109" s="8" t="s">
        <v>99</v>
      </c>
      <c r="F109" s="8"/>
      <c r="G109" s="10"/>
      <c r="H109" s="9">
        <v>1000</v>
      </c>
      <c r="I109" s="9"/>
      <c r="J109" s="9">
        <v>1000</v>
      </c>
    </row>
    <row r="110" spans="1:11" x14ac:dyDescent="0.2">
      <c r="A110" s="7">
        <f t="shared" si="2"/>
        <v>107</v>
      </c>
      <c r="B110" s="8"/>
      <c r="C110" s="8"/>
      <c r="D110" s="8"/>
      <c r="E110" s="8" t="s">
        <v>100</v>
      </c>
      <c r="F110" s="8"/>
      <c r="G110" s="10"/>
      <c r="H110" s="9">
        <v>500</v>
      </c>
      <c r="I110" s="9"/>
      <c r="J110" s="9">
        <v>500</v>
      </c>
      <c r="K110" s="3" t="s">
        <v>240</v>
      </c>
    </row>
    <row r="111" spans="1:11" ht="15" thickBot="1" x14ac:dyDescent="0.25">
      <c r="A111" s="7">
        <f t="shared" si="2"/>
        <v>108</v>
      </c>
      <c r="B111" s="8"/>
      <c r="C111" s="8"/>
      <c r="D111" s="8"/>
      <c r="E111" s="8" t="s">
        <v>101</v>
      </c>
      <c r="F111" s="8"/>
      <c r="G111" s="10"/>
      <c r="H111" s="12">
        <v>0</v>
      </c>
      <c r="I111" s="9"/>
      <c r="J111" s="12">
        <v>0</v>
      </c>
    </row>
    <row r="112" spans="1:11" x14ac:dyDescent="0.2">
      <c r="A112" s="7">
        <f t="shared" si="2"/>
        <v>109</v>
      </c>
      <c r="B112" s="8"/>
      <c r="C112" s="8"/>
      <c r="D112" s="8" t="s">
        <v>102</v>
      </c>
      <c r="E112" s="8"/>
      <c r="F112" s="8"/>
      <c r="G112" s="10"/>
      <c r="H112" s="9">
        <f>ROUND(SUM(H103:H111),5)</f>
        <v>11850</v>
      </c>
      <c r="I112" s="31" t="s">
        <v>6</v>
      </c>
      <c r="J112" s="9">
        <f>ROUND(SUM(J103:J111),5)</f>
        <v>11850</v>
      </c>
    </row>
    <row r="113" spans="1:11" x14ac:dyDescent="0.2">
      <c r="A113" s="7">
        <f t="shared" si="2"/>
        <v>110</v>
      </c>
      <c r="B113" s="8"/>
      <c r="C113" s="8"/>
      <c r="D113" s="8" t="s">
        <v>103</v>
      </c>
      <c r="E113" s="8"/>
      <c r="F113" s="8"/>
      <c r="G113" s="10"/>
      <c r="H113" s="9"/>
      <c r="I113" s="9"/>
    </row>
    <row r="114" spans="1:11" x14ac:dyDescent="0.2">
      <c r="A114" s="7">
        <f t="shared" si="2"/>
        <v>111</v>
      </c>
      <c r="B114" s="8"/>
      <c r="C114" s="8"/>
      <c r="D114" s="8"/>
      <c r="E114" s="8" t="s">
        <v>104</v>
      </c>
      <c r="F114" s="8"/>
      <c r="G114" s="10"/>
      <c r="H114" s="9">
        <v>24000</v>
      </c>
      <c r="I114" s="4"/>
      <c r="J114" s="58">
        <v>16000</v>
      </c>
      <c r="K114" s="3" t="s">
        <v>209</v>
      </c>
    </row>
    <row r="115" spans="1:11" x14ac:dyDescent="0.2">
      <c r="A115" s="7">
        <f t="shared" si="2"/>
        <v>112</v>
      </c>
      <c r="B115" s="8"/>
      <c r="C115" s="8"/>
      <c r="D115" s="8"/>
      <c r="E115" s="8" t="s">
        <v>105</v>
      </c>
      <c r="F115" s="8"/>
      <c r="G115" s="10"/>
      <c r="H115" s="9">
        <v>14725</v>
      </c>
      <c r="I115" s="9"/>
      <c r="J115" s="58">
        <v>14725</v>
      </c>
    </row>
    <row r="116" spans="1:11" ht="15" thickBot="1" x14ac:dyDescent="0.25">
      <c r="A116" s="7">
        <f t="shared" si="2"/>
        <v>113</v>
      </c>
      <c r="B116" s="8"/>
      <c r="C116" s="8"/>
      <c r="D116" s="8"/>
      <c r="E116" s="8" t="s">
        <v>106</v>
      </c>
      <c r="F116" s="8"/>
      <c r="G116" s="10"/>
      <c r="H116" s="12">
        <v>14600</v>
      </c>
      <c r="I116" s="9" t="s">
        <v>214</v>
      </c>
      <c r="J116" s="66">
        <v>11600</v>
      </c>
      <c r="K116" s="9" t="s">
        <v>241</v>
      </c>
    </row>
    <row r="117" spans="1:11" x14ac:dyDescent="0.2">
      <c r="A117" s="7">
        <f t="shared" si="2"/>
        <v>114</v>
      </c>
      <c r="B117" s="8"/>
      <c r="C117" s="8"/>
      <c r="D117" s="8" t="s">
        <v>107</v>
      </c>
      <c r="E117" s="8"/>
      <c r="F117" s="8"/>
      <c r="G117" s="10"/>
      <c r="H117" s="9">
        <f>ROUND(SUM(H113:H116),5)</f>
        <v>53325</v>
      </c>
      <c r="I117" s="9"/>
      <c r="J117" s="58">
        <f>SUM(J114:J116)</f>
        <v>42325</v>
      </c>
    </row>
    <row r="118" spans="1:11" x14ac:dyDescent="0.2">
      <c r="A118" s="7">
        <f t="shared" si="2"/>
        <v>115</v>
      </c>
      <c r="B118" s="8"/>
      <c r="C118" s="8"/>
      <c r="D118" s="8" t="s">
        <v>108</v>
      </c>
      <c r="E118" s="8"/>
      <c r="F118" s="8"/>
      <c r="G118" s="10"/>
      <c r="H118" s="9"/>
      <c r="I118" s="9"/>
    </row>
    <row r="119" spans="1:11" x14ac:dyDescent="0.2">
      <c r="A119" s="7">
        <f t="shared" si="2"/>
        <v>116</v>
      </c>
      <c r="B119" s="8"/>
      <c r="C119" s="8"/>
      <c r="D119" s="8"/>
      <c r="E119" s="8" t="s">
        <v>109</v>
      </c>
      <c r="F119" s="8"/>
      <c r="G119" s="10"/>
      <c r="H119" s="9">
        <v>800</v>
      </c>
      <c r="I119" s="31" t="s">
        <v>6</v>
      </c>
      <c r="J119" s="9">
        <v>500</v>
      </c>
    </row>
    <row r="120" spans="1:11" ht="15" thickBot="1" x14ac:dyDescent="0.25">
      <c r="A120" s="7">
        <f t="shared" si="2"/>
        <v>117</v>
      </c>
      <c r="B120" s="8"/>
      <c r="C120" s="8"/>
      <c r="D120" s="8"/>
      <c r="E120" s="8" t="s">
        <v>110</v>
      </c>
      <c r="F120" s="8"/>
      <c r="G120" s="10"/>
      <c r="H120" s="12">
        <v>200</v>
      </c>
      <c r="I120" s="9"/>
      <c r="J120" s="12">
        <v>1200</v>
      </c>
      <c r="K120" s="3" t="s">
        <v>210</v>
      </c>
    </row>
    <row r="121" spans="1:11" x14ac:dyDescent="0.2">
      <c r="A121" s="7">
        <f t="shared" si="2"/>
        <v>118</v>
      </c>
      <c r="B121" s="8"/>
      <c r="C121" s="8"/>
      <c r="D121" s="8" t="s">
        <v>111</v>
      </c>
      <c r="E121" s="8"/>
      <c r="F121" s="8"/>
      <c r="G121" s="10"/>
      <c r="H121" s="9">
        <f>ROUND(SUM(H118:H120),5)</f>
        <v>1000</v>
      </c>
      <c r="I121" s="9"/>
      <c r="J121" s="9">
        <f>ROUND(SUM(J118:J120),5)</f>
        <v>1700</v>
      </c>
    </row>
    <row r="122" spans="1:11" x14ac:dyDescent="0.2">
      <c r="A122" s="7">
        <f t="shared" si="2"/>
        <v>119</v>
      </c>
      <c r="B122" s="8"/>
      <c r="C122" s="8"/>
      <c r="D122" s="8" t="s">
        <v>112</v>
      </c>
      <c r="E122" s="8"/>
      <c r="F122" s="8"/>
      <c r="G122" s="10"/>
      <c r="H122" s="9"/>
      <c r="I122" s="9"/>
    </row>
    <row r="123" spans="1:11" x14ac:dyDescent="0.2">
      <c r="A123" s="7">
        <f t="shared" si="2"/>
        <v>120</v>
      </c>
      <c r="B123" s="8"/>
      <c r="C123" s="8"/>
      <c r="D123" s="8"/>
      <c r="E123" s="8" t="s">
        <v>113</v>
      </c>
      <c r="F123" s="8"/>
      <c r="G123" s="10"/>
      <c r="H123" s="9">
        <v>2000</v>
      </c>
      <c r="I123" s="4" t="s">
        <v>6</v>
      </c>
      <c r="J123" s="9">
        <v>2500</v>
      </c>
      <c r="K123" s="3" t="s">
        <v>245</v>
      </c>
    </row>
    <row r="124" spans="1:11" x14ac:dyDescent="0.2">
      <c r="A124" s="7">
        <f t="shared" si="2"/>
        <v>121</v>
      </c>
      <c r="B124" s="8"/>
      <c r="C124" s="8"/>
      <c r="D124" s="8"/>
      <c r="E124" s="8" t="s">
        <v>114</v>
      </c>
      <c r="F124" s="8"/>
      <c r="G124" s="10"/>
      <c r="H124" s="9">
        <v>1000</v>
      </c>
      <c r="I124" s="9"/>
      <c r="J124" s="9">
        <v>800</v>
      </c>
      <c r="K124" s="3" t="s">
        <v>242</v>
      </c>
    </row>
    <row r="125" spans="1:11" x14ac:dyDescent="0.2">
      <c r="A125" s="7">
        <f t="shared" si="2"/>
        <v>122</v>
      </c>
      <c r="B125" s="8"/>
      <c r="C125" s="8"/>
      <c r="D125" s="8"/>
      <c r="E125" s="8" t="s">
        <v>115</v>
      </c>
      <c r="F125" s="8"/>
      <c r="G125" s="10"/>
      <c r="H125" s="9">
        <v>1000</v>
      </c>
      <c r="I125" s="9"/>
      <c r="J125" s="9">
        <v>1000</v>
      </c>
    </row>
    <row r="126" spans="1:11" ht="15" thickBot="1" x14ac:dyDescent="0.25">
      <c r="A126" s="7">
        <f t="shared" si="2"/>
        <v>123</v>
      </c>
      <c r="B126" s="8"/>
      <c r="C126" s="8"/>
      <c r="D126" s="8"/>
      <c r="E126" s="8" t="s">
        <v>116</v>
      </c>
      <c r="F126" s="8"/>
      <c r="G126" s="10"/>
      <c r="H126" s="12">
        <v>600</v>
      </c>
      <c r="I126" s="9" t="s">
        <v>6</v>
      </c>
      <c r="J126" s="12">
        <v>600</v>
      </c>
    </row>
    <row r="127" spans="1:11" x14ac:dyDescent="0.2">
      <c r="A127" s="7">
        <f t="shared" si="2"/>
        <v>124</v>
      </c>
      <c r="B127" s="8"/>
      <c r="C127" s="8"/>
      <c r="D127" s="8" t="s">
        <v>117</v>
      </c>
      <c r="E127" s="8"/>
      <c r="F127" s="8"/>
      <c r="G127" s="10"/>
      <c r="H127" s="9">
        <f>ROUND(SUM(H122:H126),5)</f>
        <v>4600</v>
      </c>
      <c r="I127" s="9"/>
      <c r="J127" s="9">
        <f>ROUND(SUM(J122:J126),5)</f>
        <v>4900</v>
      </c>
    </row>
    <row r="128" spans="1:11" x14ac:dyDescent="0.2">
      <c r="A128" s="7">
        <f t="shared" si="2"/>
        <v>125</v>
      </c>
      <c r="B128" s="8"/>
      <c r="C128" s="8"/>
      <c r="D128" s="8" t="s">
        <v>118</v>
      </c>
      <c r="E128" s="8"/>
      <c r="F128" s="8"/>
      <c r="G128" s="10"/>
      <c r="H128" s="9"/>
      <c r="I128" s="9"/>
    </row>
    <row r="129" spans="1:11" ht="15" thickBot="1" x14ac:dyDescent="0.25">
      <c r="A129" s="7">
        <f t="shared" si="2"/>
        <v>126</v>
      </c>
      <c r="B129" s="8"/>
      <c r="C129" s="8"/>
      <c r="D129" s="8"/>
      <c r="E129" s="8" t="s">
        <v>119</v>
      </c>
      <c r="F129" s="8"/>
      <c r="G129" s="10"/>
      <c r="H129" s="9">
        <v>3500</v>
      </c>
      <c r="I129" s="28" t="s">
        <v>6</v>
      </c>
      <c r="J129" s="66">
        <v>4800</v>
      </c>
      <c r="K129" s="3" t="s">
        <v>226</v>
      </c>
    </row>
    <row r="130" spans="1:11" x14ac:dyDescent="0.2">
      <c r="A130" s="7">
        <f t="shared" si="2"/>
        <v>127</v>
      </c>
      <c r="B130" s="8"/>
      <c r="C130" s="8"/>
      <c r="D130" s="8" t="s">
        <v>120</v>
      </c>
      <c r="E130" s="8"/>
      <c r="F130" s="8"/>
      <c r="G130" s="10"/>
      <c r="H130" s="15">
        <f>ROUND(SUM(H128:H129),5)</f>
        <v>3500</v>
      </c>
      <c r="I130" s="9"/>
      <c r="J130" s="58">
        <f>SUM(J129)</f>
        <v>4800</v>
      </c>
    </row>
    <row r="131" spans="1:11" x14ac:dyDescent="0.2">
      <c r="A131" s="7">
        <f t="shared" si="2"/>
        <v>128</v>
      </c>
      <c r="B131" s="8"/>
      <c r="C131" s="8"/>
      <c r="D131" s="8" t="s">
        <v>121</v>
      </c>
      <c r="E131" s="8"/>
      <c r="F131" s="8"/>
      <c r="G131" s="10"/>
      <c r="H131" s="9"/>
      <c r="I131" s="4" t="s">
        <v>6</v>
      </c>
    </row>
    <row r="132" spans="1:11" x14ac:dyDescent="0.2">
      <c r="A132" s="7">
        <f t="shared" si="2"/>
        <v>129</v>
      </c>
      <c r="B132" s="8"/>
      <c r="C132" s="8"/>
      <c r="D132" s="8"/>
      <c r="E132" s="8" t="s">
        <v>122</v>
      </c>
      <c r="F132" s="8"/>
      <c r="G132" s="10"/>
      <c r="H132" s="9"/>
      <c r="I132" s="9"/>
      <c r="J132" s="9"/>
      <c r="K132" s="9"/>
    </row>
    <row r="133" spans="1:11" ht="15" thickBot="1" x14ac:dyDescent="0.25">
      <c r="A133" s="7">
        <f t="shared" si="2"/>
        <v>130</v>
      </c>
      <c r="B133" s="8"/>
      <c r="C133" s="8"/>
      <c r="D133" s="8"/>
      <c r="E133" s="8" t="s">
        <v>123</v>
      </c>
      <c r="F133" s="8"/>
      <c r="G133" s="10"/>
      <c r="H133" s="12">
        <v>0</v>
      </c>
      <c r="I133" s="4" t="s">
        <v>6</v>
      </c>
      <c r="J133" s="12">
        <v>0</v>
      </c>
      <c r="K133" s="4" t="s">
        <v>6</v>
      </c>
    </row>
    <row r="134" spans="1:11" x14ac:dyDescent="0.2">
      <c r="A134" s="7">
        <f t="shared" si="2"/>
        <v>131</v>
      </c>
      <c r="B134" s="8"/>
      <c r="C134" s="8"/>
      <c r="D134" s="8" t="s">
        <v>124</v>
      </c>
      <c r="E134" s="8"/>
      <c r="F134" s="8"/>
      <c r="G134" s="10"/>
      <c r="H134" s="9">
        <f>SUM(H132:H133)</f>
        <v>0</v>
      </c>
      <c r="I134" s="9" t="s">
        <v>157</v>
      </c>
      <c r="J134" s="9">
        <f>SUM(J132:J133)</f>
        <v>0</v>
      </c>
      <c r="K134" s="9" t="s">
        <v>157</v>
      </c>
    </row>
    <row r="135" spans="1:11" x14ac:dyDescent="0.2">
      <c r="A135" s="7">
        <f>A134+1</f>
        <v>132</v>
      </c>
      <c r="B135" s="8"/>
      <c r="C135" s="8"/>
      <c r="D135" s="8" t="s">
        <v>125</v>
      </c>
      <c r="E135" s="3"/>
      <c r="G135" s="10"/>
      <c r="H135" s="9">
        <v>0</v>
      </c>
      <c r="I135" s="9" t="s">
        <v>6</v>
      </c>
      <c r="K135" s="3" t="s">
        <v>211</v>
      </c>
    </row>
    <row r="136" spans="1:11" ht="15" thickBot="1" x14ac:dyDescent="0.25">
      <c r="A136" s="7">
        <f t="shared" si="2"/>
        <v>133</v>
      </c>
      <c r="B136" s="8"/>
      <c r="C136" s="8"/>
      <c r="D136" s="8" t="s">
        <v>212</v>
      </c>
      <c r="E136" s="3"/>
      <c r="G136" s="10"/>
      <c r="H136" s="30">
        <v>0</v>
      </c>
      <c r="I136" s="9" t="s">
        <v>213</v>
      </c>
      <c r="J136" s="30">
        <v>1500</v>
      </c>
      <c r="K136" s="9" t="s">
        <v>196</v>
      </c>
    </row>
    <row r="137" spans="1:11" ht="16" thickBot="1" x14ac:dyDescent="0.25">
      <c r="A137" s="7">
        <f t="shared" si="2"/>
        <v>134</v>
      </c>
      <c r="B137" s="8"/>
      <c r="C137" s="8" t="s">
        <v>126</v>
      </c>
      <c r="D137" s="8"/>
      <c r="E137" s="8"/>
      <c r="F137" s="8"/>
      <c r="G137" s="10"/>
      <c r="H137" s="45">
        <f>H36+H39+H46+H49+H59+H71+H75+H89+H102+H112+H117+H121+H127+H130+H134+H136</f>
        <v>280835.75</v>
      </c>
      <c r="I137"/>
      <c r="J137" s="61">
        <f>SUM(J36+J39+J46+J49+J59+J71+J75+J89+J95+J102+J112+J117+J121+J127+J130+J136)</f>
        <v>283587.75199999998</v>
      </c>
    </row>
    <row r="138" spans="1:11" s="16" customFormat="1" ht="16" thickBot="1" x14ac:dyDescent="0.25">
      <c r="A138" s="7">
        <f t="shared" ref="A138:A178" si="3">A137+1</f>
        <v>135</v>
      </c>
      <c r="B138" s="17" t="s">
        <v>127</v>
      </c>
      <c r="C138" s="17"/>
      <c r="D138" s="18"/>
      <c r="E138" s="18"/>
      <c r="F138" s="18"/>
      <c r="G138" s="18"/>
      <c r="H138" s="20">
        <f>ROUND(H26-H137,5)</f>
        <v>12501.25</v>
      </c>
      <c r="I138" s="75"/>
      <c r="J138" s="20">
        <f>J26-J137</f>
        <v>12999.248000000021</v>
      </c>
      <c r="K138" s="81"/>
    </row>
    <row r="139" spans="1:11" x14ac:dyDescent="0.2">
      <c r="A139" s="7">
        <f t="shared" si="3"/>
        <v>136</v>
      </c>
    </row>
    <row r="140" spans="1:11" x14ac:dyDescent="0.2">
      <c r="A140" s="7">
        <f t="shared" si="3"/>
        <v>137</v>
      </c>
      <c r="B140" s="8" t="s">
        <v>128</v>
      </c>
      <c r="C140" s="8"/>
      <c r="D140" s="8"/>
      <c r="E140" s="8"/>
      <c r="F140" s="8"/>
      <c r="H140" s="9"/>
      <c r="I140" s="9"/>
    </row>
    <row r="141" spans="1:11" ht="15" thickBot="1" x14ac:dyDescent="0.25">
      <c r="A141" s="7">
        <f t="shared" si="3"/>
        <v>138</v>
      </c>
      <c r="B141" s="8"/>
      <c r="C141" s="8" t="s">
        <v>129</v>
      </c>
      <c r="D141" s="8"/>
      <c r="E141" s="8"/>
      <c r="F141" s="8"/>
      <c r="H141" s="9">
        <v>0</v>
      </c>
      <c r="I141" s="4"/>
      <c r="J141" s="66">
        <v>0</v>
      </c>
    </row>
    <row r="142" spans="1:11" ht="15" thickBot="1" x14ac:dyDescent="0.25">
      <c r="A142" s="7">
        <f t="shared" si="3"/>
        <v>139</v>
      </c>
      <c r="B142" s="8"/>
      <c r="C142" s="8"/>
      <c r="D142" s="8" t="s">
        <v>130</v>
      </c>
      <c r="E142" s="3"/>
      <c r="F142" s="3"/>
      <c r="G142" s="16"/>
      <c r="H142" s="19">
        <f>H141</f>
        <v>0</v>
      </c>
      <c r="I142" s="4"/>
      <c r="J142" s="71">
        <v>0</v>
      </c>
    </row>
    <row r="143" spans="1:11" x14ac:dyDescent="0.2">
      <c r="A143" s="7">
        <f t="shared" si="3"/>
        <v>140</v>
      </c>
      <c r="B143" s="8"/>
      <c r="C143" s="8" t="s">
        <v>131</v>
      </c>
      <c r="D143" s="8"/>
      <c r="E143" s="8"/>
      <c r="F143" s="8"/>
      <c r="H143" s="9"/>
      <c r="I143" s="9"/>
      <c r="J143" s="58" t="s">
        <v>6</v>
      </c>
    </row>
    <row r="144" spans="1:11" x14ac:dyDescent="0.2">
      <c r="A144" s="7">
        <f t="shared" si="3"/>
        <v>141</v>
      </c>
      <c r="B144" s="8"/>
      <c r="C144" s="8"/>
      <c r="D144" s="8" t="s">
        <v>132</v>
      </c>
      <c r="F144" s="8"/>
      <c r="H144" s="9">
        <v>0</v>
      </c>
      <c r="I144" s="9"/>
      <c r="J144" s="62" t="s">
        <v>6</v>
      </c>
    </row>
    <row r="145" spans="1:11" x14ac:dyDescent="0.2">
      <c r="A145" s="7">
        <f t="shared" si="3"/>
        <v>142</v>
      </c>
      <c r="B145" s="8"/>
      <c r="C145" s="8"/>
      <c r="D145" s="8" t="s">
        <v>133</v>
      </c>
      <c r="F145" s="8"/>
      <c r="H145" s="9">
        <v>30000</v>
      </c>
      <c r="I145" s="51" t="s">
        <v>183</v>
      </c>
      <c r="J145" s="58">
        <v>20000</v>
      </c>
      <c r="K145" s="3" t="s">
        <v>215</v>
      </c>
    </row>
    <row r="146" spans="1:11" ht="15" thickBot="1" x14ac:dyDescent="0.25">
      <c r="A146" s="7">
        <f t="shared" si="3"/>
        <v>143</v>
      </c>
      <c r="D146" s="16" t="s">
        <v>134</v>
      </c>
      <c r="H146" s="12">
        <v>1850</v>
      </c>
      <c r="I146" s="52" t="s">
        <v>6</v>
      </c>
      <c r="J146" s="66">
        <v>800</v>
      </c>
      <c r="K146" s="3" t="s">
        <v>227</v>
      </c>
    </row>
    <row r="147" spans="1:11" ht="15" thickBot="1" x14ac:dyDescent="0.25">
      <c r="A147" s="7">
        <f t="shared" si="3"/>
        <v>144</v>
      </c>
      <c r="D147" s="8" t="s">
        <v>135</v>
      </c>
      <c r="E147" s="3"/>
      <c r="F147" s="3"/>
      <c r="H147" s="9">
        <f>SUM(H144:H146)</f>
        <v>31850</v>
      </c>
      <c r="I147" s="9"/>
      <c r="J147" s="70">
        <f>SUM(J145:J146)</f>
        <v>20800</v>
      </c>
    </row>
    <row r="148" spans="1:11" ht="15" thickBot="1" x14ac:dyDescent="0.25">
      <c r="A148" s="7">
        <f t="shared" si="3"/>
        <v>145</v>
      </c>
      <c r="B148" s="8" t="s">
        <v>136</v>
      </c>
      <c r="C148" s="8"/>
      <c r="D148" s="8"/>
      <c r="E148" s="8"/>
      <c r="F148" s="8"/>
      <c r="G148" s="16"/>
      <c r="H148" s="19">
        <f>H142-H147</f>
        <v>-31850</v>
      </c>
      <c r="I148" s="21"/>
      <c r="J148" s="19">
        <v>-20800</v>
      </c>
    </row>
    <row r="149" spans="1:11" ht="15" thickBot="1" x14ac:dyDescent="0.25">
      <c r="A149" s="7">
        <f t="shared" si="3"/>
        <v>146</v>
      </c>
      <c r="B149" s="3"/>
      <c r="C149" s="3"/>
      <c r="D149" s="16" t="s">
        <v>6</v>
      </c>
      <c r="E149" s="3"/>
      <c r="F149" s="3"/>
      <c r="J149" s="9"/>
    </row>
    <row r="150" spans="1:11" ht="15" thickBot="1" x14ac:dyDescent="0.25">
      <c r="A150" s="7">
        <f t="shared" si="3"/>
        <v>147</v>
      </c>
      <c r="B150" s="17" t="s">
        <v>137</v>
      </c>
      <c r="C150" s="18"/>
      <c r="D150" s="18"/>
      <c r="E150" s="18"/>
      <c r="F150" s="18"/>
      <c r="G150" s="44"/>
      <c r="H150" s="20">
        <f>H138+H148</f>
        <v>-19348.75</v>
      </c>
      <c r="I150" s="21"/>
      <c r="J150" s="20">
        <f>J138+J148</f>
        <v>-7800.7519999999786</v>
      </c>
    </row>
    <row r="151" spans="1:11" x14ac:dyDescent="0.2">
      <c r="A151" s="7">
        <f t="shared" si="3"/>
        <v>148</v>
      </c>
      <c r="B151" s="3"/>
      <c r="C151" s="3"/>
      <c r="D151" s="3"/>
      <c r="E151" s="3"/>
      <c r="F151" s="3"/>
    </row>
    <row r="152" spans="1:11" x14ac:dyDescent="0.2">
      <c r="A152" s="7">
        <f t="shared" si="3"/>
        <v>149</v>
      </c>
      <c r="B152" s="8" t="s">
        <v>138</v>
      </c>
      <c r="C152" s="8"/>
      <c r="D152" s="8"/>
      <c r="E152" s="8"/>
      <c r="F152" s="8"/>
      <c r="H152" s="9"/>
      <c r="I152" s="9"/>
    </row>
    <row r="153" spans="1:11" x14ac:dyDescent="0.2">
      <c r="A153" s="7">
        <f t="shared" si="3"/>
        <v>150</v>
      </c>
      <c r="B153" s="8"/>
      <c r="C153" s="8" t="s">
        <v>1</v>
      </c>
      <c r="D153" s="8"/>
      <c r="E153" s="8"/>
      <c r="F153" s="8"/>
      <c r="H153" s="9"/>
      <c r="I153" s="9"/>
    </row>
    <row r="154" spans="1:11" x14ac:dyDescent="0.2">
      <c r="A154" s="7">
        <f t="shared" si="3"/>
        <v>151</v>
      </c>
      <c r="B154" s="8"/>
      <c r="C154" s="8"/>
      <c r="D154" s="8" t="s">
        <v>2</v>
      </c>
      <c r="E154" s="8"/>
      <c r="F154" s="8"/>
      <c r="H154" s="9">
        <v>40000</v>
      </c>
      <c r="I154" s="3" t="s">
        <v>139</v>
      </c>
      <c r="J154" s="9">
        <v>40000</v>
      </c>
      <c r="K154" s="3" t="s">
        <v>139</v>
      </c>
    </row>
    <row r="155" spans="1:11" ht="15" thickBot="1" x14ac:dyDescent="0.25">
      <c r="A155" s="7">
        <f t="shared" si="3"/>
        <v>152</v>
      </c>
      <c r="B155" s="8"/>
      <c r="C155" s="8"/>
      <c r="D155" s="8" t="s">
        <v>140</v>
      </c>
      <c r="E155" s="3"/>
      <c r="F155" s="3"/>
      <c r="H155" s="12">
        <f>-H12</f>
        <v>60300</v>
      </c>
      <c r="I155" s="3" t="s">
        <v>182</v>
      </c>
      <c r="J155" s="12">
        <f>-J12</f>
        <v>60300</v>
      </c>
      <c r="K155" s="3" t="s">
        <v>182</v>
      </c>
    </row>
    <row r="156" spans="1:11" x14ac:dyDescent="0.2">
      <c r="A156" s="7">
        <f t="shared" si="3"/>
        <v>153</v>
      </c>
      <c r="B156" s="8"/>
      <c r="C156" s="8"/>
      <c r="D156" s="8"/>
      <c r="E156" s="3" t="s">
        <v>232</v>
      </c>
      <c r="F156" s="3"/>
      <c r="H156" s="30"/>
      <c r="J156" s="30">
        <v>1500</v>
      </c>
      <c r="K156" s="3" t="s">
        <v>235</v>
      </c>
    </row>
    <row r="157" spans="1:11" x14ac:dyDescent="0.2">
      <c r="A157" s="7">
        <f t="shared" si="3"/>
        <v>154</v>
      </c>
      <c r="B157" s="8"/>
      <c r="C157" s="8"/>
      <c r="D157" s="8" t="s">
        <v>141</v>
      </c>
      <c r="E157" s="3"/>
      <c r="F157" s="3"/>
      <c r="G157" s="16"/>
      <c r="H157" s="21">
        <f>ROUND(SUM(H154:H155),5)</f>
        <v>100300</v>
      </c>
      <c r="I157" s="35"/>
      <c r="J157" s="21">
        <f>ROUND(SUM(J154:J156),5)</f>
        <v>101800</v>
      </c>
      <c r="K157" s="35"/>
    </row>
    <row r="158" spans="1:11" x14ac:dyDescent="0.2">
      <c r="A158" s="7">
        <f t="shared" si="3"/>
        <v>155</v>
      </c>
      <c r="B158" s="8"/>
      <c r="C158" s="8" t="s">
        <v>142</v>
      </c>
      <c r="D158" s="8"/>
      <c r="E158" s="8"/>
      <c r="F158" s="8"/>
      <c r="H158" s="9"/>
      <c r="I158" s="35"/>
      <c r="J158" s="9"/>
      <c r="K158" s="35"/>
    </row>
    <row r="159" spans="1:11" x14ac:dyDescent="0.2">
      <c r="A159" s="7">
        <f t="shared" si="3"/>
        <v>156</v>
      </c>
      <c r="B159" s="8"/>
      <c r="C159" s="8"/>
      <c r="D159" s="8" t="s">
        <v>143</v>
      </c>
      <c r="F159" s="8"/>
      <c r="H159" s="9">
        <v>0</v>
      </c>
      <c r="I159" s="4" t="s">
        <v>6</v>
      </c>
      <c r="J159" s="9">
        <v>0</v>
      </c>
      <c r="K159" s="4" t="s">
        <v>6</v>
      </c>
    </row>
    <row r="160" spans="1:11" x14ac:dyDescent="0.2">
      <c r="A160" s="7">
        <f t="shared" si="3"/>
        <v>157</v>
      </c>
      <c r="B160" s="8"/>
      <c r="C160" s="8"/>
      <c r="D160" s="8" t="s">
        <v>144</v>
      </c>
      <c r="F160" s="8"/>
      <c r="H160" s="9">
        <v>119000</v>
      </c>
      <c r="I160" s="4" t="s">
        <v>6</v>
      </c>
      <c r="J160" s="9">
        <v>138000</v>
      </c>
      <c r="K160" s="4" t="s">
        <v>219</v>
      </c>
    </row>
    <row r="161" spans="1:24" x14ac:dyDescent="0.2">
      <c r="A161" s="7">
        <f t="shared" si="3"/>
        <v>158</v>
      </c>
      <c r="D161" s="16" t="s">
        <v>145</v>
      </c>
      <c r="H161" s="9">
        <v>30000</v>
      </c>
      <c r="I161" s="9"/>
      <c r="J161" s="9">
        <v>32000</v>
      </c>
      <c r="K161" s="9" t="s">
        <v>221</v>
      </c>
    </row>
    <row r="162" spans="1:24" ht="15" x14ac:dyDescent="0.2">
      <c r="A162" s="7">
        <f t="shared" si="3"/>
        <v>159</v>
      </c>
      <c r="D162" s="16" t="s">
        <v>158</v>
      </c>
      <c r="H162" s="9">
        <v>0</v>
      </c>
      <c r="I162"/>
      <c r="J162" s="9">
        <v>0</v>
      </c>
      <c r="K162"/>
    </row>
    <row r="163" spans="1:24" x14ac:dyDescent="0.2">
      <c r="A163" s="7">
        <f t="shared" si="3"/>
        <v>160</v>
      </c>
      <c r="D163" s="16" t="s">
        <v>146</v>
      </c>
      <c r="H163" s="9">
        <v>6000</v>
      </c>
      <c r="I163" s="31" t="s">
        <v>171</v>
      </c>
      <c r="J163" s="9">
        <v>6000</v>
      </c>
      <c r="K163" s="31" t="s">
        <v>222</v>
      </c>
    </row>
    <row r="164" spans="1:24" ht="15" thickBot="1" x14ac:dyDescent="0.25">
      <c r="A164" s="7">
        <f t="shared" si="3"/>
        <v>161</v>
      </c>
      <c r="B164" s="41"/>
      <c r="C164" s="41"/>
      <c r="D164" s="73" t="s">
        <v>147</v>
      </c>
      <c r="E164" s="73"/>
      <c r="F164" s="73"/>
      <c r="G164" s="74"/>
      <c r="H164" s="12">
        <v>0</v>
      </c>
      <c r="I164" s="31"/>
      <c r="J164" s="12">
        <v>0</v>
      </c>
      <c r="K164" s="31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</row>
    <row r="165" spans="1:24" s="24" customFormat="1" ht="15" thickBot="1" x14ac:dyDescent="0.25">
      <c r="A165" s="7">
        <f t="shared" si="3"/>
        <v>162</v>
      </c>
      <c r="B165" s="8"/>
      <c r="C165" s="8"/>
      <c r="D165" s="23" t="s">
        <v>148</v>
      </c>
      <c r="G165" s="22"/>
      <c r="H165" s="25">
        <f>SUM(H159:H164)</f>
        <v>155000</v>
      </c>
      <c r="I165" s="37"/>
      <c r="J165" s="25">
        <f>SUM(J159:J164)</f>
        <v>176000</v>
      </c>
      <c r="K165" s="37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</row>
    <row r="166" spans="1:24" ht="15" thickBot="1" x14ac:dyDescent="0.25">
      <c r="A166" s="7">
        <f t="shared" si="3"/>
        <v>163</v>
      </c>
      <c r="B166" s="17" t="s">
        <v>149</v>
      </c>
      <c r="C166" s="18"/>
      <c r="D166" s="18"/>
      <c r="E166" s="18"/>
      <c r="F166" s="18"/>
      <c r="G166" s="44"/>
      <c r="H166" s="20">
        <f>H157-H165</f>
        <v>-54700</v>
      </c>
      <c r="I166" s="37"/>
      <c r="J166" s="20">
        <f>J157-J165</f>
        <v>-74200</v>
      </c>
      <c r="K166" s="37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</row>
    <row r="167" spans="1:24" x14ac:dyDescent="0.2">
      <c r="A167" s="7">
        <f t="shared" si="3"/>
        <v>164</v>
      </c>
      <c r="B167" s="8"/>
      <c r="C167" s="8"/>
      <c r="D167" s="8"/>
      <c r="E167" s="8"/>
      <c r="F167" s="8"/>
      <c r="G167" s="16"/>
      <c r="H167" s="29"/>
      <c r="I167" s="37"/>
      <c r="J167" s="63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</row>
    <row r="168" spans="1:24" x14ac:dyDescent="0.2">
      <c r="A168" s="7">
        <f t="shared" si="3"/>
        <v>165</v>
      </c>
      <c r="B168" s="8" t="s">
        <v>163</v>
      </c>
      <c r="C168" s="8"/>
      <c r="D168" s="8"/>
      <c r="E168" s="8"/>
      <c r="F168" s="8"/>
      <c r="H168" s="9"/>
      <c r="I168" s="9"/>
    </row>
    <row r="169" spans="1:24" x14ac:dyDescent="0.2">
      <c r="A169" s="7">
        <f t="shared" si="3"/>
        <v>166</v>
      </c>
      <c r="B169" s="8"/>
      <c r="C169" s="8"/>
      <c r="D169" s="8" t="s">
        <v>164</v>
      </c>
      <c r="E169" s="8"/>
      <c r="F169" s="8"/>
      <c r="H169" s="9">
        <f>9300+(8000/2)</f>
        <v>13300</v>
      </c>
      <c r="I169" s="4"/>
      <c r="J169" s="9">
        <v>53691</v>
      </c>
      <c r="K169" s="72" t="s">
        <v>228</v>
      </c>
    </row>
    <row r="170" spans="1:24" x14ac:dyDescent="0.2">
      <c r="A170" s="7">
        <f t="shared" si="3"/>
        <v>167</v>
      </c>
      <c r="B170" s="8"/>
      <c r="C170" s="8"/>
      <c r="D170" s="8" t="s">
        <v>167</v>
      </c>
      <c r="E170" s="3"/>
      <c r="F170" s="3"/>
      <c r="H170" s="30">
        <v>0</v>
      </c>
      <c r="I170" s="4" t="s">
        <v>6</v>
      </c>
      <c r="J170" s="30">
        <v>0</v>
      </c>
    </row>
    <row r="171" spans="1:24" ht="15" thickBot="1" x14ac:dyDescent="0.25">
      <c r="A171" s="7">
        <f t="shared" si="3"/>
        <v>168</v>
      </c>
      <c r="B171" s="8"/>
      <c r="C171" s="8"/>
      <c r="D171" s="8" t="s">
        <v>165</v>
      </c>
      <c r="E171" s="3"/>
      <c r="F171" s="3"/>
      <c r="H171" s="30">
        <f>-9300-(4000)</f>
        <v>-13300</v>
      </c>
      <c r="I171" s="4" t="s">
        <v>6</v>
      </c>
      <c r="J171" s="30">
        <v>-20000</v>
      </c>
      <c r="K171" s="3" t="s">
        <v>236</v>
      </c>
    </row>
    <row r="172" spans="1:24" ht="16" thickBot="1" x14ac:dyDescent="0.25">
      <c r="A172" s="7">
        <f t="shared" si="3"/>
        <v>169</v>
      </c>
      <c r="B172" s="17" t="s">
        <v>166</v>
      </c>
      <c r="C172" s="18"/>
      <c r="D172" s="46"/>
      <c r="E172" s="46"/>
      <c r="F172" s="46"/>
      <c r="G172" s="44"/>
      <c r="H172" s="20">
        <f>SUM(H169:H171)</f>
        <v>0</v>
      </c>
      <c r="I172" s="35"/>
      <c r="J172" s="20">
        <f>SUM(J169:J171)</f>
        <v>33691</v>
      </c>
      <c r="K172" s="79"/>
    </row>
    <row r="173" spans="1:24" ht="15" thickBot="1" x14ac:dyDescent="0.25">
      <c r="A173" s="7">
        <f t="shared" si="3"/>
        <v>170</v>
      </c>
    </row>
    <row r="174" spans="1:24" ht="38" customHeight="1" thickTop="1" thickBot="1" x14ac:dyDescent="0.25">
      <c r="A174" s="7">
        <f t="shared" si="3"/>
        <v>171</v>
      </c>
      <c r="B174" s="92" t="s">
        <v>181</v>
      </c>
      <c r="C174" s="93"/>
      <c r="D174" s="93"/>
      <c r="E174" s="93"/>
      <c r="F174" s="94"/>
      <c r="H174" s="26" t="s">
        <v>179</v>
      </c>
      <c r="I174" s="55" t="s">
        <v>225</v>
      </c>
      <c r="J174" s="26" t="s">
        <v>220</v>
      </c>
    </row>
    <row r="175" spans="1:24" x14ac:dyDescent="0.2">
      <c r="A175" s="7">
        <f t="shared" si="3"/>
        <v>172</v>
      </c>
      <c r="B175" s="8"/>
      <c r="C175" s="8"/>
      <c r="D175" s="8" t="s">
        <v>150</v>
      </c>
      <c r="F175" s="8"/>
      <c r="H175" s="9">
        <v>26597</v>
      </c>
      <c r="I175" s="36" t="s">
        <v>224</v>
      </c>
      <c r="J175" s="59">
        <f>H175+J150</f>
        <v>18796.248000000021</v>
      </c>
    </row>
    <row r="176" spans="1:24" x14ac:dyDescent="0.2">
      <c r="A176" s="7">
        <f t="shared" si="3"/>
        <v>173</v>
      </c>
      <c r="B176" s="8"/>
      <c r="C176" s="8"/>
      <c r="D176" s="8" t="s">
        <v>151</v>
      </c>
      <c r="F176" s="8"/>
      <c r="H176" s="9">
        <v>319460</v>
      </c>
      <c r="I176" s="3" t="s">
        <v>178</v>
      </c>
      <c r="J176" s="59">
        <f>H176+J166</f>
        <v>245260</v>
      </c>
    </row>
    <row r="177" spans="1:11" ht="15" thickBot="1" x14ac:dyDescent="0.25">
      <c r="A177" s="7">
        <f t="shared" si="3"/>
        <v>174</v>
      </c>
      <c r="D177" s="16" t="s">
        <v>152</v>
      </c>
      <c r="H177" s="83">
        <v>28202</v>
      </c>
      <c r="I177" s="36" t="s">
        <v>223</v>
      </c>
      <c r="J177" s="59">
        <v>30000</v>
      </c>
      <c r="K177" s="3" t="s">
        <v>243</v>
      </c>
    </row>
    <row r="178" spans="1:11" ht="16" thickBot="1" x14ac:dyDescent="0.25">
      <c r="A178" s="7">
        <f t="shared" si="3"/>
        <v>175</v>
      </c>
      <c r="B178" s="47"/>
      <c r="C178" s="44"/>
      <c r="D178" s="18" t="s">
        <v>153</v>
      </c>
      <c r="E178" s="48"/>
      <c r="F178" s="48"/>
      <c r="G178" s="49"/>
      <c r="H178" s="50">
        <f>SUM(H175:H177)</f>
        <v>374259</v>
      </c>
      <c r="I178" s="77" t="s">
        <v>153</v>
      </c>
      <c r="J178" s="76">
        <f>SUM(J175:J177)</f>
        <v>294056.24800000002</v>
      </c>
    </row>
    <row r="179" spans="1:11" x14ac:dyDescent="0.2">
      <c r="A179" s="7" t="s">
        <v>6</v>
      </c>
      <c r="H179" s="9"/>
      <c r="J179" s="59"/>
    </row>
    <row r="180" spans="1:11" x14ac:dyDescent="0.2">
      <c r="A180" s="7"/>
      <c r="H180" s="9"/>
      <c r="J180" s="59"/>
    </row>
    <row r="181" spans="1:11" x14ac:dyDescent="0.2">
      <c r="A181" s="7"/>
      <c r="H181" s="9"/>
      <c r="J181" s="59"/>
    </row>
    <row r="182" spans="1:11" x14ac:dyDescent="0.2">
      <c r="A182" s="7"/>
      <c r="H182" s="9"/>
      <c r="J182" s="59"/>
    </row>
    <row r="183" spans="1:11" x14ac:dyDescent="0.2">
      <c r="A183" s="7"/>
      <c r="H183" s="9"/>
      <c r="J183" s="59"/>
    </row>
    <row r="184" spans="1:11" x14ac:dyDescent="0.2">
      <c r="A184" s="7"/>
      <c r="H184" s="9"/>
      <c r="J184" s="59"/>
    </row>
  </sheetData>
  <mergeCells count="2">
    <mergeCell ref="B1:F2"/>
    <mergeCell ref="B174:F174"/>
  </mergeCells>
  <printOptions gridLines="1"/>
  <pageMargins left="0.2" right="0.2" top="0.25" bottom="0.25" header="0.2" footer="0.2"/>
  <pageSetup scale="75" fitToWidth="0" fitToHeight="0" orientation="portrait" r:id="rId1"/>
  <rowBreaks count="1" manualBreakCount="1">
    <brk id="17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47822-5B11-4093-A8C5-7785F850CDE4}">
  <dimension ref="A1:G15"/>
  <sheetViews>
    <sheetView workbookViewId="0">
      <selection activeCell="C14" sqref="C14"/>
    </sheetView>
  </sheetViews>
  <sheetFormatPr baseColWidth="10" defaultColWidth="8.83203125" defaultRowHeight="15" x14ac:dyDescent="0.2"/>
  <cols>
    <col min="1" max="1" width="19.1640625" bestFit="1" customWidth="1"/>
    <col min="2" max="2" width="9.6640625" bestFit="1" customWidth="1"/>
    <col min="3" max="3" width="9.83203125" bestFit="1" customWidth="1"/>
    <col min="5" max="5" width="12.6640625" bestFit="1" customWidth="1"/>
  </cols>
  <sheetData>
    <row r="1" spans="1:7" x14ac:dyDescent="0.2">
      <c r="A1" s="55" t="s">
        <v>163</v>
      </c>
    </row>
    <row r="3" spans="1:7" x14ac:dyDescent="0.2">
      <c r="A3" t="s">
        <v>188</v>
      </c>
      <c r="E3" t="s">
        <v>193</v>
      </c>
    </row>
    <row r="5" spans="1:7" x14ac:dyDescent="0.2">
      <c r="A5" t="s">
        <v>1</v>
      </c>
      <c r="E5" t="s">
        <v>1</v>
      </c>
    </row>
    <row r="6" spans="1:7" x14ac:dyDescent="0.2">
      <c r="B6" t="s">
        <v>189</v>
      </c>
      <c r="C6" t="s">
        <v>190</v>
      </c>
      <c r="F6" t="s">
        <v>189</v>
      </c>
      <c r="G6" t="s">
        <v>190</v>
      </c>
    </row>
    <row r="10" spans="1:7" x14ac:dyDescent="0.2">
      <c r="A10" t="s">
        <v>191</v>
      </c>
      <c r="E10" t="s">
        <v>191</v>
      </c>
    </row>
    <row r="11" spans="1:7" x14ac:dyDescent="0.2">
      <c r="B11" t="s">
        <v>189</v>
      </c>
      <c r="C11" t="s">
        <v>190</v>
      </c>
      <c r="F11" t="s">
        <v>189</v>
      </c>
      <c r="G11" t="s">
        <v>190</v>
      </c>
    </row>
    <row r="13" spans="1:7" x14ac:dyDescent="0.2">
      <c r="A13" t="s">
        <v>195</v>
      </c>
      <c r="B13" s="56">
        <v>44099</v>
      </c>
      <c r="C13" s="57">
        <v>7375.59</v>
      </c>
    </row>
    <row r="15" spans="1:7" x14ac:dyDescent="0.2">
      <c r="A15" t="s">
        <v>192</v>
      </c>
      <c r="E15" t="s">
        <v>194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P&amp;L</vt:lpstr>
      <vt:lpstr>Grant Account</vt:lpstr>
      <vt:lpstr>'P&amp;L'!Print_Area</vt:lpstr>
      <vt:lpstr>'P&amp;L'!Print_Titles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 Lynch</dc:creator>
  <cp:lastModifiedBy>Clinton Keith</cp:lastModifiedBy>
  <cp:lastPrinted>2020-06-07T19:51:56Z</cp:lastPrinted>
  <dcterms:created xsi:type="dcterms:W3CDTF">2020-04-21T20:20:26Z</dcterms:created>
  <dcterms:modified xsi:type="dcterms:W3CDTF">2021-08-03T18:27:04Z</dcterms:modified>
</cp:coreProperties>
</file>