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ABA6E6D6-049B-463A-B4F9-4A8D4C365440}"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Summary'!$I$1:$Q$112</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0" i="9" l="1"/>
  <c r="Q1" i="23" l="1"/>
  <c r="I1" i="23"/>
  <c r="O45" i="23" l="1"/>
  <c r="G72" i="23"/>
  <c r="J53" i="15" l="1"/>
  <c r="I78" i="14"/>
  <c r="G54" i="23" l="1"/>
  <c r="D109" i="23"/>
  <c r="L105" i="23"/>
  <c r="G97" i="23"/>
  <c r="G93" i="23"/>
  <c r="G91" i="23"/>
  <c r="G89" i="23"/>
  <c r="O88" i="23"/>
  <c r="G87" i="23"/>
  <c r="G78" i="23"/>
  <c r="G77" i="23"/>
  <c r="G76" i="23"/>
  <c r="B75" i="23"/>
  <c r="O71" i="23"/>
  <c r="O69" i="23"/>
  <c r="G67" i="23"/>
  <c r="G66" i="23"/>
  <c r="O62" i="23"/>
  <c r="G61" i="23"/>
  <c r="G58" i="23"/>
  <c r="O55" i="23"/>
  <c r="O51" i="23"/>
  <c r="O50" i="23"/>
  <c r="G47" i="23"/>
  <c r="G45" i="23"/>
  <c r="O40" i="23"/>
  <c r="G40" i="23"/>
  <c r="O39" i="23"/>
  <c r="O29" i="23"/>
  <c r="O27" i="23"/>
  <c r="G25" i="23"/>
  <c r="O23" i="23"/>
  <c r="O19" i="23"/>
  <c r="O15" i="23" s="1"/>
  <c r="O17" i="23" s="1"/>
  <c r="D10" i="23"/>
  <c r="L5" i="23"/>
  <c r="N3" i="23"/>
  <c r="F3" i="23"/>
  <c r="U52" i="15"/>
  <c r="U49" i="15"/>
  <c r="U55" i="15"/>
  <c r="J116" i="15" l="1"/>
  <c r="J115" i="15"/>
  <c r="J114" i="15"/>
  <c r="G72" i="14"/>
  <c r="G71" i="14"/>
  <c r="G70" i="14"/>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O60" i="23" s="1"/>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J128" i="15" l="1"/>
  <c r="O65" i="23"/>
  <c r="AA143" i="15"/>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E36" i="12"/>
  <c r="N13" i="9"/>
  <c r="F37" i="7"/>
  <c r="F39" i="7"/>
  <c r="F40" i="7" s="1"/>
  <c r="B14" i="5" s="1"/>
  <c r="R55" i="12"/>
  <c r="K52" i="12"/>
  <c r="K36" i="12"/>
  <c r="B29" i="5"/>
  <c r="H5" i="6"/>
  <c r="B41" i="5" s="1"/>
  <c r="G21" i="23"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E29" i="8"/>
  <c r="R76" i="12"/>
  <c r="R80" i="12"/>
  <c r="R77" i="12"/>
  <c r="R58" i="12"/>
  <c r="R57" i="12"/>
  <c r="Q14" i="9"/>
  <c r="J39" i="12" s="1"/>
  <c r="Q61" i="9"/>
  <c r="J98"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104" i="23" l="1"/>
  <c r="F20" i="23"/>
  <c r="F14" i="23"/>
  <c r="F107" i="23"/>
  <c r="B49" i="3"/>
  <c r="B23" i="3"/>
  <c r="O49" i="23" s="1"/>
  <c r="Q60" i="9"/>
  <c r="J97" i="12" s="1"/>
  <c r="R97" i="12" s="1"/>
  <c r="K102" i="12" s="1"/>
  <c r="B22" i="3" s="1"/>
  <c r="N45" i="23" s="1"/>
  <c r="N10" i="23"/>
  <c r="N101" i="23"/>
  <c r="N95" i="23"/>
  <c r="N7" i="23"/>
  <c r="B41" i="3"/>
  <c r="O96" i="23" s="1"/>
  <c r="B62" i="3"/>
  <c r="F52" i="12"/>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8" i="3"/>
  <c r="K71" i="1"/>
  <c r="B22" i="5"/>
  <c r="F36" i="12"/>
  <c r="B16" i="3"/>
  <c r="J55" i="15"/>
  <c r="G51" i="23" s="1"/>
  <c r="B48" i="3" l="1"/>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<sst xmlns="http://schemas.openxmlformats.org/spreadsheetml/2006/main" count="2770" uniqueCount="1082">
  <si>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</si>
  <si>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</si>
  <si>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</si>
  <si>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</si>
  <si>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</si>
  <si>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</si>
  <si>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</si>
  <si>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</si>
  <si>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</si>
  <si>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</si>
  <si>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</si>
  <si>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</si>
  <si>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</si>
  <si>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</si>
  <si>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</si>
  <si>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</si>
  <si>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</si>
  <si>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</si>
  <si>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</si>
  <si>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</si>
  <si>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</si>
  <si>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</si>
  <si>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</si>
  <si>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</si>
  <si>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</si>
  <si>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</si>
  <si>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</si>
  <si>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</si>
  <si>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</si>
  <si>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</si>
  <si>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</si>
  <si>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</si>
  <si>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</si>
  <si>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</si>
  <si>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</si>
  <si>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</si>
  <si>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</si>
  <si>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</si>
  <si>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</si>
  <si>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</si>
  <si>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</si>
  <si>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</si>
  <si>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</si>
  <si>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</si>
  <si>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</si>
  <si>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</si>
  <si>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</si>
  <si>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</si>
  <si>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</si>
  <si>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</si>
  <si>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</si>
  <si>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</si>
  <si>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</si>
  <si>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</si>
  <si>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</si>
  <si>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</si>
  <si>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</si>
  <si>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</si>
  <si>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</si>
  <si>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</si>
  <si>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</si>
  <si>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</si>
  <si>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</si>
  <si>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</si>
  <si>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</si>
  <si>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</si>
  <si>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</si>
  <si>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</si>
  <si>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</si>
  <si>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</si>
  <si>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</si>
  <si>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</si>
  <si>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</si>
  <si>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</si>
  <si>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</si>
  <si>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</si>
  <si>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</si>
  <si>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</si>
  <si>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</si>
  <si>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</si>
  <si>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</si>
  <si>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</si>
  <si>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</si>
  <si>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</si>
  <si>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</si>
  <si>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</si>
  <si>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</si>
  <si>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</si>
  <si>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</si>
  <si>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</si>
  <si>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</si>
  <si>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</si>
  <si>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</si>
  <si>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</si>
  <si>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</si>
  <si>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</si>
  <si>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</si>
  <si>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</si>
  <si>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</si>
  <si>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</si>
  <si>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</si>
  <si>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</si>
  <si>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</si>
  <si>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</si>
  <si>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</si>
  <si>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</si>
  <si>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</si>
  <si>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</si>
  <si>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</si>
  <si>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</si>
  <si>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</si>
  <si>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</si>
  <si>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</si>
  <si>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</si>
  <si>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</si>
  <si>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</si>
  <si>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</si>
  <si>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</si>
  <si>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</si>
  <si>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</si>
  <si>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</si>
  <si>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</si>
  <si>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</si>
  <si>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</si>
  <si>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</si>
  <si>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</si>
  <si>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</si>
  <si>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</si>
  <si>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</si>
  <si>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</si>
  <si>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</si>
  <si>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</si>
  <si>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</si>
  <si>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</si>
  <si>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</si>
  <si>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</si>
  <si>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</si>
  <si>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</si>
  <si>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</si>
  <si>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</si>
  <si>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</si>
  <si>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</si>
  <si>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</si>
  <si>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</si>
  <si>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</si>
  <si>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</si>
  <si>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</si>
  <si>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</si>
  <si>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</si>
  <si>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</si>
  <si>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</si>
  <si>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</si>
  <si>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</si>
  <si>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</si>
  <si>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</si>
  <si>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</si>
  <si>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</si>
  <si>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</si>
  <si>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</si>
  <si>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</si>
  <si>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</si>
  <si>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</si>
  <si>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</si>
  <si>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</si>
  <si>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</si>
  <si>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</si>
  <si>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</si>
  <si>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</si>
  <si>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</si>
  <si>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</si>
  <si>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</si>
  <si>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</si>
  <si>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</si>
  <si>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</si>
  <si>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</si>
  <si>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</si>
  <si>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</si>
  <si>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</si>
  <si>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</si>
  <si>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</si>
  <si>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</si>
  <si>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</si>
  <si>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</si>
  <si>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</si>
  <si>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</si>
  <si>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</si>
  <si>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</si>
  <si>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</si>
  <si>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</si>
  <si>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</si>
  <si>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</si>
  <si>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</si>
  <si>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</si>
  <si>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</si>
  <si>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</si>
  <si>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</si>
  <si>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</si>
  <si>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</si>
  <si>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</si>
  <si>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</si>
  <si>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</si>
  <si>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</si>
  <si>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</si>
  <si>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</si>
  <si>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</si>
  <si>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</si>
  <si>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</si>
  <si>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</si>
  <si>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</si>
  <si>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</si>
  <si>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</si>
  <si>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</si>
  <si>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</si>
  <si>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</si>
  <si>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</si>
  <si>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</si>
  <si>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</si>
  <si>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</si>
  <si>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</si>
  <si>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</si>
  <si>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</si>
  <si>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</si>
  <si>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</si>
  <si>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</si>
  <si>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</si>
  <si>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</si>
  <si>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</si>
  <si>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</si>
  <si>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</si>
  <si>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</si>
  <si>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</si>
  <si>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</si>
  <si>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</si>
  <si>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</si>
  <si>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</si>
  <si>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</si>
  <si>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</si>
  <si>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</si>
  <si>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</si>
  <si>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</si>
  <si>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</si>
  <si>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</si>
  <si>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</si>
  <si>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</si>
  <si>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</si>
  <si>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</si>
  <si>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</si>
  <si>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</si>
  <si>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</si>
  <si>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</si>
  <si>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</si>
  <si>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</si>
  <si>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</si>
  <si>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</si>
  <si>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</si>
  <si>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</si>
  <si>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</si>
  <si>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</si>
  <si>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</si>
  <si>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</si>
  <si>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</si>
  <si>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</si>
  <si>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</si>
  <si>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</si>
  <si>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</si>
  <si>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</si>
  <si>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</si>
  <si>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</si>
  <si>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</si>
  <si>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</si>
  <si>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</si>
  <si>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</si>
  <si>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</si>
  <si>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</si>
  <si>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</si>
  <si>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</si>
  <si>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</si>
  <si>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</si>
  <si>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</si>
  <si>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</si>
  <si>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</si>
  <si>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</si>
  <si>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</si>
  <si>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</si>
  <si>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</si>
  <si>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</si>
  <si>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</si>
  <si>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</si>
  <si>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</si>
  <si>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</si>
  <si>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</si>
  <si>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</si>
  <si>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</si>
  <si>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</si>
  <si>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</si>
  <si>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</si>
  <si>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</si>
  <si>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</si>
  <si>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</si>
  <si>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</si>
  <si>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</si>
  <si>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</si>
  <si>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</si>
  <si>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</si>
  <si>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</si>
  <si>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</si>
  <si>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</si>
  <si>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</si>
  <si>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</si>
  <si>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</si>
  <si>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</si>
  <si>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</si>
  <si>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</si>
  <si>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</si>
  <si>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</si>
  <si>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</si>
  <si>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</si>
  <si>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</si>
  <si>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</si>
  <si>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</si>
  <si>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</si>
  <si>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</si>
  <si>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</si>
  <si>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</si>
  <si>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</si>
  <si>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</si>
  <si>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</si>
  <si>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</si>
  <si>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</si>
  <si>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</si>
  <si>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</si>
  <si>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</si>
  <si>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</si>
  <si>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</si>
  <si>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</si>
  <si>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</si>
  <si>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</si>
  <si>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</si>
  <si>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</si>
  <si>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</si>
  <si>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</si>
  <si>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</si>
  <si>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</si>
  <si>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</si>
  <si>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</si>
  <si>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</si>
  <si>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</si>
  <si>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</si>
  <si>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</si>
  <si>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</si>
  <si>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</si>
  <si>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</si>
  <si>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</si>
  <si>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</si>
  <si>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</si>
  <si>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</si>
  <si>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</si>
  <si>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</si>
  <si>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</si>
  <si>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</si>
  <si>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</si>
  <si>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</si>
  <si>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</si>
  <si>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</si>
  <si>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</si>
  <si>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</si>
  <si>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</si>
  <si>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</si>
  <si>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</si>
  <si>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</si>
  <si>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</si>
  <si>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</si>
  <si>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</si>
  <si>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</si>
  <si>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</si>
  <si>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</si>
  <si>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</si>
  <si>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</si>
  <si>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</si>
  <si>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</si>
  <si>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</si>
  <si>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</si>
  <si>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</si>
  <si>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</si>
  <si>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</si>
  <si>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</si>
  <si>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</si>
  <si>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</si>
  <si>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</si>
  <si>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</si>
  <si>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</si>
  <si>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</si>
  <si>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</si>
  <si>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</si>
  <si>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</si>
  <si>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</si>
  <si>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</si>
  <si>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</si>
  <si>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</si>
  <si>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</si>
  <si>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</si>
  <si>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</si>
  <si>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</si>
  <si>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</si>
  <si>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</si>
  <si>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</si>
  <si>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</si>
  <si>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</si>
  <si>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</si>
  <si>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</si>
  <si>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</si>
  <si>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</si>
  <si>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</si>
  <si>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</si>
  <si>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</si>
  <si>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</si>
  <si>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</si>
  <si>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</si>
  <si>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</si>
  <si>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</si>
  <si>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</si>
  <si>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</si>
  <si>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</si>
  <si>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</si>
  <si>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</si>
  <si>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</si>
  <si>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</si>
  <si>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</si>
  <si>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</si>
  <si>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</si>
  <si>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</si>
  <si>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</si>
  <si>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</si>
  <si>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</si>
  <si>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</si>
  <si>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</si>
  <si>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</si>
  <si>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</si>
  <si>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</si>
  <si>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</si>
  <si>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</si>
  <si>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</si>
  <si>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</si>
  <si>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</si>
  <si>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</si>
  <si>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</si>
  <si>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</si>
  <si>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</si>
  <si>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</si>
  <si>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</si>
  <si>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</si>
  <si>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</si>
  <si>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</si>
  <si>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</si>
  <si>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</si>
  <si>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</si>
  <si>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</si>
  <si>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</si>
  <si>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</si>
  <si>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</si>
  <si>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</si>
  <si>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</si>
  <si>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</si>
  <si>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</si>
  <si>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</si>
  <si>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</si>
  <si>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</si>
  <si>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</si>
  <si>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</si>
  <si>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</si>
  <si>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</si>
  <si>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</si>
  <si>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</si>
  <si>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</si>
  <si>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</si>
  <si>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</si>
  <si>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</si>
  <si>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</si>
  <si>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</si>
  <si>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</si>
  <si>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</si>
  <si>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</si>
  <si>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</si>
  <si>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</si>
  <si>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</si>
  <si>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</si>
  <si>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</si>
  <si>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</si>
  <si>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</si>
  <si>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</si>
  <si>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</si>
  <si>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</si>
  <si>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</si>
  <si>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</si>
  <si>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</si>
  <si>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</si>
  <si>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</si>
  <si>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</si>
  <si>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</si>
  <si>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</si>
  <si>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</si>
  <si>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</si>
  <si>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</si>
  <si>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</si>
  <si>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</si>
  <si>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</si>
  <si>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</si>
  <si>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</si>
  <si>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</si>
  <si>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</si>
  <si>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</si>
  <si>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</si>
  <si>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</si>
  <si>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</si>
  <si>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</si>
  <si>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</si>
  <si>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</si>
  <si>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</si>
  <si>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</si>
  <si>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</si>
  <si>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</si>
  <si>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</si>
  <si>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</si>
  <si>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</si>
  <si>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</si>
  <si>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</si>
  <si>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</si>
  <si>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</si>
  <si>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</si>
  <si>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</si>
  <si>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</si>
  <si>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</si>
  <si>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</si>
  <si>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</si>
  <si>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</si>
  <si>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</si>
  <si>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</si>
  <si>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</si>
  <si>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</si>
  <si>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</si>
  <si>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</si>
  <si>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</si>
  <si>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</si>
  <si>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</si>
  <si>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</si>
  <si>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</si>
  <si>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</si>
  <si>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</si>
  <si>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</si>
  <si>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</si>
  <si>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</si>
  <si>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</si>
  <si>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</si>
  <si>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</si>
  <si>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</si>
  <si>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</si>
  <si>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</si>
  <si>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</si>
  <si>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</si>
  <si>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</si>
  <si>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</si>
  <si>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</si>
  <si>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</si>
  <si>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</si>
  <si>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</si>
  <si>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</si>
  <si>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</si>
  <si>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</si>
  <si>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</si>
  <si>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</si>
  <si>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</si>
  <si>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</si>
  <si>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</si>
  <si>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</si>
  <si>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</si>
  <si>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</si>
  <si>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</si>
  <si>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</si>
  <si>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</si>
  <si>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</si>
  <si>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</si>
  <si>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</si>
  <si>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</si>
  <si>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</si>
  <si>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</si>
  <si>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</si>
  <si>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</si>
  <si>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</si>
  <si>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</si>
  <si>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</si>
  <si>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</si>
  <si>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</si>
  <si>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</si>
  <si>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</si>
  <si>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</si>
  <si>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</si>
  <si>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</si>
  <si>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</si>
  <si>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</si>
  <si>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</si>
  <si>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</si>
  <si>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</si>
  <si>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</si>
  <si>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</si>
  <si>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</si>
  <si>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</si>
  <si>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</si>
  <si>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</si>
  <si>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</si>
  <si>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</si>
  <si>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</si>
  <si>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</si>
  <si>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</si>
  <si>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</si>
  <si>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</si>
  <si>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</si>
  <si>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</si>
  <si>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</si>
  <si>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</si>
  <si>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</si>
  <si>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</si>
  <si>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</si>
  <si>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</si>
  <si>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</si>
  <si>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</si>
  <si>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</si>
  <si>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</si>
  <si>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</si>
  <si>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</si>
  <si>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</si>
  <si>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</si>
  <si>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</si>
  <si>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</si>
  <si>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</si>
  <si>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</si>
  <si>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</si>
  <si>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</si>
  <si>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</si>
  <si>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</si>
  <si>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</si>
  <si>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</si>
  <si>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</si>
  <si>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</si>
  <si>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</si>
  <si>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</si>
  <si>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</si>
  <si>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</si>
  <si>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</si>
  <si>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</si>
  <si>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</si>
  <si>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</si>
  <si>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</si>
  <si>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</si>
  <si>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</si>
  <si>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</si>
  <si>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</si>
  <si>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</si>
  <si>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</si>
  <si>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</si>
  <si>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</si>
  <si>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</si>
  <si>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</si>
  <si>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</si>
  <si>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</si>
  <si>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</si>
  <si>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</si>
  <si>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</si>
  <si>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</si>
  <si>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</si>
  <si>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</si>
  <si>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</si>
  <si>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</si>
  <si>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</si>
  <si>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</si>
  <si>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</si>
  <si>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</si>
  <si>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</si>
  <si>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</si>
  <si>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</si>
  <si>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</si>
  <si>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</si>
  <si>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</si>
  <si>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</si>
  <si>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</si>
  <si>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</si>
  <si>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</si>
  <si>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</si>
  <si>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</si>
  <si>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</si>
  <si>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</si>
  <si>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</si>
  <si>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</si>
  <si>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</si>
  <si>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</si>
  <si>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</si>
  <si>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</si>
  <si>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</si>
  <si>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</si>
  <si>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</si>
  <si>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</si>
  <si>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</si>
  <si>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</si>
  <si>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</si>
  <si>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</si>
  <si>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</si>
  <si>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</si>
  <si>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</si>
  <si>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</si>
  <si>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</si>
  <si>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</si>
  <si>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</si>
  <si>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</si>
  <si>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</si>
  <si>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</si>
  <si>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</si>
  <si>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</si>
  <si>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</si>
  <si>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</si>
  <si>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</si>
  <si>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</si>
  <si>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</si>
  <si>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</si>
  <si>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</si>
  <si>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</si>
  <si>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</si>
  <si>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</si>
  <si>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</si>
  <si>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</si>
  <si>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</si>
  <si>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</si>
  <si>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</si>
  <si>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</si>
  <si>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</si>
  <si>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</si>
  <si>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</si>
  <si>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</si>
  <si>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</si>
  <si>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</si>
  <si>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</si>
  <si>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</si>
  <si>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</si>
  <si>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</si>
  <si>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</si>
  <si>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</si>
  <si>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</si>
  <si>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</si>
  <si>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</si>
  <si>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</si>
  <si>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</si>
  <si>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</si>
  <si>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</si>
  <si>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</si>
  <si>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</si>
  <si>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</si>
  <si>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</si>
  <si>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</si>
  <si>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</si>
  <si>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</si>
  <si>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</si>
  <si>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</si>
  <si>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</si>
  <si>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</si>
  <si>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</si>
  <si>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</si>
  <si>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</si>
  <si>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</si>
  <si>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</si>
  <si>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</si>
  <si>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</si>
  <si>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</si>
  <si>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</si>
  <si>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</si>
  <si>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</si>
  <si>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</si>
  <si>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</si>
  <si>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</si>
  <si>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</si>
  <si>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</si>
  <si>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</si>
  <si>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</si>
  <si>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</si>
  <si>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</si>
  <si>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</si>
  <si>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</si>
  <si>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</si>
  <si>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</si>
  <si>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</si>
  <si>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</si>
  <si>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</si>
  <si>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</si>
  <si>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</si>
  <si>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</si>
  <si>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</si>
  <si>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</si>
  <si>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</si>
  <si>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</si>
  <si>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</si>
  <si>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</si>
  <si>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</si>
  <si>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</si>
  <si>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</si>
  <si>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</si>
  <si>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</si>
  <si>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</si>
  <si>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</si>
  <si>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</si>
  <si>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</si>
  <si>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</si>
  <si>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</si>
  <si>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</si>
  <si>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</si>
  <si>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</si>
  <si>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</si>
  <si>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</si>
  <si>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</si>
  <si>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</si>
  <si>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</si>
  <si>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</si>
  <si>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</si>
  <si>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</si>
  <si>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</si>
  <si>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</si>
  <si>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</si>
  <si>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</si>
  <si>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</si>
  <si>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</si>
  <si>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</si>
  <si>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</si>
  <si>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</si>
  <si>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</si>
  <si>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</si>
  <si>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</si>
  <si>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</si>
  <si>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</si>
  <si>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</si>
  <si>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</si>
  <si>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</si>
  <si>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</si>
  <si>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</si>
  <si>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</si>
  <si>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</si>
  <si>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</si>
  <si>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</si>
  <si>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</si>
  <si>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</si>
  <si>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</si>
  <si>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</si>
  <si>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</si>
  <si>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</si>
  <si>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</si>
  <si>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</si>
  <si>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</si>
  <si>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</si>
  <si>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</si>
  <si>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</si>
  <si>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</si>
  <si>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</si>
  <si>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</si>
  <si>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</si>
  <si>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</si>
  <si>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</si>
  <si>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</si>
  <si>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</si>
  <si>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</si>
  <si>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</si>
  <si>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</si>
  <si>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</si>
  <si>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</si>
  <si>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</si>
  <si>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</si>
  <si>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</si>
  <si>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</si>
  <si>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</si>
  <si>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</si>
  <si>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</si>
  <si>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</si>
  <si>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</si>
  <si>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</si>
  <si>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</si>
  <si>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</si>
  <si>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</si>
  <si>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</si>
  <si>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</si>
  <si>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</si>
  <si>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</si>
  <si>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</si>
  <si>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</si>
  <si>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</si>
  <si>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</si>
  <si>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</si>
  <si>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</si>
  <si>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</si>
  <si>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</si>
  <si>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</si>
  <si>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</si>
  <si>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</si>
  <si>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</si>
  <si>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</si>
  <si>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</si>
  <si>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</si>
  <si>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</si>
  <si>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</si>
  <si>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</si>
  <si>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</si>
  <si>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</si>
  <si>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</si>
  <si>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</si>
  <si>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</si>
  <si>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</si>
  <si>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</si>
  <si>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</si>
  <si>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</si>
  <si>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</si>
  <si>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</si>
  <si>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</si>
  <si>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</si>
  <si>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</si>
  <si>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</si>
  <si>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</si>
  <si>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</si>
  <si>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</si>
  <si>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</si>
  <si>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</si>
  <si>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</si>
  <si>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</si>
  <si>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</si>
  <si>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</si>
  <si>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</si>
  <si>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</si>
  <si>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</si>
  <si>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</si>
  <si>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</si>
  <si>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</si>
  <si>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</si>
  <si>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</si>
  <si>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</si>
  <si>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</si>
  <si>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</si>
  <si>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</si>
  <si>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</si>
  <si>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</si>
  <si>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</si>
  <si>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</si>
  <si>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</si>
  <si>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</si>
  <si>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</si>
  <si>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</si>
  <si>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</si>
  <si>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</si>
  <si>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</si>
  <si>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</si>
  <si>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</si>
  <si>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</si>
  <si>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</si>
  <si>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</si>
  <si>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</si>
  <si>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</si>
  <si>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</si>
  <si>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</si>
  <si>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</si>
  <si>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</si>
  <si>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</si>
  <si>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</si>
  <si>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</si>
  <si>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</si>
  <si>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</si>
  <si>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</si>
  <si>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</si>
  <si>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</si>
  <si>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</si>
  <si>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</si>
  <si>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</si>
  <si>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</si>
  <si>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Noise Temperature Calculator (after first LNA - see block diagram for more details)</t>
  </si>
  <si>
    <t>Transceiver - AX5043</t>
  </si>
  <si>
    <t>MiniCirc BPF-C450+</t>
  </si>
  <si>
    <t>Qorvo QPC1022</t>
  </si>
  <si>
    <t>SAW - Mur. SF2446E</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</si>
  <si>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</si>
  <si>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</si>
  <si>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</si>
  <si>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</si>
  <si>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</si>
  <si>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</si>
  <si>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</si>
  <si>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</si>
  <si>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</si>
  <si>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</si>
  <si>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</si>
  <si>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</si>
  <si>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</si>
  <si>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</si>
  <si>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</si>
  <si>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</si>
  <si>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</si>
  <si>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</si>
  <si>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</si>
  <si>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</si>
  <si>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</si>
  <si>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</si>
  <si>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</si>
  <si>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</si>
  <si>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</si>
  <si>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</si>
  <si>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</si>
  <si>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</si>
  <si>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</si>
  <si>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</si>
  <si>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</si>
  <si>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</si>
  <si>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</si>
  <si>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</si>
  <si>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</si>
  <si>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</si>
  <si>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</si>
  <si>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</si>
  <si>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</si>
  <si>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</si>
  <si>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</si>
  <si>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</si>
  <si>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</si>
  <si>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COMMAND</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</si>
  <si>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</si>
  <si>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</si>
  <si>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</si>
  <si>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</si>
  <si>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</si>
  <si>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</si>
  <si>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</si>
  <si>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</si>
  <si>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</si>
  <si>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</si>
  <si>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</si>
  <si>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</si>
  <si>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</si>
  <si>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</si>
  <si>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</si>
  <si>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</si>
  <si>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</si>
  <si>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</si>
  <si>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</si>
  <si>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</si>
  <si>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</si>
  <si>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</si>
  <si>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</si>
  <si>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</si>
  <si>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</si>
  <si>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</si>
  <si>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</si>
  <si>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</si>
  <si>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</si>
  <si>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</si>
  <si>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</si>
  <si>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</si>
  <si>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</si>
  <si>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</si>
  <si>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</si>
  <si>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</si>
  <si>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</si>
  <si>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</si>
  <si>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2.04</t>
  </si>
  <si>
    <t>Connectors  X  0.066 dB/con. =</t>
  </si>
  <si>
    <t>SMPM @ 440</t>
  </si>
  <si>
    <t>Calculated</t>
  </si>
  <si>
    <t>X .066 dB/Con.=</t>
  </si>
  <si>
    <t>Canted Turnstyle (back)</t>
  </si>
  <si>
    <t>VSWR 1.2 ??</t>
  </si>
  <si>
    <t>2019 September 8</t>
  </si>
  <si>
    <t>Infineon BGB707L7ESD</t>
  </si>
  <si>
    <t>Elevation:</t>
  </si>
  <si>
    <t>Link Losses:</t>
  </si>
  <si>
    <t>C.W. for 100 Hz</t>
  </si>
  <si>
    <t>NA</t>
  </si>
  <si>
    <t>Linear</t>
  </si>
  <si>
    <t>RG-58</t>
  </si>
  <si>
    <t>Receiver</t>
  </si>
  <si>
    <t>Bn = 20 dB-Hz (100Hz)</t>
  </si>
  <si>
    <t>C/N = 3 dB for average DXer</t>
  </si>
  <si>
    <t>BEACON</t>
  </si>
  <si>
    <t>Public Beacon - 436.5 MHz C.W. using Handheld</t>
  </si>
  <si>
    <t>C/No = C/N + Bn</t>
  </si>
  <si>
    <t>C/No 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</si>
</sst>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 numFmtId="201" formatCode="0\ &quot;Hz&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80">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xf numFmtId="201" fontId="1" fillId="4" borderId="6" xfId="8" applyNumberFormat="1" applyFill="1" applyBorder="1" applyAlignment="1">
      <alignment horizontal="center"/>
    </xf>
    <xf numFmtId="0" fontId="6" fillId="0" borderId="0" xfId="0" applyFont="1"/>
    <xf numFmtId="0" fontId="6" fillId="3" borderId="24" xfId="8"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4168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498475</xdr:colOff>
      <xdr:row>75</xdr:row>
      <xdr:rowOff>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6010275" y="1236345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660400</xdr:colOff>
      <xdr:row>21</xdr:row>
      <xdr:rowOff>73025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6172200" y="36607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88900</xdr:colOff>
      <xdr:row>1</xdr:row>
      <xdr:rowOff>88900</xdr:rowOff>
    </xdr:from>
    <xdr:to>
      <xdr:col>7</xdr:col>
      <xdr:colOff>146050</xdr:colOff>
      <xdr:row>111</xdr:row>
      <xdr:rowOff>44450</xdr:rowOff>
    </xdr:to>
    <xdr:cxnSp macro="">
      <xdr:nvCxnSpPr>
        <xdr:cNvPr id="55" name="Straight Connector 54">
          <a:extLst>
            <a:ext uri="{FF2B5EF4-FFF2-40B4-BE49-F238E27FC236}">
              <a16:creationId xmlns:a16="http://schemas.microsoft.com/office/drawing/2014/main" id="{5EFB01E9-04F2-4E19-B51E-72E005D0AD1A}"/>
            </a:ext>
          </a:extLst>
        </xdr:cNvPr>
        <xdr:cNvCxnSpPr/>
      </xdr:nvCxnSpPr>
      <xdr:spPr bwMode="auto">
        <a:xfrm>
          <a:off x="88900" y="323850"/>
          <a:ext cx="5321300" cy="184023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76200</xdr:colOff>
      <xdr:row>1</xdr:row>
      <xdr:rowOff>88900</xdr:rowOff>
    </xdr:from>
    <xdr:to>
      <xdr:col>7</xdr:col>
      <xdr:colOff>120650</xdr:colOff>
      <xdr:row>111</xdr:row>
      <xdr:rowOff>76200</xdr:rowOff>
    </xdr:to>
    <xdr:cxnSp macro="">
      <xdr:nvCxnSpPr>
        <xdr:cNvPr id="58" name="Straight Connector 57">
          <a:extLst>
            <a:ext uri="{FF2B5EF4-FFF2-40B4-BE49-F238E27FC236}">
              <a16:creationId xmlns:a16="http://schemas.microsoft.com/office/drawing/2014/main" id="{6244B1C3-BA44-437D-9A16-3CDA17C2F3D0}"/>
            </a:ext>
          </a:extLst>
        </xdr:cNvPr>
        <xdr:cNvCxnSpPr/>
      </xdr:nvCxnSpPr>
      <xdr:spPr bwMode="auto">
        <a:xfrm flipH="1">
          <a:off x="76200" y="323850"/>
          <a:ext cx="5308600" cy="18434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8</xdr:col>
      <xdr:colOff>260350</xdr:colOff>
      <xdr:row>106</xdr:row>
      <xdr:rowOff>88900</xdr:rowOff>
    </xdr:from>
    <xdr:to>
      <xdr:col>16</xdr:col>
      <xdr:colOff>513080</xdr:colOff>
      <xdr:row>106</xdr:row>
      <xdr:rowOff>88900</xdr:rowOff>
    </xdr:to>
    <xdr:cxnSp macro="">
      <xdr:nvCxnSpPr>
        <xdr:cNvPr id="56" name="Straight Connector 55">
          <a:extLst>
            <a:ext uri="{FF2B5EF4-FFF2-40B4-BE49-F238E27FC236}">
              <a16:creationId xmlns:a16="http://schemas.microsoft.com/office/drawing/2014/main" id="{C4AA6573-95D1-4160-B812-E24278A0984F}"/>
            </a:ext>
          </a:extLst>
        </xdr:cNvPr>
        <xdr:cNvCxnSpPr/>
      </xdr:nvCxnSpPr>
      <xdr:spPr bwMode="auto">
        <a:xfrm>
          <a:off x="5772150" y="17494250"/>
          <a:ext cx="5669280" cy="0"/>
        </a:xfrm>
        <a:prstGeom prst="line">
          <a:avLst/>
        </a:prstGeom>
        <a:solidFill>
          <a:srgbClr val="FFFFFF"/>
        </a:solidFill>
        <a:ln w="38100" cap="flat" cmpd="sng" algn="ctr">
          <a:solidFill>
            <a:srgbClr val="FF0000"/>
          </a:solidFill>
          <a:prstDash val="solid"/>
          <a:round/>
          <a:headEnd type="none" w="med" len="med"/>
          <a:tailEnd type="none" w="med" len="med"/>
        </a:ln>
        <a:effectLst/>
      </xdr:spPr>
    </xdr:cxnSp>
    <xdr:clientData/>
  </xdr:twoCellAnchor>
  <xdr:twoCellAnchor>
    <xdr:from>
      <xdr:col>9</xdr:col>
      <xdr:colOff>546100</xdr:colOff>
      <xdr:row>4</xdr:row>
      <xdr:rowOff>88900</xdr:rowOff>
    </xdr:from>
    <xdr:to>
      <xdr:col>12</xdr:col>
      <xdr:colOff>298450</xdr:colOff>
      <xdr:row>4</xdr:row>
      <xdr:rowOff>88900</xdr:rowOff>
    </xdr:to>
    <xdr:cxnSp macro="">
      <xdr:nvCxnSpPr>
        <xdr:cNvPr id="61" name="Straight Connector 60">
          <a:extLst>
            <a:ext uri="{FF2B5EF4-FFF2-40B4-BE49-F238E27FC236}">
              <a16:creationId xmlns:a16="http://schemas.microsoft.com/office/drawing/2014/main" id="{EBED7F40-3650-4FBE-A8FF-7CF18063A724}"/>
            </a:ext>
          </a:extLst>
        </xdr:cNvPr>
        <xdr:cNvCxnSpPr/>
      </xdr:nvCxnSpPr>
      <xdr:spPr bwMode="auto">
        <a:xfrm>
          <a:off x="6819900" y="844550"/>
          <a:ext cx="1828800" cy="0"/>
        </a:xfrm>
        <a:prstGeom prst="line">
          <a:avLst/>
        </a:prstGeom>
        <a:solidFill>
          <a:srgbClr val="FFFFFF"/>
        </a:solidFill>
        <a:ln w="381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8</xdr:col>
      <xdr:colOff>458049</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38404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486834</xdr:colOff>
      <xdr:row>83</xdr:row>
      <xdr:rowOff>65621</xdr:rowOff>
    </xdr:from>
    <xdr:to>
      <xdr:col>7</xdr:col>
      <xdr:colOff>5292</xdr:colOff>
      <xdr:row>88</xdr:row>
      <xdr:rowOff>63503</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533247" y="13518625"/>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65621</xdr:colOff>
      <xdr:row>84</xdr:row>
      <xdr:rowOff>43390</xdr:rowOff>
    </xdr:from>
    <xdr:to>
      <xdr:col>5</xdr:col>
      <xdr:colOff>94192</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2520954"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498478</xdr:colOff>
      <xdr:row>84</xdr:row>
      <xdr:rowOff>42331</xdr:rowOff>
    </xdr:from>
    <xdr:to>
      <xdr:col>8</xdr:col>
      <xdr:colOff>545043</xdr:colOff>
      <xdr:row>87</xdr:row>
      <xdr:rowOff>77258</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795311" y="13631331"/>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13762</xdr:colOff>
      <xdr:row>80</xdr:row>
      <xdr:rowOff>58208</xdr:rowOff>
    </xdr:from>
    <xdr:to>
      <xdr:col>8</xdr:col>
      <xdr:colOff>463975</xdr:colOff>
      <xdr:row>89</xdr:row>
      <xdr:rowOff>120014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310595" y="13012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4.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5.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6.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9" t="s">
        <v>933</v>
      </c>
      <c r="H1" s="1060"/>
      <c r="I1" s="1056" t="s">
        <v>959</v>
      </c>
      <c r="J1" s="1057"/>
      <c r="K1" s="1057"/>
      <c r="L1" s="1057"/>
      <c r="M1" s="1058"/>
      <c r="N1" s="556"/>
      <c r="O1" s="127"/>
      <c r="P1" s="127"/>
    </row>
    <row r="2" spans="1:16" ht="25">
      <c r="A2" s="52"/>
      <c r="B2" s="57" t="s">
        <v>477</v>
      </c>
      <c r="C2" s="53"/>
      <c r="D2" s="53"/>
      <c r="E2" s="53"/>
      <c r="F2" s="56" t="s">
        <v>943</v>
      </c>
      <c r="G2" s="54"/>
      <c r="H2" s="55"/>
      <c r="I2" s="55"/>
      <c r="J2" s="55"/>
      <c r="K2" s="55"/>
      <c r="L2" s="55"/>
      <c r="M2" s="55"/>
      <c r="N2" s="44"/>
      <c r="O2" s="44"/>
      <c r="P2" s="44"/>
    </row>
    <row r="3" spans="1:16" ht="25">
      <c r="A3" s="52"/>
      <c r="B3" s="57" t="s">
        <v>833</v>
      </c>
      <c r="C3" s="53"/>
      <c r="D3" s="53"/>
      <c r="E3" s="53"/>
      <c r="F3" s="56" t="s">
        <v>942</v>
      </c>
      <c r="G3" s="54"/>
      <c r="H3" s="55"/>
      <c r="I3" s="55"/>
      <c r="J3" s="55"/>
      <c r="K3" s="55"/>
      <c r="L3" s="55"/>
      <c r="M3" s="55"/>
      <c r="N3" s="44"/>
      <c r="O3" s="44"/>
      <c r="P3" s="44"/>
    </row>
    <row r="4" spans="1:16" ht="13">
      <c r="A4" s="1" t="s">
        <v>936</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940</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939</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938</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1079</v>
      </c>
      <c r="G16" s="3"/>
      <c r="H16" s="3"/>
      <c r="I16" s="3"/>
      <c r="J16" s="3"/>
      <c r="K16" s="3"/>
      <c r="L16" s="3"/>
      <c r="M16" s="3"/>
      <c r="N16" s="3"/>
      <c r="O16" s="3"/>
      <c r="P16" s="3"/>
    </row>
    <row r="17" spans="1:16" ht="16" thickBot="1">
      <c r="A17" s="3"/>
      <c r="B17" s="3"/>
      <c r="C17" s="3"/>
      <c r="D17" s="4" t="s">
        <v>830</v>
      </c>
      <c r="E17" s="3"/>
      <c r="F17" s="895" t="s">
        <v>941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1020</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1067</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1031</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2">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2">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31" zoomScale="120" zoomScaleNormal="120" workbookViewId="0">
      <selection activeCell="H57" sqref="H57"/>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 - CS0</v>
      </c>
      <c r="F1" s="127"/>
      <c r="G1" s="610" t="str">
        <f>'Title Page'!F23</f>
        <v>2019 September 8</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982</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982</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983</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983</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20</v>
      </c>
      <c r="F31" s="652" t="str">
        <f>INDEX(C34:C53,E31,1)</f>
        <v>C.W. for 100 Hz</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23</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982</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982</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983</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1071</v>
      </c>
      <c r="D53" s="69" t="s">
        <v>847</v>
      </c>
      <c r="E53" s="78" t="s">
        <v>1072</v>
      </c>
      <c r="F53" s="77">
        <v>23</v>
      </c>
      <c r="G53" s="394"/>
      <c r="H53" s="394" t="s">
        <v>1080</v>
      </c>
      <c r="I53" s="233"/>
      <c r="J53" s="233"/>
      <c r="K53" s="233"/>
      <c r="L53" s="233"/>
      <c r="M53" s="233"/>
      <c r="N53" s="233"/>
      <c r="O53" s="233"/>
      <c r="P53" s="233"/>
      <c r="Q53" s="233"/>
      <c r="R53" s="233"/>
      <c r="S53" s="233"/>
      <c r="T53" s="233"/>
      <c r="U53" s="233"/>
    </row>
    <row r="54" spans="1:21" ht="13.5" thickBot="1">
      <c r="A54" s="233"/>
      <c r="B54" s="233"/>
      <c r="C54" s="233"/>
      <c r="D54" s="246" t="s">
        <v>330</v>
      </c>
      <c r="E54" s="233"/>
      <c r="F54" s="245"/>
      <c r="G54" s="394"/>
      <c r="H54" s="1054" t="s">
        <v>1077</v>
      </c>
      <c r="I54" s="233"/>
      <c r="J54" s="233"/>
      <c r="K54" s="233"/>
      <c r="L54" s="233"/>
      <c r="M54" s="233"/>
      <c r="N54" s="233"/>
      <c r="O54" s="233"/>
      <c r="P54" s="233"/>
      <c r="Q54" s="233"/>
      <c r="R54" s="233"/>
      <c r="S54" s="233"/>
      <c r="T54" s="233"/>
      <c r="U54" s="233"/>
    </row>
    <row r="55" spans="1:21" ht="16" thickBot="1">
      <c r="A55" s="233"/>
      <c r="B55" s="233"/>
      <c r="C55" s="233"/>
      <c r="D55" s="637" t="s">
        <v>857</v>
      </c>
      <c r="E55" s="638">
        <v>0</v>
      </c>
      <c r="F55" s="71" t="s">
        <v>757</v>
      </c>
      <c r="G55" s="394"/>
      <c r="H55" s="394" t="s">
        <v>1076</v>
      </c>
      <c r="I55" s="233"/>
      <c r="J55" s="233"/>
      <c r="K55" s="233"/>
      <c r="L55" s="233"/>
      <c r="M55" s="233"/>
      <c r="N55" s="233"/>
      <c r="O55" s="233"/>
      <c r="P55" s="233"/>
      <c r="Q55" s="233"/>
      <c r="R55" s="233"/>
      <c r="S55" s="233"/>
      <c r="T55" s="233"/>
      <c r="U55" s="233"/>
    </row>
    <row r="56" spans="1:21" ht="13">
      <c r="A56" s="233"/>
      <c r="B56" s="345" t="s">
        <v>140</v>
      </c>
      <c r="C56" s="233"/>
      <c r="D56" s="233"/>
      <c r="E56" s="233"/>
      <c r="F56" s="233"/>
      <c r="G56" s="394"/>
      <c r="H56" s="394"/>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8" sqref="B28"/>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5" t="s">
        <v>140</v>
      </c>
      <c r="C1" s="44"/>
      <c r="D1" s="617" t="str">
        <f>'Title Page'!F3</f>
        <v>OreSat - CS0</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v>
      </c>
      <c r="E2" s="58"/>
      <c r="F2" s="58" t="str">
        <f>'Title Page'!F23</f>
        <v>2019 September 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1</v>
      </c>
      <c r="C6" s="91" t="s">
        <v>781</v>
      </c>
      <c r="D6" s="419" t="s">
        <v>385</v>
      </c>
      <c r="E6" s="419"/>
      <c r="F6" s="419"/>
      <c r="G6" s="419"/>
      <c r="H6" s="419"/>
      <c r="I6" s="419"/>
      <c r="J6" s="420" t="s">
        <v>414</v>
      </c>
      <c r="K6" s="411"/>
      <c r="L6" s="410"/>
      <c r="M6" s="91"/>
      <c r="N6" s="91"/>
      <c r="O6" s="91"/>
      <c r="P6" s="91"/>
      <c r="Q6" s="91"/>
      <c r="R6" s="91"/>
    </row>
    <row r="7" spans="1:18">
      <c r="A7" s="424" t="s">
        <v>787</v>
      </c>
      <c r="B7" s="132">
        <f>10*LOG10(B6)</f>
        <v>0</v>
      </c>
      <c r="C7" s="91" t="s">
        <v>782</v>
      </c>
      <c r="D7" s="419" t="s">
        <v>376</v>
      </c>
      <c r="E7" s="419"/>
      <c r="F7" s="419"/>
      <c r="G7" s="419"/>
      <c r="H7" s="419"/>
      <c r="I7" s="419"/>
      <c r="J7" s="91"/>
      <c r="K7" s="91"/>
      <c r="L7" s="91"/>
      <c r="M7" s="91"/>
      <c r="N7" s="91"/>
      <c r="O7" s="91"/>
      <c r="P7" s="91"/>
      <c r="Q7" s="91"/>
      <c r="R7" s="91"/>
    </row>
    <row r="8" spans="1:18">
      <c r="A8" s="424" t="s">
        <v>788</v>
      </c>
      <c r="B8" s="347">
        <f>B7+30</f>
        <v>30</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12.884166</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-137.5041741356408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67.306282532650016</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17.306282532650016</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6.4062825326500157</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-137.81773413564079</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15.545369942093231</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4.6453699420932306</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34" zoomScale="120" zoomScaleNormal="120" workbookViewId="0">
      <selection activeCell="B28" sqref="B28"/>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5" t="s">
        <v>140</v>
      </c>
      <c r="C1" s="44" t="s">
        <v>715</v>
      </c>
      <c r="D1" s="617" t="str">
        <f>'Title Page'!F3</f>
        <v>OreSat - CS0</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v>
      </c>
      <c r="E2" s="58"/>
      <c r="F2" s="59" t="str">
        <f>'Title Page'!F23</f>
        <v>2019 September 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0.1</v>
      </c>
      <c r="C6" s="91" t="s">
        <v>781</v>
      </c>
      <c r="D6" s="419" t="s">
        <v>384</v>
      </c>
      <c r="E6" s="419"/>
      <c r="F6" s="419"/>
      <c r="G6" s="419"/>
      <c r="H6" s="419"/>
      <c r="I6" s="419"/>
      <c r="J6" s="419"/>
      <c r="K6" s="91"/>
      <c r="L6" s="420" t="s">
        <v>380</v>
      </c>
      <c r="M6" s="411"/>
      <c r="N6" s="411"/>
      <c r="O6" s="411"/>
      <c r="P6" s="411"/>
      <c r="Q6" s="410"/>
      <c r="R6" s="91"/>
    </row>
    <row r="7" spans="1:18">
      <c r="A7" s="424" t="s">
        <v>787</v>
      </c>
      <c r="B7" s="132">
        <f>10*LOG10(B6)</f>
        <v>-10</v>
      </c>
      <c r="C7" s="91" t="s">
        <v>782</v>
      </c>
      <c r="D7" s="419" t="s">
        <v>376</v>
      </c>
      <c r="E7" s="419"/>
      <c r="F7" s="419"/>
      <c r="G7" s="419"/>
      <c r="H7" s="419"/>
      <c r="I7" s="419"/>
      <c r="J7" s="419"/>
      <c r="K7" s="91"/>
      <c r="L7" s="91"/>
      <c r="M7" s="91"/>
      <c r="N7" s="91"/>
      <c r="O7" s="91"/>
      <c r="P7" s="91"/>
      <c r="Q7" s="91"/>
      <c r="R7" s="91"/>
    </row>
    <row r="8" spans="1:18">
      <c r="A8" s="424" t="s">
        <v>788</v>
      </c>
      <c r="B8" s="347">
        <f>B7+30</f>
        <v>20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-9.4235600000000002</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-159.79793037132544</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8.5656614967393949E-2</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10.86</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1.5</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567.15529348622215</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-18.177019898804897</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50.539393114902254</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100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20</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30.539393114902254</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C.W. for 100 Hz</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t="str">
        <f>INDEX('Modulation-Demodulation Method'!E34:E53,'Modulation-Demodulation Method'!E31,1)</f>
        <v>NA</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23</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23</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7.5393931149022535</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8.5656614967393949E-2</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10.86</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1.5</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567.15529348622215</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-18.177019898804897</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-150.52358698629283</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-181.06298010119511</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30.539393114902282</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23</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7.5393931149022819</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topLeftCell="A64" zoomScaleNormal="100" workbookViewId="0">
      <selection activeCell="Q84" sqref="Q84"/>
    </sheetView>
  </sheetViews>
  <sheetFormatPr defaultColWidth="8.81640625" defaultRowHeight="12.5"/>
  <cols>
    <col min="1" max="1" width="12.54296875" style="977" customWidth="1"/>
    <col min="2" max="2" width="8.81640625" style="977"/>
    <col min="3" max="3" width="9.453125" style="977" customWidth="1"/>
    <col min="4" max="4" width="11.453125" style="977" customWidth="1"/>
    <col min="5" max="5" width="10.1796875" style="977" customWidth="1"/>
    <col min="6" max="6" width="12.453125" style="977" customWidth="1"/>
    <col min="7" max="7" width="10.453125" style="977" customWidth="1"/>
    <col min="8" max="8" width="3.54296875" style="977" customWidth="1"/>
    <col min="9" max="9" width="10.90625" style="977" customWidth="1"/>
    <col min="10" max="10" width="9.453125" style="977" customWidth="1"/>
    <col min="11" max="11" width="10.453125" style="977" customWidth="1"/>
    <col min="12" max="12" width="9.81640625" style="977" bestFit="1" customWidth="1"/>
    <col min="13" max="13" width="10.453125" style="977" customWidth="1"/>
    <col min="14" max="14" width="12.1796875" style="977" customWidth="1"/>
    <col min="15" max="15" width="10.453125" style="977" customWidth="1"/>
    <col min="16" max="16" width="3.81640625" style="977" customWidth="1"/>
    <col min="17" max="17" width="27.6328125" style="977" customWidth="1"/>
    <col min="18" max="16384" width="8.81640625" style="977"/>
  </cols>
  <sheetData>
    <row r="1" spans="1:17" ht="18.5" thickBot="1">
      <c r="A1" s="975" t="s">
        <v>416</v>
      </c>
      <c r="B1" s="976"/>
      <c r="C1" s="976"/>
      <c r="D1" s="976"/>
      <c r="E1" s="976"/>
      <c r="F1" s="976"/>
      <c r="G1" s="976"/>
      <c r="H1" s="976"/>
      <c r="I1" s="1052" t="str">
        <f>'Title Page'!F3 &amp; "  /  " &amp; 'Title Page'!F16</f>
        <v>OreSat - CS0  /  Public Beacon - 436.5 MHz C.W. using Handheld</v>
      </c>
      <c r="J1" s="976"/>
      <c r="K1" s="1050"/>
      <c r="L1" s="976"/>
      <c r="M1" s="1050"/>
      <c r="N1" s="1050"/>
      <c r="O1" s="1050"/>
      <c r="P1" s="1050"/>
      <c r="Q1" s="1051" t="str">
        <f>'Title Page'!F23</f>
        <v>2019 September 8</v>
      </c>
    </row>
    <row r="2" spans="1:17" ht="13">
      <c r="A2" s="978"/>
      <c r="B2" s="1067" t="s">
        <v>1021</v>
      </c>
      <c r="C2" s="1067"/>
      <c r="D2" s="979"/>
      <c r="E2" s="979"/>
      <c r="F2" s="979"/>
      <c r="G2" s="979" t="s">
        <v>715</v>
      </c>
      <c r="H2" s="980"/>
      <c r="I2" s="981"/>
      <c r="J2" s="1067" t="s">
        <v>1078</v>
      </c>
      <c r="K2" s="1067"/>
      <c r="L2" s="979"/>
      <c r="M2" s="979"/>
      <c r="N2" s="979"/>
      <c r="O2" s="979"/>
      <c r="P2" s="979"/>
      <c r="Q2" s="980"/>
    </row>
    <row r="3" spans="1:17" ht="15" customHeight="1">
      <c r="A3" s="982"/>
      <c r="B3" s="1068" t="s">
        <v>1022</v>
      </c>
      <c r="C3" s="1069"/>
      <c r="D3" s="983"/>
      <c r="E3" s="984" t="s">
        <v>753</v>
      </c>
      <c r="F3" s="985">
        <f>Frequency!M10</f>
        <v>436.5</v>
      </c>
      <c r="G3" s="983"/>
      <c r="H3" s="986"/>
      <c r="I3" s="982"/>
      <c r="J3" s="1068" t="s">
        <v>423</v>
      </c>
      <c r="K3" s="1070"/>
      <c r="L3" s="983"/>
      <c r="M3" s="984" t="s">
        <v>753</v>
      </c>
      <c r="N3" s="985">
        <f>Frequency!M16</f>
        <v>436.5</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1032</v>
      </c>
      <c r="B5" s="988" t="s">
        <v>1033</v>
      </c>
      <c r="C5" s="989">
        <f>'Uplink Budget'!B30</f>
        <v>17.306282532650016</v>
      </c>
      <c r="D5" s="983"/>
      <c r="E5" s="990" t="s">
        <v>418</v>
      </c>
      <c r="F5" s="991">
        <f>'Uplink Budget'!B43</f>
        <v>6.4062825326500157</v>
      </c>
      <c r="G5" s="992" t="str">
        <f>IF(F5&lt;0,"NO LINK !",IF(F5&lt;6,"MARGINAL LINK",IF(F5&gt;6,"LINK CLOSES")))</f>
        <v>LINK CLOSES</v>
      </c>
      <c r="H5" s="986"/>
      <c r="I5" s="982"/>
      <c r="J5" s="983"/>
      <c r="K5" s="988" t="s">
        <v>1023</v>
      </c>
      <c r="L5" s="993">
        <f>'Downlink Budget'!B28</f>
        <v>100</v>
      </c>
      <c r="M5" s="983"/>
      <c r="N5" s="983"/>
      <c r="O5" s="983"/>
      <c r="P5" s="983"/>
      <c r="Q5" s="986"/>
    </row>
    <row r="6" spans="1:17" ht="13" thickBot="1">
      <c r="A6" s="982"/>
      <c r="B6" s="983"/>
      <c r="C6" s="983"/>
      <c r="D6" s="983"/>
      <c r="E6" s="983"/>
      <c r="F6" s="983"/>
      <c r="G6" s="994" t="s">
        <v>715</v>
      </c>
      <c r="H6" s="986"/>
      <c r="I6" s="982"/>
      <c r="J6" s="983"/>
      <c r="K6" s="983"/>
      <c r="L6" s="983"/>
      <c r="M6" s="983"/>
      <c r="N6" s="1071" t="s">
        <v>1024</v>
      </c>
      <c r="O6" s="1072"/>
      <c r="P6" s="983"/>
      <c r="Q6" s="986"/>
    </row>
    <row r="7" spans="1:17" ht="13.5" thickBot="1">
      <c r="A7" s="987" t="s">
        <v>421</v>
      </c>
      <c r="B7" s="988" t="s">
        <v>1025</v>
      </c>
      <c r="C7" s="989">
        <f>'Uplink Budget'!B61</f>
        <v>15.545369942093231</v>
      </c>
      <c r="D7" s="983"/>
      <c r="E7" s="990" t="s">
        <v>418</v>
      </c>
      <c r="F7" s="991">
        <f>'Uplink Budget'!B65</f>
        <v>4.6453699420932306</v>
      </c>
      <c r="G7" s="992" t="str">
        <f>IF(F7&lt;0,"NO LINK !",IF(F7&lt;6,"MARGINAL LINK",IF(F7&gt;6,"LINK CLOSES")))</f>
        <v>MARGINAL LINK</v>
      </c>
      <c r="H7" s="986"/>
      <c r="I7" s="982"/>
      <c r="J7" s="983"/>
      <c r="K7" s="995"/>
      <c r="L7" s="983"/>
      <c r="M7" s="983"/>
      <c r="N7" s="1065" t="str">
        <f>'Downlink Budget'!B32</f>
        <v>C.W. for 100 Hz</v>
      </c>
      <c r="O7" s="1066"/>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71" t="s">
        <v>1026</v>
      </c>
      <c r="O9" s="1072"/>
      <c r="P9" s="983"/>
      <c r="Q9" s="986"/>
    </row>
    <row r="10" spans="1:17">
      <c r="A10" s="982"/>
      <c r="B10" s="983"/>
      <c r="C10" s="988" t="s">
        <v>1023</v>
      </c>
      <c r="D10" s="993">
        <f>'Uplink Budget'!B28</f>
        <v>100000</v>
      </c>
      <c r="E10" s="983"/>
      <c r="F10" s="983"/>
      <c r="G10" s="983"/>
      <c r="H10" s="986"/>
      <c r="I10" s="982"/>
      <c r="J10" s="983"/>
      <c r="K10" s="983"/>
      <c r="L10" s="983"/>
      <c r="M10" s="983"/>
      <c r="N10" s="1065" t="str">
        <f>'Downlink Budget'!B33</f>
        <v>None</v>
      </c>
      <c r="O10" s="1066"/>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715</v>
      </c>
      <c r="E13" s="983"/>
      <c r="F13" s="1071" t="s">
        <v>1027</v>
      </c>
      <c r="G13" s="1072"/>
      <c r="H13" s="986"/>
      <c r="I13" s="982"/>
      <c r="J13" s="983"/>
      <c r="K13" s="983"/>
      <c r="L13" s="983"/>
      <c r="M13" s="983"/>
      <c r="N13" s="999" t="s">
        <v>1034</v>
      </c>
      <c r="O13" s="1000">
        <v>1</v>
      </c>
      <c r="P13" s="983"/>
      <c r="Q13" s="986"/>
    </row>
    <row r="14" spans="1:17">
      <c r="A14" s="982"/>
      <c r="B14" s="983"/>
      <c r="C14" s="983"/>
      <c r="D14" s="983"/>
      <c r="E14" s="983"/>
      <c r="F14" s="1065" t="str">
        <f>'Uplink Budget'!B33</f>
        <v>None</v>
      </c>
      <c r="G14" s="1066"/>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1059</v>
      </c>
      <c r="O15" s="1040">
        <f>O19/O13</f>
        <v>0.1</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715</v>
      </c>
      <c r="K17" s="983"/>
      <c r="L17" s="983"/>
      <c r="M17" s="983"/>
      <c r="N17" s="1038" t="s">
        <v>1058</v>
      </c>
      <c r="O17" s="1040">
        <f>O15-O19</f>
        <v>0</v>
      </c>
      <c r="P17" s="983"/>
      <c r="Q17" s="986"/>
    </row>
    <row r="18" spans="1:17">
      <c r="A18" s="982"/>
      <c r="B18" s="983"/>
      <c r="C18" s="983"/>
      <c r="D18" s="983"/>
      <c r="E18" s="983"/>
      <c r="F18" s="1002" t="s">
        <v>422</v>
      </c>
      <c r="G18" s="1003">
        <f>'Uplink Budget'!B35</f>
        <v>1.0000000000000001E-5</v>
      </c>
      <c r="H18" s="986"/>
      <c r="I18" s="982"/>
      <c r="J18" s="983"/>
      <c r="K18" s="983"/>
      <c r="L18" s="983"/>
      <c r="M18" s="983"/>
      <c r="N18" s="983"/>
      <c r="O18" s="1004"/>
      <c r="P18" s="983"/>
      <c r="Q18" s="986"/>
    </row>
    <row r="19" spans="1:17">
      <c r="A19" s="982"/>
      <c r="B19" s="983"/>
      <c r="C19" s="983"/>
      <c r="D19" s="983"/>
      <c r="E19" s="983"/>
      <c r="F19" s="1071" t="s">
        <v>1028</v>
      </c>
      <c r="G19" s="1072"/>
      <c r="H19" s="986"/>
      <c r="I19" s="982"/>
      <c r="J19" s="983"/>
      <c r="K19" s="983"/>
      <c r="L19" s="983"/>
      <c r="M19" s="983"/>
      <c r="N19" s="1013" t="s">
        <v>1057</v>
      </c>
      <c r="O19" s="1039">
        <f>Transmitters!E60</f>
        <v>0.1</v>
      </c>
      <c r="P19" s="983"/>
      <c r="Q19" s="986"/>
    </row>
    <row r="20" spans="1:17">
      <c r="A20" s="982"/>
      <c r="B20" s="983"/>
      <c r="C20" s="983"/>
      <c r="D20" s="983"/>
      <c r="E20" s="983"/>
      <c r="F20" s="1065" t="str">
        <f>'Uplink Budget'!B32</f>
        <v>GMSK w/ BT=0.3</v>
      </c>
      <c r="G20" s="1066"/>
      <c r="H20" s="986"/>
      <c r="I20" s="982"/>
      <c r="J20" s="983"/>
      <c r="K20" s="983"/>
      <c r="L20" s="983"/>
      <c r="M20" s="983"/>
      <c r="N20" s="983"/>
      <c r="O20" s="983"/>
      <c r="P20" s="983"/>
      <c r="Q20" s="986"/>
    </row>
    <row r="21" spans="1:17">
      <c r="A21" s="982"/>
      <c r="B21" s="983"/>
      <c r="C21" s="983"/>
      <c r="D21" s="983"/>
      <c r="E21" s="983"/>
      <c r="F21" s="1005" t="s">
        <v>334</v>
      </c>
      <c r="G21" s="1006">
        <f>'Uplink Budget'!B41</f>
        <v>10.9</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715</v>
      </c>
      <c r="K23" s="983"/>
      <c r="L23" s="983"/>
      <c r="M23" s="983"/>
      <c r="N23" s="988" t="s">
        <v>1035</v>
      </c>
      <c r="O23" s="1007">
        <f>Transmitters!I74</f>
        <v>7.5599999999999999E-3</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1036</v>
      </c>
      <c r="G25" s="1008">
        <f>'Uplink Budget'!B57</f>
        <v>150000</v>
      </c>
      <c r="H25" s="986"/>
      <c r="I25" s="982"/>
      <c r="J25" s="983"/>
      <c r="K25" s="983"/>
      <c r="L25" s="983"/>
      <c r="M25" s="983"/>
      <c r="N25" s="988" t="s">
        <v>1037</v>
      </c>
      <c r="O25" s="1009">
        <f>Transmitters!I78</f>
        <v>0.39600000000000002</v>
      </c>
      <c r="P25" s="983"/>
      <c r="Q25" s="986"/>
    </row>
    <row r="26" spans="1:17">
      <c r="A26" s="982"/>
      <c r="B26" s="983"/>
      <c r="C26" s="983"/>
      <c r="D26" s="983"/>
      <c r="E26" s="983"/>
      <c r="F26" s="1074" t="s">
        <v>420</v>
      </c>
      <c r="G26" s="1075"/>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1038</v>
      </c>
      <c r="O27" s="1009">
        <f>SUM(Transmitters!I79:I81)</f>
        <v>0.38</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1029</v>
      </c>
      <c r="O29" s="1009">
        <f>Transmitters!I83</f>
        <v>0.04</v>
      </c>
      <c r="P29" s="983"/>
      <c r="Q29" s="986"/>
    </row>
    <row r="30" spans="1:17">
      <c r="A30" s="982"/>
      <c r="B30" s="983"/>
      <c r="C30" s="983"/>
      <c r="D30" s="983"/>
      <c r="E30" s="983"/>
      <c r="F30" s="983"/>
      <c r="G30" s="983"/>
      <c r="H30" s="986"/>
      <c r="I30" s="982"/>
      <c r="J30" s="1001" t="s">
        <v>715</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1039</v>
      </c>
      <c r="O32" s="1010">
        <f>Transmitters!I85</f>
        <v>0.82356000000000007</v>
      </c>
      <c r="P32" s="983"/>
      <c r="Q32" s="986"/>
    </row>
    <row r="33" spans="1:17" ht="13">
      <c r="A33" s="982"/>
      <c r="B33" s="983"/>
      <c r="C33" s="983"/>
      <c r="D33" s="983"/>
      <c r="E33" s="983"/>
      <c r="F33" s="1011" t="s">
        <v>419</v>
      </c>
      <c r="G33" s="1012">
        <f>'Uplink Budget'!B26</f>
        <v>-23.489543331709164</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1030</v>
      </c>
      <c r="O34" s="1014">
        <f>Transmitters!I87+30</f>
        <v>19.176439999999999</v>
      </c>
      <c r="P34" s="983"/>
      <c r="Q34" s="986"/>
    </row>
    <row r="35" spans="1:17">
      <c r="A35" s="982"/>
      <c r="B35" s="983"/>
      <c r="C35" s="983"/>
      <c r="D35" s="983"/>
      <c r="E35" s="983"/>
      <c r="F35" s="1011" t="s">
        <v>1040</v>
      </c>
      <c r="G35" s="1015">
        <f>'Uplink Budget'!B25</f>
        <v>222.63750846737568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876</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1041</v>
      </c>
      <c r="O38" s="1018">
        <f>'Downlink Budget'!B10</f>
        <v>1.4</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1001</v>
      </c>
      <c r="G40" s="1020">
        <f>Receivers!J67</f>
        <v>1498.1255053982986</v>
      </c>
      <c r="H40" s="986"/>
      <c r="I40" s="982"/>
      <c r="J40" s="1076" t="str">
        <f>'Antenna Gain'!F41</f>
        <v>Canted Turnstyle (back)</v>
      </c>
      <c r="K40" s="1076"/>
      <c r="L40" s="983"/>
      <c r="M40" s="983"/>
      <c r="N40" s="1002" t="s">
        <v>1042</v>
      </c>
      <c r="O40" s="1021">
        <f>'Antenna Pointing Losses'!G85</f>
        <v>20</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1043</v>
      </c>
      <c r="O42" s="1023">
        <f>'Downlink Budget'!B11+30</f>
        <v>20.576439999999998</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43" t="s">
        <v>1070</v>
      </c>
      <c r="O44" s="1046" t="s">
        <v>1069</v>
      </c>
      <c r="P44" s="983"/>
      <c r="Q44" s="986"/>
    </row>
    <row r="45" spans="1:17" ht="13">
      <c r="A45" s="982"/>
      <c r="B45" s="983"/>
      <c r="C45" s="983"/>
      <c r="D45" s="983"/>
      <c r="E45" s="983"/>
      <c r="F45" s="1024" t="s">
        <v>1044</v>
      </c>
      <c r="G45" s="989">
        <f>Receivers!F65</f>
        <v>24</v>
      </c>
      <c r="H45" s="986"/>
      <c r="I45" s="982"/>
      <c r="J45" s="983"/>
      <c r="K45" s="983"/>
      <c r="L45" s="983"/>
      <c r="M45" s="983"/>
      <c r="N45" s="1045">
        <f>SUM('Downlink Budget'!B13:B18)+'Downlink Budget'!B22</f>
        <v>150.46002698629283</v>
      </c>
      <c r="O45" s="1049">
        <f>Orbit!B34</f>
        <v>10</v>
      </c>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1045</v>
      </c>
      <c r="G47" s="1020">
        <f>Receivers!J63</f>
        <v>35</v>
      </c>
      <c r="H47" s="986"/>
      <c r="I47" s="982"/>
      <c r="J47" s="983"/>
      <c r="K47" s="983"/>
      <c r="L47" s="983"/>
      <c r="M47" s="983"/>
      <c r="N47" s="988" t="s">
        <v>1046</v>
      </c>
      <c r="O47" s="1025">
        <f>'Downlink Budget'!B19+30</f>
        <v>-129.79793037132544</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76" t="str">
        <f>'Antenna Gain'!F58</f>
        <v>Yagi</v>
      </c>
      <c r="K49" s="1076"/>
      <c r="L49" s="983"/>
      <c r="M49" s="983"/>
      <c r="N49" s="988" t="s">
        <v>1047</v>
      </c>
      <c r="O49" s="1026">
        <f>'Downlink Budget'!B23</f>
        <v>10.86</v>
      </c>
      <c r="P49" s="983"/>
      <c r="Q49" s="986"/>
    </row>
    <row r="50" spans="1:17">
      <c r="A50" s="982"/>
      <c r="B50" s="983"/>
      <c r="C50" s="983"/>
      <c r="D50" s="983"/>
      <c r="E50" s="983"/>
      <c r="F50" s="983"/>
      <c r="G50" s="983"/>
      <c r="H50" s="986"/>
      <c r="I50" s="982"/>
      <c r="J50" s="983"/>
      <c r="K50" s="983"/>
      <c r="L50" s="983"/>
      <c r="M50" s="983"/>
      <c r="N50" s="1002" t="s">
        <v>60</v>
      </c>
      <c r="O50" s="1019" t="str">
        <f>'Antenna Gain'!K58</f>
        <v>Linear</v>
      </c>
      <c r="P50" s="983"/>
      <c r="Q50" s="986"/>
    </row>
    <row r="51" spans="1:17">
      <c r="A51" s="982"/>
      <c r="B51" s="983"/>
      <c r="C51" s="983"/>
      <c r="D51" s="983"/>
      <c r="E51" s="983"/>
      <c r="F51" s="988" t="s">
        <v>1048</v>
      </c>
      <c r="G51" s="1027">
        <f>Receivers!J55</f>
        <v>1.4135599999999999</v>
      </c>
      <c r="H51" s="986"/>
      <c r="I51" s="982"/>
      <c r="J51" s="983"/>
      <c r="K51" s="983"/>
      <c r="L51" s="983"/>
      <c r="M51" s="983"/>
      <c r="N51" s="1002" t="s">
        <v>1042</v>
      </c>
      <c r="O51" s="1021">
        <f>'Antenna Pointing Losses'!F102</f>
        <v>5</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881</v>
      </c>
      <c r="N53" s="983"/>
      <c r="O53" s="983"/>
      <c r="P53" s="983"/>
      <c r="Q53" s="986"/>
    </row>
    <row r="54" spans="1:17">
      <c r="A54" s="982"/>
      <c r="B54" s="983"/>
      <c r="C54" s="983"/>
      <c r="D54" s="983"/>
      <c r="E54" s="983"/>
      <c r="F54" s="988" t="s">
        <v>1038</v>
      </c>
      <c r="G54" s="1009">
        <f>SUM(Receivers!J50:J52)</f>
        <v>1.01</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1049</v>
      </c>
      <c r="O55" s="1020">
        <f>Receivers!J130</f>
        <v>290</v>
      </c>
      <c r="P55" s="983"/>
      <c r="Q55" s="986"/>
    </row>
    <row r="56" spans="1:17">
      <c r="A56" s="982"/>
      <c r="B56" s="983"/>
      <c r="C56" s="983"/>
      <c r="D56" s="983"/>
      <c r="E56" s="983"/>
      <c r="F56" s="988" t="s">
        <v>1037</v>
      </c>
      <c r="G56" s="1009">
        <f>Receivers!J53</f>
        <v>0.39600000000000002</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1035</v>
      </c>
      <c r="G58" s="1007">
        <f>SUM(Receivers!J47:J49)</f>
        <v>7.5599999999999999E-3</v>
      </c>
      <c r="H58" s="986"/>
      <c r="I58" s="982"/>
      <c r="J58" s="983"/>
      <c r="K58" s="983"/>
      <c r="L58" s="983"/>
      <c r="M58" s="983"/>
      <c r="N58" s="988" t="s">
        <v>1035</v>
      </c>
      <c r="O58" s="1007">
        <f>SUM(Receivers!J118:J120)</f>
        <v>0.3</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1037</v>
      </c>
      <c r="O60" s="1009">
        <f>Receivers!J123</f>
        <v>0.2</v>
      </c>
      <c r="P60" s="983"/>
      <c r="Q60" s="986"/>
    </row>
    <row r="61" spans="1:17">
      <c r="A61" s="982"/>
      <c r="B61" s="983"/>
      <c r="C61" s="983"/>
      <c r="D61" s="983"/>
      <c r="E61" s="983"/>
      <c r="F61" s="988" t="s">
        <v>1049</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1038</v>
      </c>
      <c r="O62" s="1009">
        <f>SUM(Receivers!J121:J122)</f>
        <v>1</v>
      </c>
      <c r="P62" s="983"/>
      <c r="Q62" s="986"/>
    </row>
    <row r="63" spans="1:17" ht="13">
      <c r="A63" s="982"/>
      <c r="B63" s="983"/>
      <c r="C63" s="983"/>
      <c r="D63" s="983"/>
      <c r="E63" s="1016" t="s">
        <v>881</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1047</v>
      </c>
      <c r="G65" s="1026">
        <f>'Uplink Budget'!B23</f>
        <v>1.4</v>
      </c>
      <c r="H65" s="986"/>
      <c r="I65" s="982"/>
      <c r="J65" s="983"/>
      <c r="K65" s="983"/>
      <c r="L65" s="983"/>
      <c r="M65" s="983"/>
      <c r="N65" s="988" t="s">
        <v>1048</v>
      </c>
      <c r="O65" s="1027">
        <f>Receivers!J126</f>
        <v>1.5</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73" t="str">
        <f>'Antenna Gain'!F24</f>
        <v>Canted Turnstyle (back)</v>
      </c>
      <c r="C67" s="1073"/>
      <c r="D67" s="983"/>
      <c r="E67" s="983"/>
      <c r="F67" s="1002" t="s">
        <v>1042</v>
      </c>
      <c r="G67" s="1021">
        <f>'Antenna Pointing Losses'!G63</f>
        <v>20</v>
      </c>
      <c r="H67" s="986"/>
      <c r="I67" s="982"/>
      <c r="J67" s="983"/>
      <c r="K67" s="983"/>
      <c r="L67" s="983"/>
      <c r="M67" s="983"/>
      <c r="N67" s="983"/>
      <c r="O67" s="983"/>
      <c r="P67" s="983"/>
      <c r="Q67" s="986"/>
    </row>
    <row r="68" spans="1:17">
      <c r="A68" s="982"/>
      <c r="B68" s="983"/>
      <c r="C68" s="983"/>
      <c r="D68" s="983"/>
      <c r="E68" s="983"/>
      <c r="F68" s="983" t="s">
        <v>715</v>
      </c>
      <c r="G68" s="983"/>
      <c r="H68" s="986"/>
      <c r="I68" s="982"/>
      <c r="J68" s="983"/>
      <c r="K68" s="983"/>
      <c r="L68" s="983"/>
      <c r="M68" s="983"/>
      <c r="N68" s="983"/>
      <c r="O68" s="983"/>
      <c r="P68" s="983"/>
      <c r="Q68" s="986"/>
    </row>
    <row r="69" spans="1:17" ht="15.5">
      <c r="A69" s="982"/>
      <c r="B69" s="983"/>
      <c r="C69" s="983"/>
      <c r="D69" s="983"/>
      <c r="E69" s="983"/>
      <c r="F69" s="988" t="s">
        <v>1050</v>
      </c>
      <c r="G69" s="1025">
        <f>'Uplink Budget'!B19+30</f>
        <v>-107.5041741356408</v>
      </c>
      <c r="H69" s="986"/>
      <c r="I69" s="982"/>
      <c r="J69" s="983"/>
      <c r="K69" s="983"/>
      <c r="L69" s="983"/>
      <c r="M69" s="983"/>
      <c r="N69" s="1024" t="s">
        <v>1045</v>
      </c>
      <c r="O69" s="1020">
        <f>Receivers!J134</f>
        <v>60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43" t="s">
        <v>1070</v>
      </c>
      <c r="G71" s="1047" t="s">
        <v>1069</v>
      </c>
      <c r="H71" s="986"/>
      <c r="I71" s="982"/>
      <c r="J71" s="983"/>
      <c r="K71" s="983"/>
      <c r="L71" s="983"/>
      <c r="M71" s="983"/>
      <c r="N71" s="1024" t="s">
        <v>1044</v>
      </c>
      <c r="O71" s="989">
        <f>Receivers!F136</f>
        <v>6</v>
      </c>
      <c r="P71" s="983"/>
      <c r="Q71" s="986"/>
    </row>
    <row r="72" spans="1:17" ht="13">
      <c r="A72" s="982"/>
      <c r="B72" s="983"/>
      <c r="C72" s="983"/>
      <c r="D72" s="983"/>
      <c r="E72" s="983"/>
      <c r="F72" s="1044">
        <f>SUM('Uplink Budget'!B13:B18)+'Uplink Budget'!B22</f>
        <v>150.6883401356408</v>
      </c>
      <c r="G72" s="1048">
        <f>Orbit!B34</f>
        <v>10</v>
      </c>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1051</v>
      </c>
      <c r="G74" s="1029">
        <f>'Uplink Budget'!B11+30</f>
        <v>42.884166</v>
      </c>
      <c r="H74" s="986"/>
      <c r="I74" s="982"/>
      <c r="J74" s="983"/>
      <c r="K74" s="983"/>
      <c r="L74" s="983"/>
      <c r="M74" s="983"/>
      <c r="N74" s="983"/>
      <c r="O74" s="983"/>
      <c r="P74" s="983"/>
      <c r="Q74" s="986"/>
    </row>
    <row r="75" spans="1:17">
      <c r="A75" s="982"/>
      <c r="B75" s="1077" t="str">
        <f>'Antenna Gain'!F11</f>
        <v>Crossed Yagi</v>
      </c>
      <c r="C75" s="1077"/>
      <c r="D75" s="983"/>
      <c r="E75" s="983"/>
      <c r="F75" s="983"/>
      <c r="G75" s="983"/>
      <c r="H75" s="986"/>
      <c r="I75" s="982"/>
      <c r="J75" s="983"/>
      <c r="K75" s="983"/>
      <c r="L75" s="983"/>
      <c r="M75" s="983"/>
      <c r="N75" s="983"/>
      <c r="O75" s="983"/>
      <c r="P75" s="983"/>
      <c r="Q75" s="986"/>
    </row>
    <row r="76" spans="1:17">
      <c r="A76" s="982"/>
      <c r="B76" s="983"/>
      <c r="C76" s="983"/>
      <c r="D76" s="983"/>
      <c r="E76" s="983"/>
      <c r="F76" s="988" t="s">
        <v>1052</v>
      </c>
      <c r="G76" s="1026">
        <f>'Uplink Budget'!B10</f>
        <v>15.5</v>
      </c>
      <c r="H76" s="986"/>
      <c r="I76" s="982"/>
      <c r="J76" s="983"/>
      <c r="K76" s="983"/>
      <c r="L76" s="983"/>
      <c r="M76" s="983"/>
      <c r="N76" s="988" t="s">
        <v>1001</v>
      </c>
      <c r="O76" s="1020">
        <f>Receivers!J146</f>
        <v>864.51079460514211</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1042</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876</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1040</v>
      </c>
      <c r="O81" s="1015">
        <f>Receivers!J149</f>
        <v>567.15529348622215</v>
      </c>
      <c r="P81" s="983"/>
      <c r="Q81" s="986"/>
    </row>
    <row r="82" spans="1:17" ht="15.5">
      <c r="A82" s="982"/>
      <c r="B82" s="983"/>
      <c r="C82" s="983"/>
      <c r="D82" s="983"/>
      <c r="E82" s="983"/>
      <c r="F82" s="1013" t="s">
        <v>1030</v>
      </c>
      <c r="G82" s="1014">
        <f>Transmitters!I45+30</f>
        <v>27.384166</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419</v>
      </c>
      <c r="O83" s="1012">
        <f>'Downlink Budget'!B26</f>
        <v>-18.177019898804897</v>
      </c>
      <c r="P83" s="983"/>
      <c r="Q83" s="986"/>
    </row>
    <row r="84" spans="1:17">
      <c r="A84" s="982"/>
      <c r="B84" s="983"/>
      <c r="C84" s="983"/>
      <c r="D84" s="983"/>
      <c r="E84" s="983"/>
      <c r="F84" s="988" t="s">
        <v>1039</v>
      </c>
      <c r="G84" s="1010">
        <f>Transmitters!I43</f>
        <v>2.6158340000000004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1029</v>
      </c>
      <c r="G87" s="1009">
        <f>Transmitters!I41</f>
        <v>0.54</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1053</v>
      </c>
      <c r="O88" s="1053">
        <f>'Downlink Budget'!B56</f>
        <v>100</v>
      </c>
      <c r="P88" s="983"/>
      <c r="Q88" s="986"/>
    </row>
    <row r="89" spans="1:17">
      <c r="A89" s="982"/>
      <c r="B89" s="983"/>
      <c r="C89" s="983"/>
      <c r="D89" s="983"/>
      <c r="E89" s="983"/>
      <c r="F89" s="988" t="s">
        <v>1038</v>
      </c>
      <c r="G89" s="1009">
        <f>SUM(Transmitters!I37:I39)</f>
        <v>0.7</v>
      </c>
      <c r="H89" s="986"/>
      <c r="I89" s="982"/>
      <c r="J89" s="983"/>
      <c r="K89" s="983"/>
      <c r="L89" s="983"/>
      <c r="M89" s="983"/>
      <c r="N89" s="1075" t="s">
        <v>427</v>
      </c>
      <c r="O89" s="1075"/>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1037</v>
      </c>
      <c r="G91" s="1009">
        <f>Transmitters!I36</f>
        <v>0.4</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1035</v>
      </c>
      <c r="G93" s="1007">
        <f>Transmitters!I32</f>
        <v>0.97583399999999998</v>
      </c>
      <c r="H93" s="986"/>
      <c r="I93" s="982"/>
      <c r="J93" s="983"/>
      <c r="K93" s="983"/>
      <c r="L93" s="983"/>
      <c r="M93" s="983"/>
      <c r="N93" s="1031" t="s">
        <v>422</v>
      </c>
      <c r="O93" s="1003" t="str">
        <f>'Downlink Budget'!B35</f>
        <v>NA</v>
      </c>
      <c r="P93" s="983"/>
      <c r="Q93" s="986"/>
    </row>
    <row r="94" spans="1:17">
      <c r="A94" s="982"/>
      <c r="B94" s="983"/>
      <c r="C94" s="983"/>
      <c r="D94" s="983"/>
      <c r="E94" s="983"/>
      <c r="F94" s="983" t="s">
        <v>715</v>
      </c>
      <c r="G94" s="983"/>
      <c r="H94" s="986"/>
      <c r="I94" s="982"/>
      <c r="J94" s="983"/>
      <c r="K94" s="983"/>
      <c r="L94" s="983"/>
      <c r="M94" s="983"/>
      <c r="N94" s="1071" t="s">
        <v>1028</v>
      </c>
      <c r="O94" s="1072"/>
      <c r="P94" s="983"/>
      <c r="Q94" s="986"/>
    </row>
    <row r="95" spans="1:17">
      <c r="A95" s="982"/>
      <c r="B95" s="983"/>
      <c r="C95" s="983"/>
      <c r="D95" s="983"/>
      <c r="E95" s="983"/>
      <c r="F95" s="983" t="s">
        <v>715</v>
      </c>
      <c r="G95" s="983"/>
      <c r="H95" s="986"/>
      <c r="I95" s="982"/>
      <c r="J95" s="983"/>
      <c r="K95" s="983"/>
      <c r="L95" s="983"/>
      <c r="M95" s="983"/>
      <c r="N95" s="1065" t="str">
        <f>'Downlink Budget'!B32</f>
        <v>C.W. for 100 Hz</v>
      </c>
      <c r="O95" s="1066"/>
      <c r="P95" s="983"/>
      <c r="Q95" s="986"/>
    </row>
    <row r="96" spans="1:17" ht="13">
      <c r="A96" s="982"/>
      <c r="B96" s="983"/>
      <c r="C96" s="983"/>
      <c r="D96" s="983"/>
      <c r="E96" s="983"/>
      <c r="F96" s="983" t="s">
        <v>715</v>
      </c>
      <c r="G96" s="983"/>
      <c r="H96" s="986"/>
      <c r="I96" s="982"/>
      <c r="J96" s="983"/>
      <c r="K96" s="983"/>
      <c r="L96" s="983"/>
      <c r="M96" s="983"/>
      <c r="N96" s="1032" t="s">
        <v>1081</v>
      </c>
      <c r="O96" s="1006">
        <f>'Downlink Budget'!B41</f>
        <v>23</v>
      </c>
      <c r="P96" s="983"/>
      <c r="Q96" s="1055" t="s">
        <v>1080</v>
      </c>
    </row>
    <row r="97" spans="1:17" ht="13">
      <c r="A97" s="982"/>
      <c r="B97" s="983"/>
      <c r="C97" s="983"/>
      <c r="D97" s="983"/>
      <c r="E97" s="983"/>
      <c r="F97" s="1013" t="s">
        <v>1056</v>
      </c>
      <c r="G97" s="1037">
        <f>Transmitters!E16</f>
        <v>1</v>
      </c>
      <c r="H97" s="986"/>
      <c r="I97" s="982"/>
      <c r="J97" s="983"/>
      <c r="K97" s="983"/>
      <c r="L97" s="983"/>
      <c r="M97" s="983"/>
      <c r="N97" s="983"/>
      <c r="O97" s="983"/>
      <c r="P97" s="983"/>
      <c r="Q97" s="1055" t="s">
        <v>1077</v>
      </c>
    </row>
    <row r="98" spans="1:17" ht="13">
      <c r="A98" s="982"/>
      <c r="B98" s="983"/>
      <c r="C98" s="983"/>
      <c r="D98" s="983"/>
      <c r="E98" s="983"/>
      <c r="F98" s="983"/>
      <c r="G98" s="983"/>
      <c r="H98" s="986"/>
      <c r="I98" s="982"/>
      <c r="J98" s="983"/>
      <c r="K98" s="983"/>
      <c r="L98" s="983"/>
      <c r="M98" s="983"/>
      <c r="N98" s="983"/>
      <c r="O98" s="983"/>
      <c r="P98" s="983"/>
      <c r="Q98" s="1055" t="s">
        <v>1076</v>
      </c>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71" t="s">
        <v>1027</v>
      </c>
      <c r="O100" s="1072"/>
      <c r="P100" s="983"/>
      <c r="Q100" s="986"/>
    </row>
    <row r="101" spans="1:17">
      <c r="A101" s="982"/>
      <c r="B101" s="983"/>
      <c r="C101" s="983"/>
      <c r="D101" s="983"/>
      <c r="E101" s="983"/>
      <c r="F101" s="983"/>
      <c r="G101" s="983"/>
      <c r="H101" s="986"/>
      <c r="I101" s="982"/>
      <c r="J101" s="983"/>
      <c r="K101" s="983"/>
      <c r="L101" s="983"/>
      <c r="M101" s="983"/>
      <c r="N101" s="1065" t="str">
        <f>'Downlink Budget'!B33</f>
        <v>None</v>
      </c>
      <c r="O101" s="1066"/>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71" t="s">
        <v>1024</v>
      </c>
      <c r="G103" s="1072"/>
      <c r="H103" s="986"/>
      <c r="I103" s="982"/>
      <c r="J103" s="983"/>
      <c r="K103" s="983"/>
      <c r="L103" s="983"/>
      <c r="M103" s="983"/>
      <c r="N103" s="983"/>
      <c r="O103" s="983"/>
      <c r="P103" s="983"/>
      <c r="Q103" s="986"/>
    </row>
    <row r="104" spans="1:17">
      <c r="A104" s="982"/>
      <c r="B104" s="983"/>
      <c r="C104" s="983"/>
      <c r="D104" s="983"/>
      <c r="E104" s="983"/>
      <c r="F104" s="1065" t="str">
        <f>'Uplink Budget'!B32</f>
        <v>GMSK w/ BT=0.3</v>
      </c>
      <c r="G104" s="1066"/>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1023</v>
      </c>
      <c r="L105" s="1030">
        <f>'Downlink Budget'!B28</f>
        <v>100</v>
      </c>
      <c r="M105" s="983"/>
      <c r="N105" s="983"/>
      <c r="O105" s="983" t="s">
        <v>715</v>
      </c>
      <c r="P105" s="983" t="s">
        <v>715</v>
      </c>
      <c r="Q105" s="986"/>
    </row>
    <row r="106" spans="1:17" ht="13" thickBot="1">
      <c r="A106" s="982"/>
      <c r="B106" s="983"/>
      <c r="C106" s="983"/>
      <c r="D106" s="983"/>
      <c r="E106" s="983"/>
      <c r="F106" s="1071" t="s">
        <v>1026</v>
      </c>
      <c r="G106" s="1072"/>
      <c r="H106" s="986"/>
      <c r="I106" s="982"/>
      <c r="J106" s="983"/>
      <c r="K106" s="983"/>
      <c r="L106" s="983"/>
      <c r="M106" s="983"/>
      <c r="N106" s="983"/>
      <c r="O106" s="983"/>
      <c r="P106" s="983"/>
      <c r="Q106" s="986"/>
    </row>
    <row r="107" spans="1:17" ht="13.5" thickBot="1">
      <c r="A107" s="982"/>
      <c r="B107" s="983"/>
      <c r="C107" s="983"/>
      <c r="D107" s="983"/>
      <c r="E107" s="983"/>
      <c r="F107" s="1065" t="str">
        <f>'Uplink Budget'!B33</f>
        <v>None</v>
      </c>
      <c r="G107" s="1066"/>
      <c r="H107" s="986"/>
      <c r="I107" s="1078" t="s">
        <v>1054</v>
      </c>
      <c r="J107" s="1079"/>
      <c r="K107" s="988" t="s">
        <v>1055</v>
      </c>
      <c r="L107" s="989">
        <f>'Downlink Budget'!B30</f>
        <v>30.539393114902254</v>
      </c>
      <c r="M107" s="983"/>
      <c r="N107" s="1033" t="s">
        <v>418</v>
      </c>
      <c r="O107" s="991">
        <f>'Downlink Budget'!B43</f>
        <v>7.5393931149022535</v>
      </c>
      <c r="P107" s="992" t="str">
        <f>IF(O107&lt;0,"NO LINK !",IF(O107&lt;6,"MARGINAL LINK",IF(O107&gt;6,"LINK CLOSES")))</f>
        <v>LINK CLOSES</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417</v>
      </c>
      <c r="D109" s="993">
        <f>'Uplink Budget'!B28</f>
        <v>100000</v>
      </c>
      <c r="E109" s="983"/>
      <c r="F109" s="983"/>
      <c r="G109" s="983"/>
      <c r="H109" s="986"/>
      <c r="I109" s="1078" t="s">
        <v>421</v>
      </c>
      <c r="J109" s="1079"/>
      <c r="K109" s="988" t="s">
        <v>1025</v>
      </c>
      <c r="L109" s="989">
        <f>'Downlink Budget'!B60</f>
        <v>30.539393114902282</v>
      </c>
      <c r="M109" s="983"/>
      <c r="N109" s="1033" t="s">
        <v>429</v>
      </c>
      <c r="O109" s="991">
        <f>'Downlink Budget'!B64</f>
        <v>7.5393931149022819</v>
      </c>
      <c r="P109" s="992" t="str">
        <f>IF(O109&lt;0,"NO LINK !",IF(O109&lt;6,"MARGINAL LINK",IF(O109&gt;6,"LINK CLOSES")))</f>
        <v>LINK CLOSES</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c r="A111" s="982"/>
      <c r="B111" s="983"/>
      <c r="C111" s="983"/>
      <c r="D111" s="983"/>
      <c r="E111" s="983"/>
      <c r="F111" s="983"/>
      <c r="G111" s="983"/>
      <c r="H111" s="986"/>
      <c r="I111" s="983"/>
      <c r="J111" s="983"/>
      <c r="K111" s="983"/>
      <c r="L111" s="983"/>
      <c r="M111" s="983"/>
      <c r="N111" s="983"/>
      <c r="O111" s="983" t="s">
        <v>715</v>
      </c>
      <c r="P111" s="983"/>
      <c r="Q111" s="986"/>
    </row>
    <row r="112" spans="1:17" ht="13" thickBot="1">
      <c r="A112" s="1034"/>
      <c r="B112" s="1035"/>
      <c r="C112" s="1035"/>
      <c r="D112" s="1035"/>
      <c r="E112" s="1035"/>
      <c r="F112" s="1035"/>
      <c r="G112" s="1035"/>
      <c r="H112" s="1036"/>
      <c r="I112" s="1035"/>
      <c r="J112" s="1035"/>
      <c r="K112" s="1035"/>
      <c r="L112" s="1035"/>
      <c r="M112" s="1035"/>
      <c r="N112" s="1035"/>
      <c r="O112" s="1035"/>
      <c r="P112" s="1035"/>
      <c r="Q112" s="1036"/>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934</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934</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934</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September 8</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9" zoomScale="150" zoomScaleNormal="150" workbookViewId="0">
      <selection activeCell="H64" sqref="H64"/>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 - CS0</v>
      </c>
      <c r="K1" s="127"/>
      <c r="L1" s="127"/>
      <c r="M1" s="610" t="str">
        <f>'Title Page'!F23</f>
        <v>2019 September 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935</v>
      </c>
      <c r="C150" s="888">
        <v>42663</v>
      </c>
      <c r="D150" s="607" t="s">
        <v>937</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 - CS0</v>
      </c>
      <c r="F1" s="24"/>
      <c r="G1" s="51" t="s">
        <v>715</v>
      </c>
      <c r="H1" s="24"/>
      <c r="I1" s="51" t="str">
        <f>'Title Page'!F23</f>
        <v>2019 September 8</v>
      </c>
      <c r="J1" s="51"/>
      <c r="K1" s="51" t="str">
        <f>'Title Page'!G1</f>
        <v xml:space="preserve"> Version: 2.5.5</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30.539393114902254</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17.306282532650016</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49" zoomScale="120" zoomScaleNormal="120" workbookViewId="0">
      <selection activeCell="E61" sqref="E61"/>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8</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980</v>
      </c>
      <c r="D16" s="331"/>
      <c r="E16" s="342">
        <v>1</v>
      </c>
      <c r="F16" s="331" t="s">
        <v>160</v>
      </c>
      <c r="G16" s="402">
        <f>10*LOG10(E16)</f>
        <v>0</v>
      </c>
      <c r="H16" s="331" t="s">
        <v>161</v>
      </c>
      <c r="I16" s="328">
        <f>G16+30</f>
        <v>30</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952</v>
      </c>
      <c r="F19" s="902"/>
      <c r="G19" s="331"/>
      <c r="H19" s="331"/>
      <c r="I19" s="342">
        <v>0.3</v>
      </c>
      <c r="J19" s="331" t="s">
        <v>755</v>
      </c>
      <c r="K19" s="323"/>
      <c r="L19" s="3"/>
      <c r="M19" s="3"/>
      <c r="N19" s="3"/>
      <c r="O19" s="3"/>
      <c r="P19" s="3"/>
    </row>
    <row r="20" spans="1:16">
      <c r="A20" s="3"/>
      <c r="B20" s="3"/>
      <c r="C20" s="330"/>
      <c r="D20" s="901" t="s">
        <v>178</v>
      </c>
      <c r="E20" s="459" t="s">
        <v>952</v>
      </c>
      <c r="F20" s="902"/>
      <c r="G20" s="331"/>
      <c r="H20" s="331"/>
      <c r="I20" s="342">
        <v>0.61</v>
      </c>
      <c r="J20" s="331" t="s">
        <v>755</v>
      </c>
      <c r="K20" s="323"/>
      <c r="L20" s="3"/>
      <c r="M20" s="3"/>
      <c r="N20" s="3"/>
      <c r="O20" s="3"/>
      <c r="P20" s="3"/>
    </row>
    <row r="21" spans="1:16">
      <c r="A21" s="3"/>
      <c r="B21" s="3"/>
      <c r="C21" s="330"/>
      <c r="D21" s="901" t="s">
        <v>179</v>
      </c>
      <c r="E21" s="459" t="s">
        <v>956</v>
      </c>
      <c r="F21" s="902"/>
      <c r="G21" s="331"/>
      <c r="H21" s="331"/>
      <c r="I21" s="342">
        <v>8.26</v>
      </c>
      <c r="J21" s="331" t="s">
        <v>755</v>
      </c>
      <c r="K21" s="323"/>
      <c r="L21" s="3"/>
      <c r="M21" s="3"/>
      <c r="N21" s="3"/>
      <c r="O21" s="3"/>
      <c r="P21" s="3"/>
    </row>
    <row r="22" spans="1:16">
      <c r="A22" s="3"/>
      <c r="B22" s="3"/>
      <c r="C22" s="330"/>
      <c r="D22" s="916" t="s">
        <v>984</v>
      </c>
      <c r="E22" s="459" t="s">
        <v>956</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986</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947</v>
      </c>
      <c r="E26" s="331"/>
      <c r="F26" s="331"/>
      <c r="G26" s="331"/>
      <c r="H26" s="331"/>
      <c r="I26" s="331"/>
      <c r="J26" s="331"/>
      <c r="K26" s="323"/>
      <c r="L26" s="3"/>
      <c r="M26" s="3"/>
      <c r="N26" s="3"/>
      <c r="O26" s="3"/>
      <c r="P26" s="3"/>
    </row>
    <row r="27" spans="1:16">
      <c r="A27" s="3"/>
      <c r="B27" s="3"/>
      <c r="C27" s="330"/>
      <c r="D27" s="331" t="s">
        <v>948</v>
      </c>
      <c r="E27" s="907">
        <v>0.3</v>
      </c>
      <c r="F27" s="908" t="s">
        <v>958</v>
      </c>
      <c r="G27" s="631">
        <f>Frequency!$M$10</f>
        <v>436.5</v>
      </c>
      <c r="H27" s="331" t="s">
        <v>172</v>
      </c>
      <c r="I27" s="971">
        <f>I19*E27</f>
        <v>0.09</v>
      </c>
      <c r="J27" s="331" t="s">
        <v>757</v>
      </c>
      <c r="K27" s="323"/>
      <c r="L27" s="3"/>
      <c r="M27" s="3"/>
      <c r="N27" s="3"/>
      <c r="O27" s="3"/>
      <c r="P27" s="3"/>
    </row>
    <row r="28" spans="1:16">
      <c r="A28" s="3"/>
      <c r="B28" s="3"/>
      <c r="C28" s="330"/>
      <c r="D28" s="900" t="s">
        <v>949</v>
      </c>
      <c r="E28" s="907">
        <v>0.3</v>
      </c>
      <c r="F28" s="908" t="s">
        <v>958</v>
      </c>
      <c r="G28" s="631">
        <f>Frequency!$M$10</f>
        <v>436.5</v>
      </c>
      <c r="H28" s="331" t="s">
        <v>172</v>
      </c>
      <c r="I28" s="971">
        <f>I20*E28</f>
        <v>0.183</v>
      </c>
      <c r="J28" s="331" t="s">
        <v>757</v>
      </c>
      <c r="K28" s="323"/>
      <c r="L28" s="3"/>
      <c r="M28" s="3"/>
      <c r="N28" s="3"/>
      <c r="O28" s="3"/>
      <c r="P28" s="3"/>
    </row>
    <row r="29" spans="1:16">
      <c r="A29" s="3"/>
      <c r="B29" s="3"/>
      <c r="C29" s="330"/>
      <c r="D29" s="900" t="s">
        <v>950</v>
      </c>
      <c r="E29" s="907">
        <v>7.5899999999999995E-2</v>
      </c>
      <c r="F29" s="908" t="s">
        <v>958</v>
      </c>
      <c r="G29" s="631">
        <f>Frequency!$M$10</f>
        <v>436.5</v>
      </c>
      <c r="H29" s="331" t="s">
        <v>172</v>
      </c>
      <c r="I29" s="971">
        <f>I21*E29</f>
        <v>0.62693399999999999</v>
      </c>
      <c r="J29" s="331" t="s">
        <v>757</v>
      </c>
      <c r="K29" s="323"/>
      <c r="L29" s="3"/>
      <c r="M29" s="3"/>
      <c r="N29" s="3"/>
      <c r="O29" s="3"/>
      <c r="P29" s="3"/>
    </row>
    <row r="30" spans="1:16">
      <c r="A30" s="3"/>
      <c r="B30" s="3"/>
      <c r="C30" s="330"/>
      <c r="D30" s="915" t="s">
        <v>985</v>
      </c>
      <c r="E30" s="907">
        <v>7.5899999999999995E-2</v>
      </c>
      <c r="F30" s="908" t="s">
        <v>958</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987</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957</v>
      </c>
      <c r="G36" s="331"/>
      <c r="H36" s="331"/>
      <c r="I36" s="904">
        <f>E36*0.05</f>
        <v>0.4</v>
      </c>
      <c r="J36" s="331" t="s">
        <v>757</v>
      </c>
      <c r="K36" s="323"/>
      <c r="L36" s="79"/>
      <c r="M36" s="3"/>
      <c r="N36" s="3"/>
      <c r="O36" s="3"/>
      <c r="P36" s="3"/>
    </row>
    <row r="37" spans="1:16">
      <c r="A37" s="3"/>
      <c r="B37" s="3"/>
      <c r="C37" s="330"/>
      <c r="D37" s="331" t="s">
        <v>171</v>
      </c>
      <c r="E37" s="334" t="s">
        <v>183</v>
      </c>
      <c r="F37" s="459" t="s">
        <v>955</v>
      </c>
      <c r="G37" s="366"/>
      <c r="H37" s="331"/>
      <c r="I37" s="342">
        <v>0.1</v>
      </c>
      <c r="J37" s="331" t="s">
        <v>757</v>
      </c>
      <c r="K37" s="913" t="s">
        <v>981</v>
      </c>
      <c r="L37" s="3"/>
      <c r="M37" s="3"/>
      <c r="N37" s="3"/>
      <c r="O37" s="3"/>
      <c r="P37" s="3"/>
    </row>
    <row r="38" spans="1:16">
      <c r="A38" s="3"/>
      <c r="B38" s="3"/>
      <c r="C38" s="330"/>
      <c r="D38" s="331" t="s">
        <v>171</v>
      </c>
      <c r="E38" s="334" t="s">
        <v>183</v>
      </c>
      <c r="F38" s="459" t="s">
        <v>972</v>
      </c>
      <c r="G38" s="366"/>
      <c r="H38" s="331"/>
      <c r="I38" s="128">
        <v>0.1</v>
      </c>
      <c r="J38" s="331" t="s">
        <v>757</v>
      </c>
      <c r="K38" s="913"/>
      <c r="L38" s="3"/>
      <c r="M38" s="3"/>
      <c r="N38" s="3"/>
      <c r="O38" s="3"/>
      <c r="P38" s="3"/>
    </row>
    <row r="39" spans="1:16">
      <c r="A39" s="3"/>
      <c r="B39" s="3"/>
      <c r="C39" s="330"/>
      <c r="D39" s="331" t="s">
        <v>171</v>
      </c>
      <c r="E39" s="334" t="s">
        <v>183</v>
      </c>
      <c r="F39" s="459" t="s">
        <v>979</v>
      </c>
      <c r="G39" s="366"/>
      <c r="H39" s="331"/>
      <c r="I39" s="342">
        <v>0.5</v>
      </c>
      <c r="J39" s="331" t="s">
        <v>757</v>
      </c>
      <c r="K39" s="913" t="s">
        <v>978</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1060</v>
      </c>
      <c r="L41" s="3"/>
      <c r="M41" s="3"/>
      <c r="N41" s="3"/>
      <c r="O41" s="3"/>
      <c r="P41" s="3"/>
    </row>
    <row r="42" spans="1:16">
      <c r="A42" s="3"/>
      <c r="B42" s="3"/>
      <c r="C42" s="330"/>
      <c r="D42" s="331"/>
      <c r="E42" s="331"/>
      <c r="F42" s="331"/>
      <c r="G42" s="331"/>
      <c r="H42" s="331"/>
      <c r="I42" s="332"/>
      <c r="J42" s="331"/>
      <c r="K42" s="924" t="s">
        <v>1063</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-2.6158340000000004</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61" t="s">
        <v>988</v>
      </c>
      <c r="D52" s="1062"/>
      <c r="E52" s="1062"/>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980</v>
      </c>
      <c r="D60" s="141"/>
      <c r="E60" s="128">
        <v>0.1</v>
      </c>
      <c r="F60" s="141" t="s">
        <v>160</v>
      </c>
      <c r="G60" s="402">
        <f>10*LOG10(E60)</f>
        <v>-10</v>
      </c>
      <c r="H60" s="141" t="s">
        <v>161</v>
      </c>
      <c r="I60" s="328">
        <f>G60+30</f>
        <v>20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989</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953</v>
      </c>
      <c r="E69" s="141"/>
      <c r="F69" s="141"/>
      <c r="G69" s="141"/>
      <c r="H69" s="141"/>
      <c r="I69" s="634"/>
      <c r="J69" s="141"/>
      <c r="K69" s="182"/>
      <c r="L69" s="3"/>
      <c r="M69" s="3"/>
      <c r="N69" s="3"/>
      <c r="O69" s="3"/>
      <c r="P69" s="3"/>
    </row>
    <row r="70" spans="1:16">
      <c r="A70" s="3"/>
      <c r="B70" s="3"/>
      <c r="C70" s="177"/>
      <c r="D70" s="141" t="s">
        <v>948</v>
      </c>
      <c r="E70" s="919">
        <v>1.26</v>
      </c>
      <c r="F70" s="192" t="s">
        <v>958</v>
      </c>
      <c r="G70" s="407">
        <f>Frequency!$M$16</f>
        <v>436.5</v>
      </c>
      <c r="H70" s="141" t="s">
        <v>172</v>
      </c>
      <c r="I70" s="972">
        <f>I63*E70</f>
        <v>7.5599999999999999E-3</v>
      </c>
      <c r="J70" s="141" t="s">
        <v>757</v>
      </c>
      <c r="K70" s="182"/>
      <c r="L70" s="3"/>
      <c r="M70" s="3"/>
      <c r="N70" s="3"/>
      <c r="O70" s="3"/>
      <c r="P70" s="3"/>
    </row>
    <row r="71" spans="1:16">
      <c r="A71" s="3"/>
      <c r="B71" s="3"/>
      <c r="C71" s="177"/>
      <c r="D71" s="141" t="s">
        <v>949</v>
      </c>
      <c r="E71" s="919"/>
      <c r="F71" s="192" t="s">
        <v>958</v>
      </c>
      <c r="G71" s="407">
        <f>Frequency!$M$16</f>
        <v>436.5</v>
      </c>
      <c r="H71" s="141" t="s">
        <v>172</v>
      </c>
      <c r="I71" s="972">
        <f t="shared" ref="I71:I72" si="0">I64*E71</f>
        <v>0</v>
      </c>
      <c r="J71" s="141" t="s">
        <v>757</v>
      </c>
      <c r="K71" s="182"/>
      <c r="L71" s="3"/>
      <c r="M71" s="3"/>
      <c r="N71" s="3"/>
      <c r="O71" s="3"/>
      <c r="P71" s="3"/>
    </row>
    <row r="72" spans="1:16">
      <c r="A72" s="3"/>
      <c r="B72" s="3"/>
      <c r="C72" s="177"/>
      <c r="D72" s="141" t="s">
        <v>950</v>
      </c>
      <c r="E72" s="919"/>
      <c r="F72" s="192" t="s">
        <v>958</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951</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1061</v>
      </c>
      <c r="G78" s="141"/>
      <c r="H78" s="141"/>
      <c r="I78" s="903">
        <f>E78*0.066</f>
        <v>0.39600000000000002</v>
      </c>
      <c r="J78" s="141" t="s">
        <v>757</v>
      </c>
      <c r="K78" s="1041" t="s">
        <v>1062</v>
      </c>
      <c r="L78" s="3"/>
      <c r="M78" s="3"/>
      <c r="N78" s="3"/>
      <c r="O78" s="3"/>
      <c r="P78" s="3"/>
    </row>
    <row r="79" spans="1:16">
      <c r="A79" s="3"/>
      <c r="B79" s="3"/>
      <c r="C79" s="177"/>
      <c r="D79" s="141" t="s">
        <v>171</v>
      </c>
      <c r="E79" s="142" t="s">
        <v>183</v>
      </c>
      <c r="F79" s="891" t="s">
        <v>954</v>
      </c>
      <c r="G79" s="366"/>
      <c r="H79" s="141"/>
      <c r="I79" s="128">
        <v>0.18</v>
      </c>
      <c r="J79" s="141" t="s">
        <v>757</v>
      </c>
      <c r="K79" s="182"/>
      <c r="L79" s="3"/>
      <c r="M79" s="3"/>
      <c r="N79" s="3"/>
      <c r="O79" s="3"/>
      <c r="P79" s="3"/>
    </row>
    <row r="80" spans="1:16">
      <c r="A80" s="3"/>
      <c r="B80" s="3"/>
      <c r="C80" s="177"/>
      <c r="D80" s="141" t="s">
        <v>171</v>
      </c>
      <c r="E80" s="142" t="s">
        <v>183</v>
      </c>
      <c r="F80" s="891" t="s">
        <v>955</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1" t="s">
        <v>1066</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-10.823560000000001</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115" zoomScale="120" zoomScaleNormal="120" workbookViewId="0">
      <selection activeCell="M149" sqref="M149"/>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63" t="s">
        <v>988</v>
      </c>
      <c r="D8" s="1064"/>
      <c r="E8" s="1064"/>
      <c r="F8" s="1064"/>
      <c r="G8" s="1064"/>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990</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991</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992</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993</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994</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995</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996</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997</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998</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999</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1000</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989</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953</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948</v>
      </c>
      <c r="F43" s="331"/>
      <c r="G43" s="331"/>
      <c r="H43" s="919">
        <v>1.26</v>
      </c>
      <c r="I43" s="908" t="s">
        <v>958</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949</v>
      </c>
      <c r="F44" s="331"/>
      <c r="G44" s="331"/>
      <c r="H44" s="919"/>
      <c r="I44" s="908" t="s">
        <v>958</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950</v>
      </c>
      <c r="F45" s="331"/>
      <c r="G45" s="331"/>
      <c r="H45" s="919"/>
      <c r="I45" s="908" t="s">
        <v>958</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1002</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1003</v>
      </c>
      <c r="R49" s="297"/>
      <c r="S49" s="297"/>
      <c r="T49" s="684" t="s">
        <v>1004</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975</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976</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1005</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1064</v>
      </c>
      <c r="J53" s="911">
        <f>H53*0.066</f>
        <v>0.39600000000000002</v>
      </c>
      <c r="K53" s="331" t="s">
        <v>757</v>
      </c>
      <c r="L53" s="331"/>
      <c r="M53" s="924" t="s">
        <v>1062</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1006</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973</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960</v>
      </c>
      <c r="P61" s="932" t="s">
        <v>961</v>
      </c>
      <c r="Q61" s="933"/>
      <c r="R61" s="931" t="s">
        <v>962</v>
      </c>
      <c r="S61" s="931" t="s">
        <v>963</v>
      </c>
      <c r="T61" s="931"/>
      <c r="U61" s="931" t="s">
        <v>964</v>
      </c>
      <c r="V61" s="931" t="s">
        <v>965</v>
      </c>
      <c r="W61" s="931" t="s">
        <v>966</v>
      </c>
      <c r="X61" s="931" t="s">
        <v>967</v>
      </c>
      <c r="Y61" s="931" t="s">
        <v>968</v>
      </c>
      <c r="Z61" s="931" t="s">
        <v>969</v>
      </c>
      <c r="AA61" s="931" t="s">
        <v>970</v>
      </c>
    </row>
    <row r="62" spans="1:27">
      <c r="A62" s="3"/>
      <c r="B62" s="3"/>
      <c r="C62" s="330"/>
      <c r="D62" s="331"/>
      <c r="E62" s="331"/>
      <c r="F62" s="331"/>
      <c r="G62" s="331"/>
      <c r="H62" s="331"/>
      <c r="I62" s="331"/>
      <c r="J62" s="331"/>
      <c r="K62" s="331"/>
      <c r="L62" s="331"/>
      <c r="M62" s="323"/>
      <c r="N62" s="3"/>
      <c r="O62" s="934">
        <v>1</v>
      </c>
      <c r="P62" s="935" t="s">
        <v>977</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974</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1068</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1001</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971</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990</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1007</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993</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994</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995</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996</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1008</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998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999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1074</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953</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948</v>
      </c>
      <c r="F114" s="141"/>
      <c r="G114" s="141"/>
      <c r="H114" s="919">
        <v>0.3</v>
      </c>
      <c r="I114" s="192" t="s">
        <v>958</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949</v>
      </c>
      <c r="F115" s="141"/>
      <c r="G115" s="141"/>
      <c r="H115" s="919"/>
      <c r="I115" s="192" t="s">
        <v>958</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950</v>
      </c>
      <c r="F116" s="141"/>
      <c r="G116" s="141"/>
      <c r="H116" s="919"/>
      <c r="I116" s="192" t="s">
        <v>958</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1009</v>
      </c>
      <c r="J118" s="141">
        <f>J109*H114</f>
        <v>0.3</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1010</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1011</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1012</v>
      </c>
      <c r="J121" s="909">
        <v>1</v>
      </c>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1013</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4</v>
      </c>
      <c r="I123" s="141" t="s">
        <v>233</v>
      </c>
      <c r="J123" s="912">
        <f>H123*0.05</f>
        <v>0.2</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1.5</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1014</v>
      </c>
      <c r="J128" s="964">
        <f>10^-(J126/10)</f>
        <v>0.70794578438413791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1015</v>
      </c>
      <c r="J130" s="965">
        <v>290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1004</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1016</v>
      </c>
      <c r="J134" s="965">
        <v>60</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6</v>
      </c>
      <c r="G136" s="141" t="s">
        <v>757</v>
      </c>
      <c r="H136" s="141"/>
      <c r="I136" s="141" t="s">
        <v>1017</v>
      </c>
      <c r="J136" s="302">
        <f>10^(F136/10)</f>
        <v>3.9810717055349727</v>
      </c>
      <c r="K136" s="141"/>
      <c r="L136" s="141"/>
      <c r="M136" s="914"/>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c r="K138" s="141" t="s">
        <v>665</v>
      </c>
      <c r="L138" s="141"/>
      <c r="M138" s="182"/>
      <c r="N138" s="3"/>
      <c r="O138" s="925" t="s">
        <v>973</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c r="K140" s="366"/>
      <c r="L140" s="141"/>
      <c r="M140" s="182"/>
      <c r="N140" s="3"/>
      <c r="O140" s="931" t="s">
        <v>960</v>
      </c>
      <c r="P140" s="932" t="s">
        <v>961</v>
      </c>
      <c r="Q140" s="933"/>
      <c r="R140" s="931" t="s">
        <v>962</v>
      </c>
      <c r="S140" s="931" t="s">
        <v>963</v>
      </c>
      <c r="T140" s="931"/>
      <c r="U140" s="931" t="s">
        <v>964</v>
      </c>
      <c r="V140" s="931" t="s">
        <v>965</v>
      </c>
      <c r="W140" s="931" t="s">
        <v>966</v>
      </c>
      <c r="X140" s="931" t="s">
        <v>967</v>
      </c>
      <c r="Y140" s="931" t="s">
        <v>968</v>
      </c>
      <c r="Z140" s="931" t="s">
        <v>969</v>
      </c>
      <c r="AA140" s="931" t="s">
        <v>970</v>
      </c>
    </row>
    <row r="141" spans="1:27">
      <c r="A141" s="3"/>
      <c r="B141" s="3"/>
      <c r="C141" s="177"/>
      <c r="D141" s="141"/>
      <c r="E141" s="141"/>
      <c r="F141" s="967"/>
      <c r="G141" s="141"/>
      <c r="H141" s="141"/>
      <c r="I141" s="141"/>
      <c r="J141" s="302"/>
      <c r="K141" s="141"/>
      <c r="L141" s="141"/>
      <c r="M141" s="182"/>
      <c r="N141" s="3"/>
      <c r="O141" s="934">
        <v>1</v>
      </c>
      <c r="P141" s="935" t="s">
        <v>1075</v>
      </c>
      <c r="Q141" s="936"/>
      <c r="R141" s="937"/>
      <c r="S141" s="937">
        <v>6</v>
      </c>
      <c r="T141" s="938"/>
      <c r="U141" s="939" t="str">
        <f>IF(R141,10^(R141/10), "")</f>
        <v/>
      </c>
      <c r="V141" s="939">
        <f>IF(S141,10^(S141/10), "")</f>
        <v>3.9810717055349727</v>
      </c>
      <c r="W141" s="939">
        <f>IF(S141,1,"")</f>
        <v>1</v>
      </c>
      <c r="X141" s="938">
        <f>IF(S141,290*(V141-1), "")</f>
        <v>864.51079460514211</v>
      </c>
      <c r="Y141" s="938">
        <f t="shared" ref="Y141:Y150" si="8">IF(S141,X141/W141, "")</f>
        <v>864.51079460514211</v>
      </c>
      <c r="Z141" s="939">
        <f>IF(S141,(V141-1)/W141, "")</f>
        <v>2.9810717055349727</v>
      </c>
      <c r="AA141" s="939">
        <f>IF(S141,Z141+1, "")</f>
        <v>3.9810717055349727</v>
      </c>
    </row>
    <row r="142" spans="1:27">
      <c r="A142" s="3"/>
      <c r="B142" s="3"/>
      <c r="C142" s="177"/>
      <c r="D142" s="141" t="s">
        <v>668</v>
      </c>
      <c r="E142" s="141"/>
      <c r="F142" s="967"/>
      <c r="G142" s="141"/>
      <c r="H142" s="141"/>
      <c r="I142" s="141"/>
      <c r="J142" s="968"/>
      <c r="K142" s="141" t="s">
        <v>1018</v>
      </c>
      <c r="L142" s="141"/>
      <c r="M142" s="182"/>
      <c r="N142" s="3"/>
      <c r="O142" s="934">
        <v>2</v>
      </c>
      <c r="P142" s="940"/>
      <c r="Q142" s="941"/>
      <c r="R142" s="937"/>
      <c r="S142" s="937"/>
      <c r="T142" s="938"/>
      <c r="U142" s="939" t="str">
        <f t="shared" ref="U142:V150" si="9">IF(R142,10^(R142/10), "")</f>
        <v/>
      </c>
      <c r="V142" s="939" t="str">
        <f t="shared" si="9"/>
        <v/>
      </c>
      <c r="W142" s="939" t="str">
        <f t="shared" ref="W142:W150" si="10">IF(S142,W141*U141, "")</f>
        <v/>
      </c>
      <c r="X142" s="938" t="str">
        <f t="shared" ref="X142:X150" si="11">IF(S142,290*(V142-1), "")</f>
        <v/>
      </c>
      <c r="Y142" s="938" t="str">
        <f t="shared" si="8"/>
        <v/>
      </c>
      <c r="Z142" s="939" t="str">
        <f t="shared" ref="Z142:Z150" si="12">IF(S142,(V142-1)/W142, "")</f>
        <v/>
      </c>
      <c r="AA142" s="939" t="str">
        <f>IF(S142, AA141+Z142, "")</f>
        <v/>
      </c>
    </row>
    <row r="143" spans="1:27">
      <c r="A143" s="3"/>
      <c r="B143" s="3"/>
      <c r="C143" s="177"/>
      <c r="D143" s="141"/>
      <c r="E143" s="141"/>
      <c r="F143" s="967"/>
      <c r="G143" s="141"/>
      <c r="H143" s="141"/>
      <c r="I143" s="141"/>
      <c r="J143" s="302"/>
      <c r="K143" s="141"/>
      <c r="L143" s="141"/>
      <c r="M143" s="182"/>
      <c r="N143" s="3"/>
      <c r="O143" s="934">
        <v>3</v>
      </c>
      <c r="P143" s="940"/>
      <c r="Q143" s="941"/>
      <c r="R143" s="937"/>
      <c r="S143" s="937"/>
      <c r="T143" s="938"/>
      <c r="U143" s="939" t="str">
        <f t="shared" si="9"/>
        <v/>
      </c>
      <c r="V143" s="939" t="str">
        <f t="shared" si="9"/>
        <v/>
      </c>
      <c r="W143" s="939" t="str">
        <f t="shared" si="10"/>
        <v/>
      </c>
      <c r="X143" s="938" t="str">
        <f t="shared" si="11"/>
        <v/>
      </c>
      <c r="Y143" s="938" t="str">
        <f t="shared" si="8"/>
        <v/>
      </c>
      <c r="Z143" s="939" t="str">
        <f t="shared" si="12"/>
        <v/>
      </c>
      <c r="AA143" s="939" t="str">
        <f t="shared" ref="AA143:AA150" si="13">IF(S143, AA142+Z143, "")</f>
        <v/>
      </c>
    </row>
    <row r="144" spans="1:27">
      <c r="A144" s="3"/>
      <c r="B144" s="3"/>
      <c r="C144" s="177"/>
      <c r="D144" s="141" t="s">
        <v>669</v>
      </c>
      <c r="E144" s="141"/>
      <c r="F144" s="967"/>
      <c r="G144" s="141"/>
      <c r="H144" s="141"/>
      <c r="I144" s="141"/>
      <c r="J144" s="969">
        <f>J138*J142</f>
        <v>0</v>
      </c>
      <c r="K144" s="141" t="s">
        <v>757</v>
      </c>
      <c r="L144" s="141"/>
      <c r="M144" s="182"/>
      <c r="N144" s="3"/>
      <c r="O144" s="934">
        <v>4</v>
      </c>
      <c r="P144" s="940"/>
      <c r="Q144" s="941"/>
      <c r="R144" s="937"/>
      <c r="S144" s="937"/>
      <c r="T144" s="938"/>
      <c r="U144" s="939" t="str">
        <f t="shared" si="9"/>
        <v/>
      </c>
      <c r="V144" s="939" t="str">
        <f t="shared" si="9"/>
        <v/>
      </c>
      <c r="W144" s="939" t="str">
        <f t="shared" si="10"/>
        <v/>
      </c>
      <c r="X144" s="938" t="str">
        <f t="shared" si="11"/>
        <v/>
      </c>
      <c r="Y144" s="938" t="str">
        <f t="shared" si="8"/>
        <v/>
      </c>
      <c r="Z144" s="939" t="str">
        <f t="shared" si="12"/>
        <v/>
      </c>
      <c r="AA144" s="939" t="str">
        <f t="shared" si="13"/>
        <v/>
      </c>
    </row>
    <row r="145" spans="1:27">
      <c r="A145" s="3"/>
      <c r="B145" s="3"/>
      <c r="C145" s="177"/>
      <c r="D145" s="141"/>
      <c r="E145" s="141"/>
      <c r="F145" s="141"/>
      <c r="G145" s="141"/>
      <c r="H145" s="141"/>
      <c r="I145" s="141"/>
      <c r="J145" s="141"/>
      <c r="K145" s="141"/>
      <c r="L145" s="141"/>
      <c r="M145" s="182"/>
      <c r="N145" s="3"/>
      <c r="O145" s="934">
        <v>5</v>
      </c>
      <c r="P145" s="940"/>
      <c r="Q145" s="941"/>
      <c r="R145" s="937"/>
      <c r="S145" s="937"/>
      <c r="T145" s="938"/>
      <c r="U145" s="939" t="str">
        <f t="shared" si="9"/>
        <v/>
      </c>
      <c r="V145" s="939" t="str">
        <f t="shared" si="9"/>
        <v/>
      </c>
      <c r="W145" s="939" t="str">
        <f t="shared" si="10"/>
        <v/>
      </c>
      <c r="X145" s="938" t="str">
        <f t="shared" si="11"/>
        <v/>
      </c>
      <c r="Y145" s="938" t="str">
        <f t="shared" si="8"/>
        <v/>
      </c>
      <c r="Z145" s="939" t="str">
        <f t="shared" si="12"/>
        <v/>
      </c>
      <c r="AA145" s="939" t="str">
        <f t="shared" si="13"/>
        <v/>
      </c>
    </row>
    <row r="146" spans="1:27" ht="13">
      <c r="A146" s="3"/>
      <c r="B146" s="3"/>
      <c r="C146" s="177"/>
      <c r="D146" s="141" t="s">
        <v>108</v>
      </c>
      <c r="E146" s="141"/>
      <c r="F146" s="141"/>
      <c r="G146" s="141"/>
      <c r="H146" s="141"/>
      <c r="I146" s="141" t="s">
        <v>1001</v>
      </c>
      <c r="J146" s="374">
        <f>Y152</f>
        <v>864.51079460514211</v>
      </c>
      <c r="K146" s="141" t="s">
        <v>785</v>
      </c>
      <c r="L146" s="141"/>
      <c r="M146" s="182"/>
      <c r="N146" s="3"/>
      <c r="O146" s="934">
        <v>8</v>
      </c>
      <c r="P146" s="940"/>
      <c r="Q146" s="941"/>
      <c r="R146" s="937"/>
      <c r="S146" s="937"/>
      <c r="T146" s="938"/>
      <c r="U146" s="939" t="str">
        <f t="shared" si="9"/>
        <v/>
      </c>
      <c r="V146" s="939" t="str">
        <f t="shared" si="9"/>
        <v/>
      </c>
      <c r="W146" s="939" t="str">
        <f t="shared" si="10"/>
        <v/>
      </c>
      <c r="X146" s="938" t="str">
        <f t="shared" si="11"/>
        <v/>
      </c>
      <c r="Y146" s="938" t="str">
        <f t="shared" si="8"/>
        <v/>
      </c>
      <c r="Z146" s="939" t="str">
        <f t="shared" si="12"/>
        <v/>
      </c>
      <c r="AA146" s="939" t="str">
        <f t="shared" si="13"/>
        <v/>
      </c>
    </row>
    <row r="147" spans="1:27">
      <c r="A147" s="3"/>
      <c r="B147" s="3"/>
      <c r="C147" s="177"/>
      <c r="D147" s="141"/>
      <c r="E147" s="141"/>
      <c r="F147" s="141"/>
      <c r="G147" s="141"/>
      <c r="H147" s="141"/>
      <c r="I147" s="141"/>
      <c r="J147" s="141"/>
      <c r="K147" s="141"/>
      <c r="L147" s="141"/>
      <c r="M147" s="182"/>
      <c r="N147" s="3"/>
      <c r="O147" s="934">
        <v>9</v>
      </c>
      <c r="P147" s="940"/>
      <c r="Q147" s="941"/>
      <c r="R147" s="937"/>
      <c r="S147" s="937"/>
      <c r="T147" s="938"/>
      <c r="U147" s="939" t="str">
        <f t="shared" si="9"/>
        <v/>
      </c>
      <c r="V147" s="939" t="str">
        <f t="shared" si="9"/>
        <v/>
      </c>
      <c r="W147" s="939" t="str">
        <f t="shared" si="10"/>
        <v/>
      </c>
      <c r="X147" s="938" t="str">
        <f t="shared" si="11"/>
        <v/>
      </c>
      <c r="Y147" s="938" t="str">
        <f t="shared" si="8"/>
        <v/>
      </c>
      <c r="Z147" s="939" t="str">
        <f t="shared" si="12"/>
        <v/>
      </c>
      <c r="AA147" s="939" t="str">
        <f t="shared" si="13"/>
        <v/>
      </c>
    </row>
    <row r="148" spans="1:27" ht="13">
      <c r="A148" s="3"/>
      <c r="B148" s="3"/>
      <c r="C148" s="177"/>
      <c r="D148" s="141"/>
      <c r="E148" s="141"/>
      <c r="F148" s="141"/>
      <c r="G148" s="141"/>
      <c r="H148" s="141"/>
      <c r="I148" s="141"/>
      <c r="J148" s="141"/>
      <c r="K148" s="141"/>
      <c r="L148" s="364"/>
      <c r="M148" s="182"/>
      <c r="N148" s="3"/>
      <c r="O148" s="934">
        <v>10</v>
      </c>
      <c r="P148" s="940"/>
      <c r="Q148" s="941"/>
      <c r="R148" s="937"/>
      <c r="S148" s="937"/>
      <c r="T148" s="938"/>
      <c r="U148" s="939" t="str">
        <f t="shared" si="9"/>
        <v/>
      </c>
      <c r="V148" s="939" t="str">
        <f t="shared" si="9"/>
        <v/>
      </c>
      <c r="W148" s="939" t="str">
        <f t="shared" si="10"/>
        <v/>
      </c>
      <c r="X148" s="938" t="str">
        <f t="shared" si="11"/>
        <v/>
      </c>
      <c r="Y148" s="938" t="str">
        <f t="shared" si="8"/>
        <v/>
      </c>
      <c r="Z148" s="939" t="str">
        <f t="shared" si="12"/>
        <v/>
      </c>
      <c r="AA148" s="939" t="str">
        <f t="shared" si="13"/>
        <v/>
      </c>
    </row>
    <row r="149" spans="1:27" ht="13">
      <c r="A149" s="3"/>
      <c r="B149" s="3"/>
      <c r="C149" s="177"/>
      <c r="D149" s="141" t="s">
        <v>226</v>
      </c>
      <c r="E149" s="141"/>
      <c r="F149" s="141"/>
      <c r="G149" s="141"/>
      <c r="H149" s="141"/>
      <c r="I149" s="141" t="s">
        <v>1019</v>
      </c>
      <c r="J149" s="374">
        <f>J130*J128+J132*(1-J128)+J134+(J146/(J136/(10^(J144/10))))</f>
        <v>567.15529348622215</v>
      </c>
      <c r="K149" s="141" t="s">
        <v>785</v>
      </c>
      <c r="L149" s="141"/>
      <c r="M149" s="182"/>
      <c r="N149" s="3"/>
      <c r="O149" s="934">
        <v>11</v>
      </c>
      <c r="P149" s="940"/>
      <c r="Q149" s="941"/>
      <c r="R149" s="937"/>
      <c r="S149" s="937"/>
      <c r="T149" s="938"/>
      <c r="U149" s="939" t="str">
        <f t="shared" si="9"/>
        <v/>
      </c>
      <c r="V149" s="939" t="str">
        <f t="shared" si="9"/>
        <v/>
      </c>
      <c r="W149" s="939" t="str">
        <f t="shared" si="10"/>
        <v/>
      </c>
      <c r="X149" s="938" t="str">
        <f t="shared" si="11"/>
        <v/>
      </c>
      <c r="Y149" s="938" t="str">
        <f t="shared" si="8"/>
        <v/>
      </c>
      <c r="Z149" s="939" t="str">
        <f t="shared" si="12"/>
        <v/>
      </c>
      <c r="AA149" s="939" t="str">
        <f t="shared" si="13"/>
        <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971</v>
      </c>
      <c r="Y152" s="957">
        <f>SUM(Y141:Y150)</f>
        <v>864.51079460514211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topLeftCell="A49" zoomScale="120" zoomScaleNormal="120" workbookViewId="0">
      <selection activeCell="B60" sqref="B60"/>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 - CS0</v>
      </c>
      <c r="H1" s="127"/>
      <c r="I1" s="127"/>
      <c r="J1" s="127"/>
      <c r="K1" s="127"/>
      <c r="L1" s="610" t="str">
        <f>'Title Page'!F23</f>
        <v>2019 September 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944</v>
      </c>
      <c r="C16" s="146"/>
      <c r="D16" s="146"/>
      <c r="E16" s="624" t="s">
        <v>945</v>
      </c>
      <c r="F16" s="890"/>
      <c r="G16" s="624" t="s">
        <v>946</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1065</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0.5</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1065</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1</v>
      </c>
      <c r="F58" s="644" t="str">
        <f>INDEX(B60:B63,E58,1)</f>
        <v>Yagi</v>
      </c>
      <c r="G58" s="185"/>
      <c r="H58" s="141"/>
      <c r="I58" s="141"/>
      <c r="J58" s="141" t="s">
        <v>60</v>
      </c>
      <c r="K58" s="381" t="s">
        <v>1073</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0.7</v>
      </c>
      <c r="F60" s="171"/>
      <c r="G60" s="172" t="s">
        <v>75</v>
      </c>
      <c r="H60" s="174">
        <f>IF(E60&lt;$B$72,"too short!",INDEX($D$72:$D$110,MATCH(E60,$B$72:$B$110,1),1))</f>
        <v>4</v>
      </c>
      <c r="I60" s="171" t="s">
        <v>74</v>
      </c>
      <c r="J60" s="175" t="s">
        <v>86</v>
      </c>
      <c r="K60" s="171"/>
      <c r="L60" s="171"/>
      <c r="M60" s="152" t="s">
        <v>76</v>
      </c>
      <c r="N60" s="153">
        <f>IF(E60&lt;$B$72,"too short!",INDEX($F$72:$F$110,MATCH(E60,$B$72:$B$110,1),1))</f>
        <v>10.86</v>
      </c>
      <c r="O60" s="151" t="s">
        <v>784</v>
      </c>
      <c r="P60" s="151" t="s">
        <v>61</v>
      </c>
      <c r="Q60" s="154">
        <f>SQRT(40000/(10^(N60/10)))</f>
        <v>57.283559398131615</v>
      </c>
      <c r="R60" s="151" t="s">
        <v>4</v>
      </c>
      <c r="S60" s="151" t="s">
        <v>89</v>
      </c>
      <c r="T60" s="151"/>
      <c r="U60" s="155">
        <f>K55*E60</f>
        <v>0.48077892325315003</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944</v>
      </c>
      <c r="C63" s="146"/>
      <c r="D63" s="146"/>
      <c r="E63" s="624" t="s">
        <v>945</v>
      </c>
      <c r="F63" s="890"/>
      <c r="G63" s="624" t="s">
        <v>946</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 - CS0</v>
      </c>
      <c r="H1" s="127"/>
      <c r="I1" s="127"/>
      <c r="J1" s="127"/>
      <c r="K1" s="610" t="str">
        <f>'Title Page'!F23</f>
        <v>2019 September 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0.5</v>
      </c>
      <c r="I78" s="98" t="s">
        <v>784</v>
      </c>
      <c r="J78" s="98" t="s">
        <v>61</v>
      </c>
      <c r="K78" s="98">
        <f>'Antenna Gain'!L45</f>
        <v>180</v>
      </c>
      <c r="L78" s="99" t="s">
        <v>4</v>
      </c>
      <c r="M78" s="123"/>
      <c r="N78" s="124"/>
      <c r="O78" s="395" t="s">
        <v>270</v>
      </c>
      <c r="P78" s="537" t="s">
        <v>568</v>
      </c>
      <c r="Q78" s="538"/>
      <c r="R78" s="401">
        <f>IF(K74=K95, 0.00075*(G85)^2, 0.00075*(180-G85)^2)</f>
        <v>19.2</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1</v>
      </c>
      <c r="F95" s="184" t="str">
        <f>'Antenna Gain'!F58</f>
        <v>Yagi</v>
      </c>
      <c r="G95" s="185"/>
      <c r="H95" s="141"/>
      <c r="I95" s="141"/>
      <c r="J95" s="141" t="s">
        <v>60</v>
      </c>
      <c r="K95" s="280" t="str">
        <f>'Antenna Gain'!K58</f>
        <v>Linear</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10.86</v>
      </c>
      <c r="H97" s="151" t="s">
        <v>784</v>
      </c>
      <c r="I97" s="265" t="s">
        <v>61</v>
      </c>
      <c r="J97" s="273">
        <f>'Antenna Gain'!Q60</f>
        <v>57.283559398131615</v>
      </c>
      <c r="K97" s="151" t="s">
        <v>4</v>
      </c>
      <c r="L97" s="156"/>
      <c r="M97" s="3"/>
      <c r="N97" s="3"/>
      <c r="O97" s="3"/>
      <c r="P97" s="3"/>
      <c r="Q97" s="3"/>
      <c r="R97" s="392">
        <f>2*(F102*(79.76/INDEX(J97:J100,E95,1)))</f>
        <v>13.923715781286017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8.5656614967393949E-2</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 - CS0</v>
      </c>
      <c r="K1" s="127"/>
      <c r="L1" s="127"/>
      <c r="M1" s="127"/>
      <c r="N1" s="610" t="str">
        <f>'Title Page'!F23</f>
        <v>2019 September 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2019-09-11T07:30:54Z</cp:lastPrinted>
  <dcterms:created xsi:type="dcterms:W3CDTF">2003-03-25T04:05:57Z</dcterms:created>
  <dcterms:modified xsi:type="dcterms:W3CDTF">2019-09-11T07:31:12Z</dcterms:modified>
</cp:coreProperties>
</file>