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FA8A6F0C-67E2-48CB-81B3-7BF8EB315ECE}" xr6:coauthVersionLast="45" xr6:coauthVersionMax="45" xr10:uidLastSave="{00000000-0000-0000-0000-000000000000}"/>
  <bookViews>
    <workbookView xWindow="-110" yWindow="-110" windowWidth="32220" windowHeight="17620" tabRatio="846" firstSheet="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3" i="20" s="1"/>
  <c r="M12" i="20" s="1"/>
  <c r="B15" i="5"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G18" i="20" l="1"/>
  <c r="G17" i="20"/>
  <c r="G19" i="20"/>
  <c r="M18" i="20" s="1"/>
  <c r="B15" i="3" s="1"/>
  <c r="G16" i="20"/>
  <c r="G11" i="20"/>
  <c r="F104" i="23"/>
  <c r="F20" i="23"/>
  <c r="F14" i="23"/>
  <c r="F107" i="23"/>
  <c r="B49" i="3"/>
  <c r="B23" i="3"/>
  <c r="O49" i="23" s="1"/>
  <c r="Q60" i="9"/>
  <c r="J97" i="12" s="1"/>
  <c r="R97" i="12" s="1"/>
  <c r="K102" i="12" s="1"/>
  <c r="B22" i="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N45" i="23" l="1"/>
  <c r="B48" i="3"/>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<sst xmlns="http://schemas.openxmlformats.org/spreadsheetml/2006/main" count="2763" uniqueCount="1080">
  <si>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</si>
  <si>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</si>
  <si>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</si>
  <si>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</si>
  <si>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</si>
  <si>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</si>
  <si>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</si>
  <si>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</si>
  <si>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</si>
  <si>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</si>
  <si>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</si>
  <si>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</si>
  <si>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</si>
  <si>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</si>
  <si>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</si>
  <si>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</si>
  <si>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</si>
  <si>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</si>
  <si>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</si>
  <si>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</si>
  <si>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</si>
  <si>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</si>
  <si>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</si>
  <si>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</si>
  <si>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</si>
  <si>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</si>
  <si>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</si>
  <si>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</si>
  <si>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</si>
  <si>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</si>
  <si>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</si>
  <si>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</si>
  <si>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</si>
  <si>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</si>
  <si>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</si>
  <si>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</si>
  <si>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</si>
  <si>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</si>
  <si>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</si>
  <si>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</si>
  <si>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</si>
  <si>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</si>
  <si>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</si>
  <si>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</si>
  <si>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</si>
  <si>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</si>
  <si>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</si>
  <si>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</si>
  <si>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</si>
  <si>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</si>
  <si>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</si>
  <si>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</si>
  <si>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</si>
  <si>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</si>
  <si>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</si>
  <si>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</si>
  <si>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</si>
  <si>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</si>
  <si>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</si>
  <si>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</si>
  <si>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</si>
  <si>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</si>
  <si>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</si>
  <si>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</si>
  <si>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</si>
  <si>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</si>
  <si>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</si>
  <si>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</si>
  <si>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</si>
  <si>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</si>
  <si>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</si>
  <si>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</si>
  <si>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</si>
  <si>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</si>
  <si>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</si>
  <si>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</si>
  <si>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</si>
  <si>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</si>
  <si>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</si>
  <si>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</si>
  <si>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</si>
  <si>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</si>
  <si>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</si>
  <si>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</si>
  <si>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</si>
  <si>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</si>
  <si>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</si>
  <si>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</si>
  <si>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</si>
  <si>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</si>
  <si>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</si>
  <si>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</si>
  <si>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</si>
  <si>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</si>
  <si>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</si>
  <si>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</si>
  <si>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</si>
  <si>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</si>
  <si>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</si>
  <si>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</si>
  <si>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</si>
  <si>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</si>
  <si>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</si>
  <si>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</si>
  <si>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</si>
  <si>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</si>
  <si>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</si>
  <si>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</si>
  <si>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</si>
  <si>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</si>
  <si>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</si>
  <si>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</si>
  <si>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</si>
  <si>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</si>
  <si>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</si>
  <si>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</si>
  <si>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</si>
  <si>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</si>
  <si>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</si>
  <si>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</si>
  <si>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</si>
  <si>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</si>
  <si>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</si>
  <si>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</si>
  <si>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</si>
  <si>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</si>
  <si>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</si>
  <si>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</si>
  <si>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</si>
  <si>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</si>
  <si>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</si>
  <si>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</si>
  <si>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</si>
  <si>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</si>
  <si>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</si>
  <si>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</si>
  <si>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</si>
  <si>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</si>
  <si>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</si>
  <si>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</si>
  <si>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</si>
  <si>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</si>
  <si>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</si>
  <si>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</si>
  <si>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</si>
  <si>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</si>
  <si>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</si>
  <si>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</si>
  <si>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</si>
  <si>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</si>
  <si>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</si>
  <si>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</si>
  <si>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</si>
  <si>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</si>
  <si>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</si>
  <si>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</si>
  <si>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</si>
  <si>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</si>
  <si>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</si>
  <si>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</si>
  <si>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</si>
  <si>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</si>
  <si>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</si>
  <si>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</si>
  <si>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</si>
  <si>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</si>
  <si>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</si>
  <si>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</si>
  <si>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</si>
  <si>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</si>
  <si>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</si>
  <si>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</si>
  <si>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</si>
  <si>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</si>
  <si>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</si>
  <si>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</si>
  <si>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</si>
  <si>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</si>
  <si>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</si>
  <si>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</si>
  <si>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</si>
  <si>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</si>
  <si>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</si>
  <si>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</si>
  <si>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</si>
  <si>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</si>
  <si>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</si>
  <si>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</si>
  <si>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</si>
  <si>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</si>
  <si>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</si>
  <si>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</si>
  <si>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</si>
  <si>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</si>
  <si>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</si>
  <si>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</si>
  <si>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</si>
  <si>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</si>
  <si>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</si>
  <si>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</si>
  <si>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</si>
  <si>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</si>
  <si>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</si>
  <si>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</si>
  <si>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</si>
  <si>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</si>
  <si>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</si>
  <si>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</si>
  <si>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</si>
  <si>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</si>
  <si>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</si>
  <si>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</si>
  <si>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</si>
  <si>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</si>
  <si>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</si>
  <si>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</si>
  <si>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</si>
  <si>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</si>
  <si>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</si>
  <si>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</si>
  <si>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</si>
  <si>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</si>
  <si>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</si>
  <si>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</si>
  <si>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</si>
  <si>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</si>
  <si>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</si>
  <si>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</si>
  <si>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</si>
  <si>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</si>
  <si>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</si>
  <si>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</si>
  <si>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</si>
  <si>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</si>
  <si>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</si>
  <si>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</si>
  <si>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</si>
  <si>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</si>
  <si>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</si>
  <si>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</si>
  <si>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</si>
  <si>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</si>
  <si>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</si>
  <si>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</si>
  <si>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</si>
  <si>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</si>
  <si>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</si>
  <si>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</si>
  <si>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</si>
  <si>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</si>
  <si>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</si>
  <si>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</si>
  <si>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</si>
  <si>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</si>
  <si>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</si>
  <si>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</si>
  <si>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</si>
  <si>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</si>
  <si>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</si>
  <si>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</si>
  <si>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</si>
  <si>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</si>
  <si>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</si>
  <si>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</si>
  <si>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</si>
  <si>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</si>
  <si>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</si>
  <si>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</si>
  <si>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</si>
  <si>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</si>
  <si>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</si>
  <si>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</si>
  <si>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</si>
  <si>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</si>
  <si>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</si>
  <si>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</si>
  <si>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</si>
  <si>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</si>
  <si>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</si>
  <si>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</si>
  <si>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</si>
  <si>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</si>
  <si>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</si>
  <si>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</si>
  <si>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</si>
  <si>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</si>
  <si>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</si>
  <si>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</si>
  <si>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</si>
  <si>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</si>
  <si>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</si>
  <si>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</si>
  <si>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</si>
  <si>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</si>
  <si>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</si>
  <si>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</si>
  <si>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</si>
  <si>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</si>
  <si>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</si>
  <si>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</si>
  <si>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</si>
  <si>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</si>
  <si>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</si>
  <si>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</si>
  <si>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</si>
  <si>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</si>
  <si>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</si>
  <si>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</si>
  <si>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</si>
  <si>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</si>
  <si>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</si>
  <si>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</si>
  <si>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</si>
  <si>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</si>
  <si>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</si>
  <si>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</si>
  <si>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</si>
  <si>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</si>
  <si>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</si>
  <si>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</si>
  <si>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</si>
  <si>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</si>
  <si>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</si>
  <si>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</si>
  <si>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</si>
  <si>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</si>
  <si>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</si>
  <si>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</si>
  <si>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</si>
  <si>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</si>
  <si>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</si>
  <si>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</si>
  <si>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</si>
  <si>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</si>
  <si>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</si>
  <si>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</si>
  <si>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</si>
  <si>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</si>
  <si>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</si>
  <si>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</si>
  <si>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</si>
  <si>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</si>
  <si>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</si>
  <si>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</si>
  <si>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</si>
  <si>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</si>
  <si>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</si>
  <si>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</si>
  <si>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</si>
  <si>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</si>
  <si>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</si>
  <si>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</si>
  <si>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</si>
  <si>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</si>
  <si>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</si>
  <si>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</si>
  <si>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</si>
  <si>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</si>
  <si>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</si>
  <si>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</si>
  <si>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</si>
  <si>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</si>
  <si>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</si>
  <si>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</si>
  <si>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</si>
  <si>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</si>
  <si>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</si>
  <si>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</si>
  <si>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</si>
  <si>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</si>
  <si>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</si>
  <si>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</si>
  <si>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</si>
  <si>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</si>
  <si>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</si>
  <si>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</si>
  <si>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</si>
  <si>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</si>
  <si>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</si>
  <si>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</si>
  <si>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</si>
  <si>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</si>
  <si>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</si>
  <si>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</si>
  <si>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</si>
  <si>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</si>
  <si>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</si>
  <si>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</si>
  <si>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</si>
  <si>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</si>
  <si>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</si>
  <si>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</si>
  <si>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</si>
  <si>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</si>
  <si>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</si>
  <si>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</si>
  <si>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</si>
  <si>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</si>
  <si>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</si>
  <si>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</si>
  <si>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</si>
  <si>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</si>
  <si>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</si>
  <si>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</si>
  <si>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</si>
  <si>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</si>
  <si>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</si>
  <si>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</si>
  <si>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</si>
  <si>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</si>
  <si>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</si>
  <si>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</si>
  <si>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</si>
  <si>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</si>
  <si>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</si>
  <si>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</si>
  <si>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</si>
  <si>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</si>
  <si>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</si>
  <si>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</si>
  <si>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</si>
  <si>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</si>
  <si>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</si>
  <si>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</si>
  <si>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</si>
  <si>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</si>
  <si>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</si>
  <si>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</si>
  <si>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</si>
  <si>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</si>
  <si>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</si>
  <si>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</si>
  <si>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</si>
  <si>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</si>
  <si>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</si>
  <si>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</si>
  <si>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</si>
  <si>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</si>
  <si>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</si>
  <si>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</si>
  <si>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</si>
  <si>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</si>
  <si>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</si>
  <si>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</si>
  <si>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</si>
  <si>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</si>
  <si>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</si>
  <si>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</si>
  <si>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</si>
  <si>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</si>
  <si>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</si>
  <si>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</si>
  <si>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</si>
  <si>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</si>
  <si>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</si>
  <si>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</si>
  <si>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</si>
  <si>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</si>
  <si>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</si>
  <si>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</si>
  <si>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</si>
  <si>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</si>
  <si>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</si>
  <si>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</si>
  <si>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</si>
  <si>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</si>
  <si>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</si>
  <si>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</si>
  <si>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</si>
  <si>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</si>
  <si>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</si>
  <si>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</si>
  <si>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</si>
  <si>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</si>
  <si>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</si>
  <si>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</si>
  <si>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</si>
  <si>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</si>
  <si>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</si>
  <si>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</si>
  <si>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</si>
  <si>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</si>
  <si>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</si>
  <si>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</si>
  <si>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</si>
  <si>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</si>
  <si>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</si>
  <si>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</si>
  <si>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</si>
  <si>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</si>
  <si>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</si>
  <si>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</si>
  <si>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</si>
  <si>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</si>
  <si>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</si>
  <si>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</si>
  <si>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</si>
  <si>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</si>
  <si>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</si>
  <si>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</si>
  <si>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</si>
  <si>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</si>
  <si>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</si>
  <si>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</si>
  <si>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</si>
  <si>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</si>
  <si>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</si>
  <si>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</si>
  <si>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</si>
  <si>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</si>
  <si>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</si>
  <si>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</si>
  <si>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</si>
  <si>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</si>
  <si>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</si>
  <si>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</si>
  <si>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</si>
  <si>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</si>
  <si>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</si>
  <si>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</si>
  <si>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</si>
  <si>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</si>
  <si>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</si>
  <si>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</si>
  <si>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</si>
  <si>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</si>
  <si>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</si>
  <si>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</si>
  <si>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</si>
  <si>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</si>
  <si>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</si>
  <si>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</si>
  <si>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</si>
  <si>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</si>
  <si>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</si>
  <si>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</si>
  <si>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</si>
  <si>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</si>
  <si>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</si>
  <si>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</si>
  <si>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</si>
  <si>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</si>
  <si>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</si>
  <si>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</si>
  <si>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</si>
  <si>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</si>
  <si>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</si>
  <si>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</si>
  <si>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</si>
  <si>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</si>
  <si>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</si>
  <si>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</si>
  <si>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</si>
  <si>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</si>
  <si>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</si>
  <si>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</si>
  <si>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</si>
  <si>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</si>
  <si>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</si>
  <si>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</si>
  <si>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</si>
  <si>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</si>
  <si>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</si>
  <si>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</si>
  <si>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</si>
  <si>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</si>
  <si>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</si>
  <si>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</si>
  <si>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</si>
  <si>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</si>
  <si>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</si>
  <si>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</si>
  <si>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</si>
  <si>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</si>
  <si>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</si>
  <si>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</si>
  <si>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</si>
  <si>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</si>
  <si>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</si>
  <si>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</si>
  <si>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</si>
  <si>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</si>
  <si>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</si>
  <si>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</si>
  <si>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</si>
  <si>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</si>
  <si>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</si>
  <si>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</si>
  <si>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</si>
  <si>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</si>
  <si>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</si>
  <si>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</si>
  <si>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</si>
  <si>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</si>
  <si>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</si>
  <si>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</si>
  <si>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</si>
  <si>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</si>
  <si>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</si>
  <si>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</si>
  <si>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</si>
  <si>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</si>
  <si>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</si>
  <si>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</si>
  <si>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</si>
  <si>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</si>
  <si>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</si>
  <si>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</si>
  <si>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</si>
  <si>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</si>
  <si>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</si>
  <si>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</si>
  <si>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</si>
  <si>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</si>
  <si>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</si>
  <si>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</si>
  <si>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</si>
  <si>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</si>
  <si>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</si>
  <si>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</si>
  <si>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</si>
  <si>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</si>
  <si>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</si>
  <si>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</si>
  <si>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</si>
  <si>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</si>
  <si>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</si>
  <si>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</si>
  <si>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</si>
  <si>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</si>
  <si>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</si>
  <si>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</si>
  <si>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</si>
  <si>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</si>
  <si>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</si>
  <si>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</si>
  <si>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</si>
  <si>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</si>
  <si>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</si>
  <si>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</si>
  <si>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</si>
  <si>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</si>
  <si>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</si>
  <si>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</si>
  <si>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</si>
  <si>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</si>
  <si>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</si>
  <si>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</si>
  <si>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</si>
  <si>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</si>
  <si>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</si>
  <si>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</si>
  <si>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</si>
  <si>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</si>
  <si>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</si>
  <si>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</si>
  <si>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</si>
  <si>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</si>
  <si>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</si>
  <si>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</si>
  <si>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</si>
  <si>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</si>
  <si>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</si>
  <si>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</si>
  <si>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</si>
  <si>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</si>
  <si>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</si>
  <si>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</si>
  <si>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</si>
  <si>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</si>
  <si>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</si>
  <si>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</si>
  <si>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</si>
  <si>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</si>
  <si>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</si>
  <si>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</si>
  <si>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</si>
  <si>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</si>
  <si>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</si>
  <si>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</si>
  <si>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</si>
  <si>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</si>
  <si>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</si>
  <si>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</si>
  <si>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</si>
  <si>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</si>
  <si>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</si>
  <si>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</si>
  <si>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</si>
  <si>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</si>
  <si>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</si>
  <si>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</si>
  <si>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</si>
  <si>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</si>
  <si>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</si>
  <si>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</si>
  <si>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</si>
  <si>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</si>
  <si>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</si>
  <si>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</si>
  <si>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</si>
  <si>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</si>
  <si>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</si>
  <si>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</si>
  <si>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</si>
  <si>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</si>
  <si>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</si>
  <si>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</si>
  <si>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</si>
  <si>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</si>
  <si>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</si>
  <si>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</si>
  <si>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</si>
  <si>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</si>
  <si>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</si>
  <si>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</si>
  <si>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</si>
  <si>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</si>
  <si>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</si>
  <si>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</si>
  <si>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</si>
  <si>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</si>
  <si>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</si>
  <si>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</si>
  <si>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</si>
  <si>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</si>
  <si>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</si>
  <si>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</si>
  <si>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</si>
  <si>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</si>
  <si>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</si>
  <si>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</si>
  <si>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</si>
  <si>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</si>
  <si>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</si>
  <si>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</si>
  <si>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</si>
  <si>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</si>
  <si>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</si>
  <si>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</si>
  <si>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</si>
  <si>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</si>
  <si>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</si>
  <si>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</si>
  <si>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</si>
  <si>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</si>
  <si>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</si>
  <si>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</si>
  <si>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</si>
  <si>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</si>
  <si>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</si>
  <si>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</si>
  <si>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</si>
  <si>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</si>
  <si>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</si>
  <si>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</si>
  <si>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</si>
  <si>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</si>
  <si>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</si>
  <si>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</si>
  <si>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</si>
  <si>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</si>
  <si>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</si>
  <si>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</si>
  <si>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</si>
  <si>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</si>
  <si>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</si>
  <si>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</si>
  <si>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</si>
  <si>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</si>
  <si>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</si>
  <si>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</si>
  <si>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</si>
  <si>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</si>
  <si>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</si>
  <si>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</si>
  <si>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</si>
  <si>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</si>
  <si>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</si>
  <si>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</si>
  <si>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</si>
  <si>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</si>
  <si>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</si>
  <si>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</si>
  <si>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</si>
  <si>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</si>
  <si>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</si>
  <si>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</si>
  <si>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</si>
  <si>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</si>
  <si>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</si>
  <si>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</si>
  <si>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</si>
  <si>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</si>
  <si>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</si>
  <si>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</si>
  <si>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</si>
  <si>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</si>
  <si>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</si>
  <si>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</si>
  <si>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</si>
  <si>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</si>
  <si>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</si>
  <si>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</si>
  <si>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</si>
  <si>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</si>
  <si>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</si>
  <si>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</si>
  <si>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</si>
  <si>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</si>
  <si>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</si>
  <si>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</si>
  <si>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</si>
  <si>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</si>
  <si>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</si>
  <si>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</si>
  <si>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</si>
  <si>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</si>
  <si>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</si>
  <si>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</si>
  <si>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</si>
  <si>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</si>
  <si>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</si>
  <si>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</si>
  <si>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</si>
  <si>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</si>
  <si>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</si>
  <si>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</si>
  <si>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</si>
  <si>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</si>
  <si>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</si>
  <si>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</si>
  <si>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</si>
  <si>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</si>
  <si>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</si>
  <si>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</si>
  <si>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</si>
  <si>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</si>
  <si>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</si>
  <si>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</si>
  <si>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</si>
  <si>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</si>
  <si>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</si>
  <si>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</si>
  <si>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</si>
  <si>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</si>
  <si>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</si>
  <si>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</si>
  <si>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</si>
  <si>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</si>
  <si>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</si>
  <si>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</si>
  <si>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</si>
  <si>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</si>
  <si>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</si>
  <si>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</si>
  <si>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</si>
  <si>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</si>
  <si>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</si>
  <si>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</si>
  <si>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</si>
  <si>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</si>
  <si>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</si>
  <si>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</si>
  <si>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</si>
  <si>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</si>
  <si>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</si>
  <si>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</si>
  <si>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</si>
  <si>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</si>
  <si>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</si>
  <si>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</si>
  <si>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</si>
  <si>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</si>
  <si>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</si>
  <si>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</si>
  <si>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</si>
  <si>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</si>
  <si>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</si>
  <si>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</si>
  <si>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</si>
  <si>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</si>
  <si>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</si>
  <si>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</si>
  <si>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</si>
  <si>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</si>
  <si>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</si>
  <si>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</si>
  <si>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</si>
  <si>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</si>
  <si>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</si>
  <si>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</si>
  <si>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</si>
  <si>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</si>
  <si>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</si>
  <si>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</si>
  <si>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</si>
  <si>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</si>
  <si>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</si>
  <si>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</si>
  <si>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</si>
  <si>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</si>
  <si>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</si>
  <si>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</si>
  <si>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</si>
  <si>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</si>
  <si>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</si>
  <si>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</si>
  <si>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</si>
  <si>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</si>
  <si>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</si>
  <si>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</si>
  <si>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</si>
  <si>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</si>
  <si>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</si>
  <si>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</si>
  <si>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</si>
  <si>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</si>
  <si>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</si>
  <si>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</si>
  <si>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</si>
  <si>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</si>
  <si>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</si>
  <si>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</si>
  <si>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</si>
  <si>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</si>
  <si>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</si>
  <si>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</si>
  <si>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</si>
  <si>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</si>
  <si>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</si>
  <si>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</si>
  <si>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</si>
  <si>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</si>
  <si>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</si>
  <si>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</si>
  <si>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</si>
  <si>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</si>
  <si>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</si>
  <si>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</si>
  <si>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</si>
  <si>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</si>
  <si>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</si>
  <si>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</si>
  <si>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</si>
  <si>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</si>
  <si>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</si>
  <si>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</si>
  <si>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</si>
  <si>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</si>
  <si>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</si>
  <si>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</si>
  <si>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</si>
  <si>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</si>
  <si>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</si>
  <si>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</si>
  <si>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</si>
  <si>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</si>
  <si>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</si>
  <si>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</si>
  <si>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</si>
  <si>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</si>
  <si>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</si>
  <si>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</si>
  <si>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</si>
  <si>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</si>
  <si>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</si>
  <si>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</si>
  <si>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</si>
  <si>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</si>
  <si>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</si>
  <si>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</si>
  <si>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</si>
  <si>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</si>
  <si>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</si>
  <si>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</si>
  <si>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</si>
  <si>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</si>
  <si>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</si>
  <si>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</si>
  <si>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</si>
  <si>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</si>
  <si>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</si>
  <si>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</si>
  <si>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</si>
  <si>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</si>
  <si>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</si>
  <si>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</si>
  <si>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</si>
  <si>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</si>
  <si>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</si>
  <si>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</si>
  <si>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</si>
  <si>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</si>
  <si>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</si>
  <si>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</si>
  <si>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</si>
  <si>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</si>
  <si>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</si>
  <si>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</si>
  <si>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</si>
  <si>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</si>
  <si>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</si>
  <si>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</si>
  <si>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</si>
  <si>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</si>
  <si>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</si>
  <si>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</si>
  <si>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</si>
  <si>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</si>
  <si>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</si>
  <si>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</si>
  <si>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</si>
  <si>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</si>
  <si>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</si>
  <si>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</si>
  <si>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</si>
  <si>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</si>
  <si>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</si>
  <si>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</si>
  <si>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</si>
  <si>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</si>
  <si>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</si>
  <si>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</si>
  <si>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</si>
  <si>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</si>
  <si>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</si>
  <si>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</si>
  <si>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</si>
  <si>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</si>
  <si>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</si>
  <si>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</si>
  <si>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</si>
  <si>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</si>
  <si>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</si>
  <si>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</si>
  <si>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</si>
  <si>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</si>
  <si>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</si>
  <si>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</si>
  <si>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</si>
  <si>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</si>
  <si>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</si>
  <si>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</si>
  <si>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</si>
  <si>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</si>
  <si>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</si>
  <si>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</si>
  <si>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</si>
  <si>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</si>
  <si>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</si>
  <si>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</si>
  <si>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</si>
  <si>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</si>
  <si>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</si>
  <si>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</si>
  <si>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</si>
  <si>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</si>
  <si>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</si>
  <si>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</si>
  <si>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</si>
  <si>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</si>
  <si>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</si>
  <si>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Infineon BGB707L7ESD</t>
  </si>
  <si>
    <t>Elevation:</t>
  </si>
  <si>
    <t>Link Losses:</t>
  </si>
  <si>
    <t>Linear</t>
  </si>
  <si>
    <t>RG-58</t>
  </si>
  <si>
    <t>Receiver</t>
  </si>
  <si>
    <t>BEACON</t>
  </si>
  <si>
    <t>OreSat1</t>
  </si>
  <si>
    <t xml:space="preserve"> Version: 2.5.5a</t>
  </si>
  <si>
    <t>7-element Yagi</t>
  </si>
  <si>
    <t>Arrow II Satellite - http://www.arrowantennas.com/arrowii/146-437.html</t>
  </si>
  <si>
    <t>OreSat1_link_model_v2.5.5a_public</t>
  </si>
  <si>
    <t>FSK, h=0.625, R.C.</t>
  </si>
  <si>
    <t>Generic LNA</t>
  </si>
  <si>
    <t>2019 December 15</t>
  </si>
  <si>
    <r>
      <t xml:space="preserve">    T</t>
    </r>
    <r>
      <rPr>
        <sz val="8"/>
        <rFont val="Arial"/>
        <family val="2"/>
      </rPr>
      <t>s</t>
    </r>
    <r>
      <rPr>
        <sz val="10"/>
        <rFont val="Arial"/>
        <family val="2"/>
      </rPr>
      <t xml:space="preserve"> =</t>
    </r>
  </si>
  <si>
    <t>Amateur Packet Beacon - 436.5 MHz G3RUH FSK via AX.25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</si>
</sst>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6" t="s">
        <v>1071</v>
      </c>
      <c r="H1" s="1057"/>
      <c r="I1" s="1053" t="s">
        <v>957</v>
      </c>
      <c r="J1" s="1054"/>
      <c r="K1" s="1054"/>
      <c r="L1" s="1054"/>
      <c r="M1" s="1055"/>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1070</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1079</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1074</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1077</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1">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1">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8" zoomScale="120" zoomScaleNormal="120" workbookViewId="0">
      <selection activeCell="H53" sqref="H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980</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980</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981</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981</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FSK, h=0.625, R.C.</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10.7</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980</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980</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981</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1075</v>
      </c>
      <c r="D53" s="69" t="s">
        <v>847</v>
      </c>
      <c r="E53" s="78">
        <v>1E-4</v>
      </c>
      <c r="F53" s="77">
        <v>10.199999999999999</v>
      </c>
      <c r="G53" s="394"/>
      <c r="H53" s="233"/>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394"/>
      <c r="H55" s="233"/>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394"/>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7"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1.4</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66.206282532650022</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16.206282532650022</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5.3062825326500214</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1.4</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-138.91773413564079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14.445369942093237</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3.5453699420932363</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8" zoomScale="120" zoomScaleNormal="120" workbookViewId="0">
      <selection activeCell="B45" sqref="B45"/>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1.4</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-150.89793037132543</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0.93616653612079759</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7</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441.57560901404355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-20.950050765799311</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55.81585232675446</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9600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39.822712330395682</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15.993139996358778</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FSK, h=0.625, R.C.</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1E-4</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10.199999999999999</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10.7</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5.2931399963587786</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0.93616653612079759</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7</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441.57560901404355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-20.950050765799311</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-146.33409690744622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14400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-160.56632431324817</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14.23222740580195</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10.7</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3.5322274058019509</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tabSelected="1" zoomScaleNormal="100" workbookViewId="0">
      <selection activeCell="Q5" sqref="Q5"/>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1" t="str">
        <f>'Title Page'!F3 &amp; "  /  " &amp; 'Title Page'!F16</f>
        <v>OreSat1  /  Amateur Packet Beacon - 436.5 MHz G3RUH FSK via AX.25</v>
      </c>
      <c r="J1" s="976"/>
      <c r="K1" s="1049"/>
      <c r="L1" s="976"/>
      <c r="M1" s="1049"/>
      <c r="N1" s="1049"/>
      <c r="O1" s="1049"/>
      <c r="P1" s="1049"/>
      <c r="Q1" s="1050" t="str">
        <f>'Title Page'!F23</f>
        <v>2019 December 15</v>
      </c>
    </row>
    <row r="2" spans="1:17" ht="13">
      <c r="A2" s="978"/>
      <c r="B2" s="1073" t="s">
        <v>1018</v>
      </c>
      <c r="C2" s="1073"/>
      <c r="D2" s="979"/>
      <c r="E2" s="979"/>
      <c r="F2" s="979"/>
      <c r="G2" s="979" t="s">
        <v>715</v>
      </c>
      <c r="H2" s="980"/>
      <c r="I2" s="981"/>
      <c r="J2" s="1073" t="s">
        <v>1069</v>
      </c>
      <c r="K2" s="1073"/>
      <c r="L2" s="979"/>
      <c r="M2" s="979"/>
      <c r="N2" s="979"/>
      <c r="O2" s="979"/>
      <c r="P2" s="979"/>
      <c r="Q2" s="980"/>
    </row>
    <row r="3" spans="1:17" ht="15" customHeight="1">
      <c r="A3" s="982"/>
      <c r="B3" s="1074" t="s">
        <v>1019</v>
      </c>
      <c r="C3" s="1075"/>
      <c r="D3" s="983"/>
      <c r="E3" s="984" t="s">
        <v>753</v>
      </c>
      <c r="F3" s="985">
        <f>Frequency!M10</f>
        <v>436.5</v>
      </c>
      <c r="G3" s="983"/>
      <c r="H3" s="986"/>
      <c r="I3" s="982"/>
      <c r="J3" s="1074" t="s">
        <v>423</v>
      </c>
      <c r="K3" s="1076"/>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1029</v>
      </c>
      <c r="B5" s="988" t="s">
        <v>1030</v>
      </c>
      <c r="C5" s="989">
        <f>'Uplink Budget'!B30</f>
        <v>16.206282532650022</v>
      </c>
      <c r="D5" s="983"/>
      <c r="E5" s="990" t="s">
        <v>418</v>
      </c>
      <c r="F5" s="991">
        <f>'Uplink Budget'!B43</f>
        <v>5.3062825326500214</v>
      </c>
      <c r="G5" s="992" t="str">
        <f>IF(F5&lt;0,"NO LINK !",IF(F5&lt;6,"MARGINAL LINK",IF(F5&gt;6,"LINK CLOSES")))</f>
        <v>MARGINAL LINK</v>
      </c>
      <c r="H5" s="986"/>
      <c r="I5" s="982"/>
      <c r="J5" s="983"/>
      <c r="K5" s="988" t="s">
        <v>1020</v>
      </c>
      <c r="L5" s="993">
        <f>'Downlink Budget'!B28</f>
        <v>9600</v>
      </c>
      <c r="M5" s="983"/>
      <c r="N5" s="983"/>
      <c r="O5" s="983"/>
      <c r="P5" s="983"/>
      <c r="Q5" s="986"/>
    </row>
    <row r="6" spans="1:17" ht="13" thickBot="1">
      <c r="A6" s="982"/>
      <c r="B6" s="983"/>
      <c r="C6" s="983"/>
      <c r="D6" s="983"/>
      <c r="E6" s="983"/>
      <c r="F6" s="983"/>
      <c r="G6" s="994" t="s">
        <v>715</v>
      </c>
      <c r="H6" s="986"/>
      <c r="I6" s="982"/>
      <c r="J6" s="983"/>
      <c r="K6" s="983"/>
      <c r="L6" s="983"/>
      <c r="M6" s="983"/>
      <c r="N6" s="1064" t="s">
        <v>1021</v>
      </c>
      <c r="O6" s="1065"/>
      <c r="P6" s="983"/>
      <c r="Q6" s="986"/>
    </row>
    <row r="7" spans="1:17" ht="13.5" thickBot="1">
      <c r="A7" s="987" t="s">
        <v>421</v>
      </c>
      <c r="B7" s="988" t="s">
        <v>1022</v>
      </c>
      <c r="C7" s="989">
        <f>'Uplink Budget'!B61</f>
        <v>14.445369942093237</v>
      </c>
      <c r="D7" s="983"/>
      <c r="E7" s="990" t="s">
        <v>418</v>
      </c>
      <c r="F7" s="991">
        <f>'Uplink Budget'!B65</f>
        <v>3.5453699420932363</v>
      </c>
      <c r="G7" s="992" t="str">
        <f>IF(F7&lt;0,"NO LINK !",IF(F7&lt;6,"MARGINAL LINK",IF(F7&gt;6,"LINK CLOSES")))</f>
        <v>MARGINAL LINK</v>
      </c>
      <c r="H7" s="986"/>
      <c r="I7" s="982"/>
      <c r="J7" s="983"/>
      <c r="K7" s="995"/>
      <c r="L7" s="983"/>
      <c r="M7" s="983"/>
      <c r="N7" s="1068" t="str">
        <f>'Downlink Budget'!B32</f>
        <v>FSK, h=0.625, R.C.</v>
      </c>
      <c r="O7" s="1069"/>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4" t="s">
        <v>1023</v>
      </c>
      <c r="O9" s="1065"/>
      <c r="P9" s="983"/>
      <c r="Q9" s="986"/>
    </row>
    <row r="10" spans="1:17">
      <c r="A10" s="982"/>
      <c r="B10" s="983"/>
      <c r="C10" s="988" t="s">
        <v>1020</v>
      </c>
      <c r="D10" s="993">
        <f>'Uplink Budget'!B28</f>
        <v>100000</v>
      </c>
      <c r="E10" s="983"/>
      <c r="F10" s="983"/>
      <c r="G10" s="983"/>
      <c r="H10" s="986"/>
      <c r="I10" s="982"/>
      <c r="J10" s="983"/>
      <c r="K10" s="983"/>
      <c r="L10" s="983"/>
      <c r="M10" s="983"/>
      <c r="N10" s="1068" t="str">
        <f>'Downlink Budget'!B33</f>
        <v>None</v>
      </c>
      <c r="O10" s="1069"/>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4" t="s">
        <v>1024</v>
      </c>
      <c r="G13" s="1065"/>
      <c r="H13" s="986"/>
      <c r="I13" s="982"/>
      <c r="J13" s="983"/>
      <c r="K13" s="983"/>
      <c r="L13" s="983"/>
      <c r="M13" s="983"/>
      <c r="N13" s="999" t="s">
        <v>1031</v>
      </c>
      <c r="O13" s="1000">
        <v>0.51300000000000001</v>
      </c>
      <c r="P13" s="983"/>
      <c r="Q13" s="986"/>
    </row>
    <row r="14" spans="1:17">
      <c r="A14" s="982"/>
      <c r="B14" s="983"/>
      <c r="C14" s="983"/>
      <c r="D14" s="983"/>
      <c r="E14" s="983"/>
      <c r="F14" s="1068" t="str">
        <f>'Uplink Budget'!B33</f>
        <v>None</v>
      </c>
      <c r="G14" s="1069"/>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1055</v>
      </c>
      <c r="O15" s="1039">
        <f>O19/O13</f>
        <v>1.9493177387914229</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7" t="s">
        <v>1054</v>
      </c>
      <c r="O17" s="1039">
        <f>O15-O19</f>
        <v>0.94931773879142289</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4" t="s">
        <v>1025</v>
      </c>
      <c r="G19" s="1065"/>
      <c r="H19" s="986"/>
      <c r="I19" s="982"/>
      <c r="J19" s="983"/>
      <c r="K19" s="983"/>
      <c r="L19" s="983"/>
      <c r="M19" s="983"/>
      <c r="N19" s="1013" t="s">
        <v>1053</v>
      </c>
      <c r="O19" s="1038">
        <f>Transmitters!E60</f>
        <v>1</v>
      </c>
      <c r="P19" s="983"/>
      <c r="Q19" s="986"/>
    </row>
    <row r="20" spans="1:17">
      <c r="A20" s="982"/>
      <c r="B20" s="983"/>
      <c r="C20" s="983"/>
      <c r="D20" s="983"/>
      <c r="E20" s="983"/>
      <c r="F20" s="1068" t="str">
        <f>'Uplink Budget'!B32</f>
        <v>GMSK w/ BT=0.3</v>
      </c>
      <c r="G20" s="1069"/>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1032</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1033</v>
      </c>
      <c r="G25" s="1008">
        <f>'Uplink Budget'!B57</f>
        <v>150000</v>
      </c>
      <c r="H25" s="986"/>
      <c r="I25" s="982"/>
      <c r="J25" s="983"/>
      <c r="K25" s="983"/>
      <c r="L25" s="983"/>
      <c r="M25" s="983"/>
      <c r="N25" s="988" t="s">
        <v>1034</v>
      </c>
      <c r="O25" s="1009">
        <f>Transmitters!I78</f>
        <v>0.39600000000000002</v>
      </c>
      <c r="P25" s="983"/>
      <c r="Q25" s="986"/>
    </row>
    <row r="26" spans="1:17">
      <c r="A26" s="982"/>
      <c r="B26" s="983"/>
      <c r="C26" s="983"/>
      <c r="D26" s="983"/>
      <c r="E26" s="983"/>
      <c r="F26" s="1071" t="s">
        <v>420</v>
      </c>
      <c r="G26" s="1063"/>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1035</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1026</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1036</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1027</v>
      </c>
      <c r="O34" s="1014">
        <f>Transmitters!I87+30</f>
        <v>29.176439999999999</v>
      </c>
      <c r="P34" s="983"/>
      <c r="Q34" s="986"/>
    </row>
    <row r="35" spans="1:17">
      <c r="A35" s="982"/>
      <c r="B35" s="983"/>
      <c r="C35" s="983"/>
      <c r="D35" s="983"/>
      <c r="E35" s="983"/>
      <c r="F35" s="1011" t="s">
        <v>1078</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1037</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999</v>
      </c>
      <c r="G40" s="1020">
        <f>Receivers!J67</f>
        <v>1498.1255053982986</v>
      </c>
      <c r="H40" s="986"/>
      <c r="I40" s="982"/>
      <c r="J40" s="1072" t="str">
        <f>'Antenna Gain'!F41</f>
        <v>Canted Turnstyle (back)</v>
      </c>
      <c r="K40" s="1072"/>
      <c r="L40" s="983"/>
      <c r="M40" s="983"/>
      <c r="N40" s="1002" t="s">
        <v>1038</v>
      </c>
      <c r="O40" s="1021">
        <f>'Antenna Pointing Losses'!G85</f>
        <v>90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1039</v>
      </c>
      <c r="O42" s="1023">
        <f>'Downlink Budget'!B11+30</f>
        <v>30.576439999999998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2" t="s">
        <v>1065</v>
      </c>
      <c r="O44" s="1045" t="s">
        <v>1064</v>
      </c>
      <c r="P44" s="983"/>
      <c r="Q44" s="986"/>
    </row>
    <row r="45" spans="1:17" ht="13">
      <c r="A45" s="982"/>
      <c r="B45" s="983"/>
      <c r="C45" s="983"/>
      <c r="D45" s="983"/>
      <c r="E45" s="983"/>
      <c r="F45" s="1024" t="s">
        <v>1040</v>
      </c>
      <c r="G45" s="989">
        <f>Receivers!F65</f>
        <v>24</v>
      </c>
      <c r="H45" s="986"/>
      <c r="I45" s="982"/>
      <c r="J45" s="983"/>
      <c r="K45" s="983"/>
      <c r="L45" s="983"/>
      <c r="M45" s="983"/>
      <c r="N45" s="1044">
        <f>SUM('Downlink Budget'!B13:B18)+'Downlink Budget'!B22</f>
        <v>152.41053690744621</v>
      </c>
      <c r="O45" s="1048">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1041</v>
      </c>
      <c r="G47" s="1020">
        <f>Receivers!J63</f>
        <v>35</v>
      </c>
      <c r="H47" s="986"/>
      <c r="I47" s="982"/>
      <c r="J47" s="983"/>
      <c r="K47" s="983"/>
      <c r="L47" s="983"/>
      <c r="M47" s="983"/>
      <c r="N47" s="988" t="s">
        <v>1042</v>
      </c>
      <c r="O47" s="1025">
        <f>'Downlink Budget'!B19+30</f>
        <v>-120.89793037132543</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2" t="str">
        <f>'Antenna Gain'!F58</f>
        <v>7-element Yagi</v>
      </c>
      <c r="K49" s="1072"/>
      <c r="L49" s="983"/>
      <c r="M49" s="983"/>
      <c r="N49" s="988" t="s">
        <v>1043</v>
      </c>
      <c r="O49" s="1026">
        <f>'Downlink Budget'!B23</f>
        <v>7</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1044</v>
      </c>
      <c r="G51" s="1027">
        <f>Receivers!J55</f>
        <v>1.4135599999999999</v>
      </c>
      <c r="H51" s="986"/>
      <c r="I51" s="982"/>
      <c r="J51" s="983"/>
      <c r="K51" s="983"/>
      <c r="L51" s="983"/>
      <c r="M51" s="983"/>
      <c r="N51" s="1002" t="s">
        <v>1038</v>
      </c>
      <c r="O51" s="1021">
        <f>'Antenna Pointing Losses'!F102</f>
        <v>20</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1035</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1011" t="s">
        <v>1045</v>
      </c>
      <c r="O55" s="1015">
        <f>Receivers!J130</f>
        <v>400</v>
      </c>
      <c r="P55" s="983"/>
      <c r="Q55" s="986"/>
    </row>
    <row r="56" spans="1:17">
      <c r="A56" s="982"/>
      <c r="B56" s="983"/>
      <c r="C56" s="983"/>
      <c r="D56" s="983"/>
      <c r="E56" s="983"/>
      <c r="F56" s="988" t="s">
        <v>1034</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1032</v>
      </c>
      <c r="G58" s="1007">
        <f>SUM(Receivers!J47:J49)</f>
        <v>7.5599999999999999E-3</v>
      </c>
      <c r="H58" s="986"/>
      <c r="I58" s="982"/>
      <c r="J58" s="983"/>
      <c r="K58" s="983"/>
      <c r="L58" s="983"/>
      <c r="M58" s="983"/>
      <c r="N58" s="988" t="s">
        <v>1032</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1034</v>
      </c>
      <c r="O60" s="1009">
        <f>Receivers!J123</f>
        <v>0.2</v>
      </c>
      <c r="P60" s="983"/>
      <c r="Q60" s="986"/>
    </row>
    <row r="61" spans="1:17">
      <c r="A61" s="982"/>
      <c r="B61" s="983"/>
      <c r="C61" s="983"/>
      <c r="D61" s="983"/>
      <c r="E61" s="983"/>
      <c r="F61" s="1011" t="s">
        <v>1045</v>
      </c>
      <c r="G61" s="1015">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1035</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1043</v>
      </c>
      <c r="G65" s="1026">
        <f>'Uplink Budget'!B23</f>
        <v>1.4</v>
      </c>
      <c r="H65" s="986"/>
      <c r="I65" s="982"/>
      <c r="J65" s="983"/>
      <c r="K65" s="983"/>
      <c r="L65" s="983"/>
      <c r="M65" s="983"/>
      <c r="N65" s="988" t="s">
        <v>1044</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0" t="str">
        <f>'Antenna Gain'!F24</f>
        <v>Canted Turnstyle (back)</v>
      </c>
      <c r="C67" s="1070"/>
      <c r="D67" s="983"/>
      <c r="E67" s="983"/>
      <c r="F67" s="1002" t="s">
        <v>1038</v>
      </c>
      <c r="G67" s="1021">
        <f>'Antenna Pointing Losses'!G63</f>
        <v>90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1046</v>
      </c>
      <c r="G69" s="1025">
        <f>'Uplink Budget'!B19+30</f>
        <v>-107.5041741356408</v>
      </c>
      <c r="H69" s="986"/>
      <c r="I69" s="982"/>
      <c r="J69" s="983"/>
      <c r="K69" s="983"/>
      <c r="L69" s="983"/>
      <c r="M69" s="983"/>
      <c r="N69" s="1024" t="s">
        <v>1041</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2" t="s">
        <v>1065</v>
      </c>
      <c r="G71" s="1046" t="s">
        <v>1064</v>
      </c>
      <c r="H71" s="986"/>
      <c r="I71" s="982"/>
      <c r="J71" s="983"/>
      <c r="K71" s="983"/>
      <c r="L71" s="983"/>
      <c r="M71" s="983"/>
      <c r="N71" s="1024" t="s">
        <v>1040</v>
      </c>
      <c r="O71" s="989">
        <f>Receivers!F136</f>
        <v>18</v>
      </c>
      <c r="P71" s="983"/>
      <c r="Q71" s="986"/>
    </row>
    <row r="72" spans="1:17" ht="13">
      <c r="A72" s="982"/>
      <c r="B72" s="983"/>
      <c r="C72" s="983"/>
      <c r="D72" s="983"/>
      <c r="E72" s="983"/>
      <c r="F72" s="1043">
        <f>SUM('Uplink Budget'!B13:B18)+'Uplink Budget'!B22</f>
        <v>151.78834013564079</v>
      </c>
      <c r="G72" s="1047">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1047</v>
      </c>
      <c r="G74" s="1029">
        <f>'Uplink Budget'!B11+30</f>
        <v>42.884166</v>
      </c>
      <c r="H74" s="986"/>
      <c r="I74" s="982"/>
      <c r="J74" s="983"/>
      <c r="K74" s="983"/>
      <c r="L74" s="983"/>
      <c r="M74" s="983"/>
      <c r="N74" s="983"/>
      <c r="O74" s="983"/>
      <c r="P74" s="983"/>
      <c r="Q74" s="986"/>
    </row>
    <row r="75" spans="1:17">
      <c r="A75" s="982"/>
      <c r="B75" s="1062" t="str">
        <f>'Antenna Gain'!F11</f>
        <v>Crossed Yagi</v>
      </c>
      <c r="C75" s="1062"/>
      <c r="D75" s="983"/>
      <c r="E75" s="983"/>
      <c r="F75" s="983"/>
      <c r="G75" s="983"/>
      <c r="H75" s="986"/>
      <c r="I75" s="982"/>
      <c r="J75" s="983"/>
      <c r="K75" s="983"/>
      <c r="L75" s="983"/>
      <c r="M75" s="983"/>
      <c r="N75" s="983"/>
      <c r="O75" s="983"/>
      <c r="P75" s="983"/>
      <c r="Q75" s="986"/>
    </row>
    <row r="76" spans="1:17">
      <c r="A76" s="982"/>
      <c r="B76" s="983"/>
      <c r="C76" s="983"/>
      <c r="D76" s="983"/>
      <c r="E76" s="983"/>
      <c r="F76" s="988" t="s">
        <v>1048</v>
      </c>
      <c r="G76" s="1026">
        <f>'Uplink Budget'!B10</f>
        <v>15.5</v>
      </c>
      <c r="H76" s="986"/>
      <c r="I76" s="982"/>
      <c r="J76" s="983"/>
      <c r="K76" s="983"/>
      <c r="L76" s="983"/>
      <c r="M76" s="983"/>
      <c r="N76" s="988" t="s">
        <v>999</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1038</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1078</v>
      </c>
      <c r="O81" s="1015">
        <f>Receivers!J149</f>
        <v>441.57560901404355</v>
      </c>
      <c r="P81" s="983"/>
      <c r="Q81" s="986"/>
    </row>
    <row r="82" spans="1:17" ht="15.5">
      <c r="A82" s="982"/>
      <c r="B82" s="983"/>
      <c r="C82" s="983"/>
      <c r="D82" s="983"/>
      <c r="E82" s="983"/>
      <c r="F82" s="1013" t="s">
        <v>1027</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-20.950050765799311</v>
      </c>
      <c r="P83" s="983"/>
      <c r="Q83" s="986"/>
    </row>
    <row r="84" spans="1:17">
      <c r="A84" s="982"/>
      <c r="B84" s="983"/>
      <c r="C84" s="983"/>
      <c r="D84" s="983"/>
      <c r="E84" s="983"/>
      <c r="F84" s="988" t="s">
        <v>1036</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1026</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1049</v>
      </c>
      <c r="O88" s="1052">
        <f>'Downlink Budget'!B56</f>
        <v>14400</v>
      </c>
      <c r="P88" s="983"/>
      <c r="Q88" s="986"/>
    </row>
    <row r="89" spans="1:17">
      <c r="A89" s="982"/>
      <c r="B89" s="983"/>
      <c r="C89" s="983"/>
      <c r="D89" s="983"/>
      <c r="E89" s="983"/>
      <c r="F89" s="988" t="s">
        <v>1035</v>
      </c>
      <c r="G89" s="1009">
        <f>SUM(Transmitters!I37:I39)</f>
        <v>0.7</v>
      </c>
      <c r="H89" s="986"/>
      <c r="I89" s="982"/>
      <c r="J89" s="983"/>
      <c r="K89" s="983"/>
      <c r="L89" s="983"/>
      <c r="M89" s="983"/>
      <c r="N89" s="1063" t="s">
        <v>427</v>
      </c>
      <c r="O89" s="1063"/>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1034</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1032</v>
      </c>
      <c r="G93" s="1007">
        <f>Transmitters!I32</f>
        <v>0.97583399999999998</v>
      </c>
      <c r="H93" s="986"/>
      <c r="I93" s="982"/>
      <c r="J93" s="983"/>
      <c r="K93" s="983"/>
      <c r="L93" s="983"/>
      <c r="M93" s="983"/>
      <c r="N93" s="1031" t="s">
        <v>422</v>
      </c>
      <c r="O93" s="1003">
        <f>'Downlink Budget'!B35</f>
        <v>1E-4</v>
      </c>
      <c r="P93" s="983"/>
      <c r="Q93" s="986"/>
    </row>
    <row r="94" spans="1:17">
      <c r="A94" s="982"/>
      <c r="B94" s="983"/>
      <c r="C94" s="983"/>
      <c r="D94" s="983"/>
      <c r="E94" s="983"/>
      <c r="F94" s="983" t="s">
        <v>715</v>
      </c>
      <c r="G94" s="983"/>
      <c r="H94" s="986"/>
      <c r="I94" s="982"/>
      <c r="J94" s="983"/>
      <c r="K94" s="983"/>
      <c r="L94" s="983"/>
      <c r="M94" s="983"/>
      <c r="N94" s="1064" t="s">
        <v>1025</v>
      </c>
      <c r="O94" s="1065"/>
      <c r="P94" s="983"/>
      <c r="Q94" s="986"/>
    </row>
    <row r="95" spans="1:17">
      <c r="A95" s="982"/>
      <c r="B95" s="983"/>
      <c r="C95" s="983"/>
      <c r="D95" s="983"/>
      <c r="E95" s="983"/>
      <c r="F95" s="983" t="s">
        <v>715</v>
      </c>
      <c r="G95" s="983"/>
      <c r="H95" s="986"/>
      <c r="I95" s="982"/>
      <c r="J95" s="983"/>
      <c r="K95" s="983"/>
      <c r="L95" s="983"/>
      <c r="M95" s="983"/>
      <c r="N95" s="1068" t="str">
        <f>'Downlink Budget'!B32</f>
        <v>FSK, h=0.625, R.C.</v>
      </c>
      <c r="O95" s="1069"/>
      <c r="P95" s="983"/>
      <c r="Q95" s="986"/>
    </row>
    <row r="96" spans="1:17">
      <c r="A96" s="982"/>
      <c r="B96" s="983"/>
      <c r="C96" s="983"/>
      <c r="D96" s="983"/>
      <c r="E96" s="983"/>
      <c r="F96" s="983" t="s">
        <v>715</v>
      </c>
      <c r="G96" s="983"/>
      <c r="H96" s="986"/>
      <c r="I96" s="982"/>
      <c r="J96" s="983"/>
      <c r="K96" s="983"/>
      <c r="L96" s="983"/>
      <c r="M96" s="983"/>
      <c r="N96" s="1005" t="s">
        <v>334</v>
      </c>
      <c r="O96" s="1006">
        <f>'Downlink Budget'!B41</f>
        <v>10.7</v>
      </c>
      <c r="P96" s="983"/>
      <c r="Q96" s="986"/>
    </row>
    <row r="97" spans="1:17">
      <c r="A97" s="982"/>
      <c r="B97" s="983"/>
      <c r="C97" s="983"/>
      <c r="D97" s="983"/>
      <c r="E97" s="983"/>
      <c r="F97" s="1013" t="s">
        <v>1052</v>
      </c>
      <c r="G97" s="1036">
        <f>Transmitters!E16</f>
        <v>1</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64" t="s">
        <v>1024</v>
      </c>
      <c r="O100" s="1065"/>
      <c r="P100" s="983"/>
      <c r="Q100" s="986"/>
    </row>
    <row r="101" spans="1:17">
      <c r="A101" s="982"/>
      <c r="B101" s="983"/>
      <c r="C101" s="983"/>
      <c r="D101" s="983"/>
      <c r="E101" s="983"/>
      <c r="F101" s="983"/>
      <c r="G101" s="983"/>
      <c r="H101" s="986"/>
      <c r="I101" s="982"/>
      <c r="J101" s="983"/>
      <c r="K101" s="983"/>
      <c r="L101" s="983"/>
      <c r="M101" s="983"/>
      <c r="N101" s="1068" t="str">
        <f>'Downlink Budget'!B33</f>
        <v>None</v>
      </c>
      <c r="O101" s="1069"/>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4" t="s">
        <v>1021</v>
      </c>
      <c r="G103" s="1065"/>
      <c r="H103" s="986"/>
      <c r="I103" s="982"/>
      <c r="J103" s="983"/>
      <c r="K103" s="983"/>
      <c r="L103" s="983"/>
      <c r="M103" s="983"/>
      <c r="N103" s="983"/>
      <c r="O103" s="983"/>
      <c r="P103" s="983"/>
      <c r="Q103" s="986"/>
    </row>
    <row r="104" spans="1:17">
      <c r="A104" s="982"/>
      <c r="B104" s="983"/>
      <c r="C104" s="983"/>
      <c r="D104" s="983"/>
      <c r="E104" s="983"/>
      <c r="F104" s="1068" t="str">
        <f>'Uplink Budget'!B32</f>
        <v>GMSK w/ BT=0.3</v>
      </c>
      <c r="G104" s="1069"/>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1020</v>
      </c>
      <c r="L105" s="1030">
        <f>'Downlink Budget'!B28</f>
        <v>9600</v>
      </c>
      <c r="M105" s="983"/>
      <c r="N105" s="983"/>
      <c r="O105" s="983" t="s">
        <v>715</v>
      </c>
      <c r="P105" s="983" t="s">
        <v>715</v>
      </c>
      <c r="Q105" s="986"/>
    </row>
    <row r="106" spans="1:17" ht="13" thickBot="1">
      <c r="A106" s="982"/>
      <c r="B106" s="983"/>
      <c r="C106" s="983"/>
      <c r="D106" s="983"/>
      <c r="E106" s="983"/>
      <c r="F106" s="1064" t="s">
        <v>1023</v>
      </c>
      <c r="G106" s="1065"/>
      <c r="H106" s="986"/>
      <c r="I106" s="982"/>
      <c r="J106" s="983"/>
      <c r="K106" s="983"/>
      <c r="L106" s="983"/>
      <c r="M106" s="983"/>
      <c r="N106" s="983"/>
      <c r="O106" s="983"/>
      <c r="P106" s="983"/>
      <c r="Q106" s="986"/>
    </row>
    <row r="107" spans="1:17" ht="13.5" thickBot="1">
      <c r="A107" s="982"/>
      <c r="B107" s="983"/>
      <c r="C107" s="983"/>
      <c r="D107" s="983"/>
      <c r="E107" s="983"/>
      <c r="F107" s="1068" t="str">
        <f>'Uplink Budget'!B33</f>
        <v>None</v>
      </c>
      <c r="G107" s="1069"/>
      <c r="H107" s="986"/>
      <c r="I107" s="1066" t="s">
        <v>1050</v>
      </c>
      <c r="J107" s="1067"/>
      <c r="K107" s="988" t="s">
        <v>1051</v>
      </c>
      <c r="L107" s="989">
        <f>'Downlink Budget'!B30</f>
        <v>15.993139996358778</v>
      </c>
      <c r="M107" s="983"/>
      <c r="N107" s="1032" t="s">
        <v>418</v>
      </c>
      <c r="O107" s="991">
        <f>'Downlink Budget'!B43</f>
        <v>5.2931399963587786</v>
      </c>
      <c r="P107" s="992" t="str">
        <f>IF(O107&lt;0,"NO LINK !",IF(O107&lt;6,"MARGINAL LINK",IF(O107&gt;6,"LINK CLOSES")))</f>
        <v>MARGINAL LINK</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66" t="s">
        <v>421</v>
      </c>
      <c r="J109" s="1067"/>
      <c r="K109" s="988" t="s">
        <v>1022</v>
      </c>
      <c r="L109" s="989">
        <f>'Downlink Budget'!B60</f>
        <v>14.23222740580195</v>
      </c>
      <c r="M109" s="983"/>
      <c r="N109" s="1032" t="s">
        <v>429</v>
      </c>
      <c r="O109" s="991">
        <f>'Downlink Budget'!B64</f>
        <v>3.5322274058019509</v>
      </c>
      <c r="P109" s="992" t="str">
        <f>IF(O109&lt;0,"NO LINK !",IF(O109&lt;6,"MARGINAL LINK",IF(O109&gt;6,"LINK CLOSES")))</f>
        <v>MARGINAL LINK</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244"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December 15</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1.4</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1.4</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15.993139996358778</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16.206282532650022</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34" zoomScale="120" zoomScaleNormal="120" workbookViewId="0">
      <selection activeCell="K62" sqref="K62"/>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978</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982</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984</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983</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985</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979</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977</v>
      </c>
      <c r="G39" s="366"/>
      <c r="H39" s="331"/>
      <c r="I39" s="342">
        <v>0.5</v>
      </c>
      <c r="J39" s="331" t="s">
        <v>757</v>
      </c>
      <c r="K39" s="913" t="s">
        <v>976</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1056</v>
      </c>
      <c r="L41" s="3"/>
      <c r="M41" s="3"/>
      <c r="N41" s="3"/>
      <c r="O41" s="3"/>
      <c r="P41" s="3"/>
    </row>
    <row r="42" spans="1:16">
      <c r="A42" s="3"/>
      <c r="B42" s="3"/>
      <c r="C42" s="330"/>
      <c r="D42" s="331"/>
      <c r="E42" s="331"/>
      <c r="F42" s="331"/>
      <c r="G42" s="331"/>
      <c r="H42" s="331"/>
      <c r="I42" s="332"/>
      <c r="J42" s="331"/>
      <c r="K42" s="924" t="s">
        <v>1059</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8" t="s">
        <v>986</v>
      </c>
      <c r="D52" s="1059"/>
      <c r="E52" s="1059"/>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978</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987</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1057</v>
      </c>
      <c r="G78" s="141"/>
      <c r="H78" s="141"/>
      <c r="I78" s="903">
        <f>E78*0.066</f>
        <v>0.39600000000000002</v>
      </c>
      <c r="J78" s="141" t="s">
        <v>757</v>
      </c>
      <c r="K78" s="1040" t="s">
        <v>1058</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0" t="s">
        <v>1062</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2" zoomScale="120" zoomScaleNormal="120" workbookViewId="0">
      <selection activeCell="M136" sqref="M136"/>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0" t="s">
        <v>986</v>
      </c>
      <c r="D8" s="1061"/>
      <c r="E8" s="1061"/>
      <c r="F8" s="1061"/>
      <c r="G8" s="1061"/>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988</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989</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990</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991</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992</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993</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994</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995</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996</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997</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998</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987</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1000</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1001</v>
      </c>
      <c r="R49" s="297"/>
      <c r="S49" s="297"/>
      <c r="T49" s="684" t="s">
        <v>1002</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973</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974</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1003</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1060</v>
      </c>
      <c r="J53" s="911">
        <f>H53*0.066</f>
        <v>0.39600000000000002</v>
      </c>
      <c r="K53" s="331" t="s">
        <v>757</v>
      </c>
      <c r="L53" s="331"/>
      <c r="M53" s="924" t="s">
        <v>1058</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1004</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971</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975</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972</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1063</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999</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988</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991</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994</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1006</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996</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997</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998</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1067</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0.3</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1007</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1008</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1009</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1010</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1011</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1012</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1013</v>
      </c>
      <c r="J130" s="965">
        <v>400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1002</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1014</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1015</v>
      </c>
      <c r="J136" s="302">
        <f>10^(F136/10)</f>
        <v>63.095734448019364</v>
      </c>
      <c r="K136" s="141"/>
      <c r="L136" s="141"/>
      <c r="M136" s="914" t="s">
        <v>1076</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971</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1068</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1016</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999</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1017</v>
      </c>
      <c r="J149" s="374">
        <f>J130*J128+J132*(1-J128)+J134+(J146/(J136/(10^(J144/10))))</f>
        <v>441.57560901404355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M2" sqref="M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1061</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1061</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7-element Yagi</v>
      </c>
      <c r="G58" s="185"/>
      <c r="H58" s="141"/>
      <c r="I58" s="141"/>
      <c r="J58" s="141" t="s">
        <v>60</v>
      </c>
      <c r="K58" s="381" t="s">
        <v>1066</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0.5</v>
      </c>
      <c r="F60" s="171"/>
      <c r="G60" s="172" t="s">
        <v>75</v>
      </c>
      <c r="H60" s="174">
        <v>7</v>
      </c>
      <c r="I60" s="171" t="s">
        <v>74</v>
      </c>
      <c r="J60" s="175" t="s">
        <v>86</v>
      </c>
      <c r="K60" s="171"/>
      <c r="L60" s="171"/>
      <c r="M60" s="152" t="s">
        <v>76</v>
      </c>
      <c r="N60" s="153">
        <f>IF(E60&lt;$B$72,"too short!",INDEX($F$72:$F$110,MATCH(E60,$B$72:$B$110,1),1))</f>
        <v>9.65</v>
      </c>
      <c r="O60" s="151" t="s">
        <v>784</v>
      </c>
      <c r="P60" s="151" t="s">
        <v>61</v>
      </c>
      <c r="Q60" s="154">
        <f>SQRT(40000/(10^(N60/10)))</f>
        <v>65.846090666681278</v>
      </c>
      <c r="R60" s="151" t="s">
        <v>4</v>
      </c>
      <c r="S60" s="151" t="s">
        <v>89</v>
      </c>
      <c r="T60" s="151"/>
      <c r="U60" s="155">
        <f>K55*E60</f>
        <v>0.3434135166093929</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1072</v>
      </c>
      <c r="C63" s="146"/>
      <c r="D63" s="146"/>
      <c r="E63" s="890" t="s">
        <v>1073</v>
      </c>
      <c r="F63" s="890"/>
      <c r="G63" s="624"/>
      <c r="H63" s="899"/>
      <c r="I63" s="899"/>
      <c r="J63" s="899"/>
      <c r="K63" s="147"/>
      <c r="L63" s="146"/>
      <c r="M63" s="146" t="s">
        <v>59</v>
      </c>
      <c r="N63" s="148">
        <v>7</v>
      </c>
      <c r="O63" s="146" t="s">
        <v>784</v>
      </c>
      <c r="P63" s="146" t="s">
        <v>61</v>
      </c>
      <c r="Q63" s="149">
        <v>70</v>
      </c>
      <c r="R63" s="146" t="s">
        <v>4</v>
      </c>
      <c r="S63" s="681" t="s">
        <v>466</v>
      </c>
      <c r="T63" s="146"/>
      <c r="U63" s="682">
        <v>0.78500000000000003</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topLeftCell="A43" zoomScale="120" zoomScaleNormal="120" workbookViewId="0">
      <selection activeCell="G63" sqref="G6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0</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162.12841279011377</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6.0750000000000002</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4.5151554089823396</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18.013611843476788</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45.53643717986651</v>
      </c>
      <c r="S59" s="667" t="s">
        <v>757</v>
      </c>
      <c r="T59" s="3"/>
      <c r="U59" s="670">
        <f>2*(G63*(79.76/K59))</f>
        <v>1611.4482514285717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1.4</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0</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162.12841279011377</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6.0750000000000002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4.5151554089823396</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18.013611843476788</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21.900230408137247</v>
      </c>
      <c r="S81" s="667" t="s">
        <v>757</v>
      </c>
      <c r="T81" s="3"/>
      <c r="U81" s="670">
        <f>2*(G85*(79.76/K81))</f>
        <v>596.83268571428573</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1.4</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90</v>
      </c>
      <c r="H85" s="287" t="s">
        <v>4</v>
      </c>
      <c r="I85" s="310" t="s">
        <v>139</v>
      </c>
      <c r="J85" s="310"/>
      <c r="K85" s="285">
        <f>INDEX(R76:R82,E74, 1)</f>
        <v>1.4</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7-element 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9.65</v>
      </c>
      <c r="H97" s="151" t="s">
        <v>784</v>
      </c>
      <c r="I97" s="265" t="s">
        <v>61</v>
      </c>
      <c r="J97" s="273">
        <f>'Antenna Gain'!Q60</f>
        <v>65.846090666681278</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70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20</v>
      </c>
      <c r="G102" s="287" t="s">
        <v>135</v>
      </c>
      <c r="H102" s="296" t="s">
        <v>133</v>
      </c>
      <c r="I102" s="297"/>
      <c r="J102" s="297"/>
      <c r="K102" s="285">
        <f>-10*LOG10(3282.81*((SIN(RADIANS(R97))^2/(R97^2))))</f>
        <v>0.93616653612079759</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2019-09-17T00:24:28Z</cp:lastPrinted>
  <dcterms:created xsi:type="dcterms:W3CDTF">2003-03-25T04:05:57Z</dcterms:created>
  <dcterms:modified xsi:type="dcterms:W3CDTF">2019-12-16T08:51:06Z</dcterms:modified>
</cp:coreProperties>
</file>