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1ECDA51A-104F-4047-A950-CD4156B223AA}" xr6:coauthVersionLast="44" xr6:coauthVersionMax="44" xr10:uidLastSave="{00000000-0000-0000-0000-000000000000}"/>
  <bookViews>
    <workbookView xWindow="-110" yWindow="-110" windowWidth="32220" windowHeight="1762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 i="23" l="1"/>
  <c r="J1" i="23"/>
  <c r="O45" i="23" l="1"/>
  <c r="G72" i="23"/>
  <c r="J53" i="15" l="1"/>
  <c r="I78" i="14"/>
  <c r="G54" i="23" l="1"/>
  <c r="D109" i="23"/>
  <c r="F107" i="23"/>
  <c r="L105" i="23"/>
  <c r="F104" i="23"/>
  <c r="N101" i="23"/>
  <c r="G97" i="23"/>
  <c r="O96" i="23"/>
  <c r="N95" i="23"/>
  <c r="O93" i="23"/>
  <c r="G93" i="23"/>
  <c r="G91" i="23"/>
  <c r="G89" i="23"/>
  <c r="O88" i="23"/>
  <c r="G87" i="23"/>
  <c r="G78" i="23"/>
  <c r="G77" i="23"/>
  <c r="G76" i="23"/>
  <c r="B75" i="23"/>
  <c r="O71" i="23"/>
  <c r="O69" i="23"/>
  <c r="G67" i="23"/>
  <c r="G66" i="23"/>
  <c r="O65" i="23"/>
  <c r="O62" i="23"/>
  <c r="G61" i="23"/>
  <c r="O60" i="23"/>
  <c r="O58" i="23"/>
  <c r="G58" i="23"/>
  <c r="O55" i="23"/>
  <c r="O51" i="23"/>
  <c r="O50" i="23"/>
  <c r="O49" i="23"/>
  <c r="J49" i="23"/>
  <c r="G47" i="23"/>
  <c r="G45" i="23"/>
  <c r="O40" i="23"/>
  <c r="G40" i="23"/>
  <c r="O39" i="23"/>
  <c r="O29" i="23"/>
  <c r="O27" i="23"/>
  <c r="G25" i="23"/>
  <c r="O23" i="23"/>
  <c r="G21" i="23"/>
  <c r="F20" i="23"/>
  <c r="O19" i="23"/>
  <c r="O15" i="23" s="1"/>
  <c r="O17" i="23" s="1"/>
  <c r="G18" i="23"/>
  <c r="F14" i="23"/>
  <c r="N10" i="23"/>
  <c r="D10" i="23"/>
  <c r="N7" i="23"/>
  <c r="L5" i="23"/>
  <c r="N3" i="23"/>
  <c r="F3" i="23"/>
  <c r="U52" i="15"/>
  <c r="U49" i="15"/>
  <c r="U55" i="15"/>
  <c r="J116" i="15" l="1"/>
  <c r="J115" i="15"/>
  <c r="J114" i="15"/>
  <c r="G72" i="14"/>
  <c r="G71" i="14"/>
  <c r="G70" i="14"/>
  <c r="B62" i="3"/>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T122" i="15"/>
  <c r="T120" i="15"/>
  <c r="T133" i="15" s="1"/>
  <c r="J120" i="15"/>
  <c r="J119" i="15"/>
  <c r="J118" i="15"/>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J128" i="15" s="1"/>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AA143" i="15" l="1"/>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B49" i="3"/>
  <c r="E95" i="12"/>
  <c r="J100" i="12"/>
  <c r="R97" i="12"/>
  <c r="K102" i="12" s="1"/>
  <c r="D216" i="13"/>
  <c r="C177" i="13"/>
  <c r="D177" i="13" s="1"/>
  <c r="C178" i="13"/>
  <c r="D176" i="13"/>
  <c r="R79" i="12"/>
  <c r="P80" i="12"/>
  <c r="V20" i="18"/>
  <c r="V18" i="18"/>
  <c r="O23" i="18" s="1"/>
  <c r="B23" i="3"/>
  <c r="B29" i="3"/>
  <c r="H33" i="6"/>
  <c r="B41" i="3" s="1"/>
  <c r="B6" i="5"/>
  <c r="B7" i="5" s="1"/>
  <c r="B8" i="5" s="1"/>
  <c r="B10" i="5"/>
  <c r="E36" i="12"/>
  <c r="N13" i="9"/>
  <c r="F37" i="7"/>
  <c r="F39" i="7"/>
  <c r="F40" i="7" s="1"/>
  <c r="B14" i="5" s="1"/>
  <c r="R55" i="12"/>
  <c r="K52" i="12"/>
  <c r="K36" i="12"/>
  <c r="B29" i="5"/>
  <c r="H5" i="6"/>
  <c r="B41" i="5"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B33" i="5"/>
  <c r="B32" i="5"/>
  <c r="B35" i="5"/>
  <c r="B39" i="5"/>
  <c r="B37" i="5"/>
  <c r="F31" i="6"/>
  <c r="B39" i="3"/>
  <c r="B37" i="3"/>
  <c r="E29" i="8"/>
  <c r="R76" i="12"/>
  <c r="R80" i="12"/>
  <c r="R77" i="12"/>
  <c r="R58" i="12"/>
  <c r="R57" i="12"/>
  <c r="Q14" i="9"/>
  <c r="J39" i="12" s="1"/>
  <c r="Q61" i="9"/>
  <c r="J98" i="12" s="1"/>
  <c r="Q60" i="9"/>
  <c r="J97"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60" i="9"/>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52" i="12" l="1"/>
  <c r="N45" i="23"/>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22" i="3"/>
  <c r="B48" i="3"/>
  <c r="B8" i="3"/>
  <c r="K71" i="1"/>
  <c r="B22" i="5"/>
  <c r="F36" i="12"/>
  <c r="B16" i="3"/>
  <c r="J55" i="15"/>
  <c r="G51" i="23" s="1"/>
  <c r="G82" i="23" l="1"/>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<sst xmlns="http://schemas.openxmlformats.org/spreadsheetml/2006/main" count="2773" uniqueCount="1079">
  <si>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</si>
  <si>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</si>
  <si>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</si>
  <si>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</si>
  <si>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</si>
  <si>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</si>
  <si>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</si>
  <si>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</si>
  <si>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</si>
  <si>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</si>
  <si>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</si>
  <si>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</si>
  <si>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</si>
  <si>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</si>
  <si>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</si>
  <si>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</si>
  <si>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</si>
  <si>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</si>
  <si>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</si>
  <si>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</si>
  <si>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</si>
  <si>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</si>
  <si>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</si>
  <si>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</si>
  <si>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</si>
  <si>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</si>
  <si>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</si>
  <si>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</si>
  <si>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</si>
  <si>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</si>
  <si>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</si>
  <si>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</si>
  <si>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</si>
  <si>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</si>
  <si>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</si>
  <si>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</si>
  <si>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</si>
  <si>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</si>
  <si>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</si>
  <si>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</si>
  <si>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</si>
  <si>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</si>
  <si>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</si>
  <si>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</si>
  <si>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</si>
  <si>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</si>
  <si>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</si>
  <si>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</si>
  <si>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</si>
  <si>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</si>
  <si>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</si>
  <si>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</si>
  <si>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</si>
  <si>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</si>
  <si>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</si>
  <si>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</si>
  <si>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</si>
  <si>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</si>
  <si>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</si>
  <si>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</si>
  <si>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</si>
  <si>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</si>
  <si>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</si>
  <si>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</si>
  <si>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</si>
  <si>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</si>
  <si>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</si>
  <si>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</si>
  <si>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</si>
  <si>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</si>
  <si>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</si>
  <si>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</si>
  <si>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</si>
  <si>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</si>
  <si>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</si>
  <si>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</si>
  <si>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</si>
  <si>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</si>
  <si>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</si>
  <si>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</si>
  <si>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</si>
  <si>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</si>
  <si>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</si>
  <si>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</si>
  <si>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</si>
  <si>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</si>
  <si>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</si>
  <si>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</si>
  <si>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</si>
  <si>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</si>
  <si>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</si>
  <si>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</si>
  <si>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</si>
  <si>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</si>
  <si>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</si>
  <si>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</si>
  <si>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</si>
  <si>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</si>
  <si>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</si>
  <si>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</si>
  <si>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</si>
  <si>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</si>
  <si>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</si>
  <si>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</si>
  <si>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</si>
  <si>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</si>
  <si>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</si>
  <si>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</si>
  <si>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</si>
  <si>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</si>
  <si>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</si>
  <si>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</si>
  <si>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</si>
  <si>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</si>
  <si>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</si>
  <si>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</si>
  <si>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</si>
  <si>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</si>
  <si>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</si>
  <si>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</si>
  <si>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</si>
  <si>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</si>
  <si>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</si>
  <si>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</si>
  <si>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</si>
  <si>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</si>
  <si>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</si>
  <si>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</si>
  <si>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</si>
  <si>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</si>
  <si>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</si>
  <si>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</si>
  <si>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</si>
  <si>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</si>
  <si>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</si>
  <si>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</si>
  <si>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</si>
  <si>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</si>
  <si>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</si>
  <si>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</si>
  <si>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</si>
  <si>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</si>
  <si>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</si>
  <si>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</si>
  <si>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</si>
  <si>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</si>
  <si>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</si>
  <si>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</si>
  <si>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</si>
  <si>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</si>
  <si>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</si>
  <si>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</si>
  <si>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</si>
  <si>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</si>
  <si>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</si>
  <si>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</si>
  <si>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</si>
  <si>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</si>
  <si>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</si>
  <si>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</si>
  <si>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</si>
  <si>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</si>
  <si>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</si>
  <si>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</si>
  <si>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</si>
  <si>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</si>
  <si>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</si>
  <si>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</si>
  <si>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</si>
  <si>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</si>
  <si>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</si>
  <si>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</si>
  <si>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</si>
  <si>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</si>
  <si>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</si>
  <si>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</si>
  <si>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</si>
  <si>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</si>
  <si>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</si>
  <si>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</si>
  <si>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</si>
  <si>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</si>
  <si>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</si>
  <si>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</si>
  <si>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</si>
  <si>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</si>
  <si>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</si>
  <si>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</si>
  <si>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</si>
  <si>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</si>
  <si>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</si>
  <si>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</si>
  <si>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</si>
  <si>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</si>
  <si>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</si>
  <si>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</si>
  <si>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</si>
  <si>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</si>
  <si>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</si>
  <si>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</si>
  <si>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</si>
  <si>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</si>
  <si>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</si>
  <si>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</si>
  <si>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</si>
  <si>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</si>
  <si>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</si>
  <si>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</si>
  <si>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</si>
  <si>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</si>
  <si>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</si>
  <si>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</si>
  <si>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</si>
  <si>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</si>
  <si>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</si>
  <si>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</si>
  <si>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</si>
  <si>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</si>
  <si>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</si>
  <si>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</si>
  <si>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</si>
  <si>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</si>
  <si>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</si>
  <si>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</si>
  <si>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</si>
  <si>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</si>
  <si>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</si>
  <si>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</si>
  <si>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</si>
  <si>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</si>
  <si>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</si>
  <si>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</si>
  <si>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</si>
  <si>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</si>
  <si>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</si>
  <si>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</si>
  <si>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</si>
  <si>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</si>
  <si>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</si>
  <si>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</si>
  <si>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</si>
  <si>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</si>
  <si>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</si>
  <si>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</si>
  <si>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</si>
  <si>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</si>
  <si>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</si>
  <si>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</si>
  <si>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</si>
  <si>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</si>
  <si>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</si>
  <si>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</si>
  <si>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</si>
  <si>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</si>
  <si>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</si>
  <si>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</si>
  <si>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</si>
  <si>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</si>
  <si>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</si>
  <si>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</si>
  <si>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</si>
  <si>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</si>
  <si>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</si>
  <si>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</si>
  <si>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</si>
  <si>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</si>
  <si>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</si>
  <si>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</si>
  <si>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</si>
  <si>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</si>
  <si>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</si>
  <si>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</si>
  <si>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</si>
  <si>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</si>
  <si>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</si>
  <si>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</si>
  <si>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</si>
  <si>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</si>
  <si>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</si>
  <si>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</si>
  <si>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</si>
  <si>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</si>
  <si>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</si>
  <si>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</si>
  <si>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</si>
  <si>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</si>
  <si>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</si>
  <si>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</si>
  <si>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</si>
  <si>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</si>
  <si>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</si>
  <si>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</si>
  <si>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</si>
  <si>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</si>
  <si>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</si>
  <si>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</si>
  <si>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</si>
  <si>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</si>
  <si>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</si>
  <si>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</si>
  <si>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</si>
  <si>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</si>
  <si>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</si>
  <si>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</si>
  <si>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</si>
  <si>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</si>
  <si>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</si>
  <si>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</si>
  <si>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</si>
  <si>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</si>
  <si>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</si>
  <si>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</si>
  <si>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</si>
  <si>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</si>
  <si>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</si>
  <si>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</si>
  <si>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</si>
  <si>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</si>
  <si>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</si>
  <si>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</si>
  <si>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</si>
  <si>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</si>
  <si>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</si>
  <si>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</si>
  <si>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</si>
  <si>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</si>
  <si>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</si>
  <si>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</si>
  <si>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</si>
  <si>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</si>
  <si>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</si>
  <si>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</si>
  <si>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</si>
  <si>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</si>
  <si>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</si>
  <si>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</si>
  <si>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</si>
  <si>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</si>
  <si>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</si>
  <si>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</si>
  <si>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</si>
  <si>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</si>
  <si>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</si>
  <si>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</si>
  <si>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</si>
  <si>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</si>
  <si>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</si>
  <si>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</si>
  <si>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</si>
  <si>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</si>
  <si>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</si>
  <si>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</si>
  <si>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</si>
  <si>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</si>
  <si>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</si>
  <si>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</si>
  <si>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</si>
  <si>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</si>
  <si>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</si>
  <si>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</si>
  <si>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</si>
  <si>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</si>
  <si>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</si>
  <si>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</si>
  <si>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</si>
  <si>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</si>
  <si>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</si>
  <si>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</si>
  <si>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</si>
  <si>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</si>
  <si>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</si>
  <si>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</si>
  <si>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</si>
  <si>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</si>
  <si>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</si>
  <si>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</si>
  <si>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</si>
  <si>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</si>
  <si>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</si>
  <si>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</si>
  <si>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</si>
  <si>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</si>
  <si>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</si>
  <si>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</si>
  <si>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</si>
  <si>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</si>
  <si>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</si>
  <si>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</si>
  <si>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</si>
  <si>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</si>
  <si>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</si>
  <si>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</si>
  <si>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</si>
  <si>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</si>
  <si>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</si>
  <si>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</si>
  <si>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</si>
  <si>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</si>
  <si>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</si>
  <si>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</si>
  <si>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</si>
  <si>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</si>
  <si>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</si>
  <si>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</si>
  <si>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</si>
  <si>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</si>
  <si>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</si>
  <si>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</si>
  <si>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</si>
  <si>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</si>
  <si>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</si>
  <si>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</si>
  <si>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</si>
  <si>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</si>
  <si>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</si>
  <si>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</si>
  <si>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</si>
  <si>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</si>
  <si>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</si>
  <si>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</si>
  <si>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</si>
  <si>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</si>
  <si>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</si>
  <si>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</si>
  <si>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</si>
  <si>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</si>
  <si>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</si>
  <si>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</si>
  <si>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</si>
  <si>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</si>
  <si>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</si>
  <si>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</si>
  <si>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</si>
  <si>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</si>
  <si>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</si>
  <si>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</si>
  <si>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</si>
  <si>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</si>
  <si>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</si>
  <si>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</si>
  <si>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</si>
  <si>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</si>
  <si>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</si>
  <si>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</si>
  <si>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</si>
  <si>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</si>
  <si>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</si>
  <si>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</si>
  <si>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</si>
  <si>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</si>
  <si>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</si>
  <si>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</si>
  <si>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</si>
  <si>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</si>
  <si>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</si>
  <si>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</si>
  <si>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</si>
  <si>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</si>
  <si>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</si>
  <si>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</si>
  <si>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</si>
  <si>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</si>
  <si>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</si>
  <si>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</si>
  <si>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</si>
  <si>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</si>
  <si>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</si>
  <si>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</si>
  <si>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</si>
  <si>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</si>
  <si>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</si>
  <si>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</si>
  <si>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</si>
  <si>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</si>
  <si>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</si>
  <si>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</si>
  <si>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</si>
  <si>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</si>
  <si>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</si>
  <si>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</si>
  <si>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</si>
  <si>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</si>
  <si>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</si>
  <si>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</si>
  <si>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</si>
  <si>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</si>
  <si>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</si>
  <si>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</si>
  <si>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</si>
  <si>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</si>
  <si>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</si>
  <si>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</si>
  <si>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</si>
  <si>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</si>
  <si>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</si>
  <si>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</si>
  <si>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</si>
  <si>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</si>
  <si>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</si>
  <si>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</si>
  <si>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</si>
  <si>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</si>
  <si>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</si>
  <si>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</si>
  <si>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</si>
  <si>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</si>
  <si>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</si>
  <si>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</si>
  <si>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</si>
  <si>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</si>
  <si>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</si>
  <si>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</si>
  <si>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</si>
  <si>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</si>
  <si>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</si>
  <si>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</si>
  <si>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</si>
  <si>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</si>
  <si>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</si>
  <si>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</si>
  <si>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</si>
  <si>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</si>
  <si>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</si>
  <si>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</si>
  <si>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</si>
  <si>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</si>
  <si>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</si>
  <si>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</si>
  <si>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</si>
  <si>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</si>
  <si>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</si>
  <si>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</si>
  <si>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</si>
  <si>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</si>
  <si>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</si>
  <si>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</si>
  <si>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</si>
  <si>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</si>
  <si>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</si>
  <si>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</si>
  <si>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</si>
  <si>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</si>
  <si>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</si>
  <si>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</si>
  <si>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</si>
  <si>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</si>
  <si>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</si>
  <si>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</si>
  <si>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</si>
  <si>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</si>
  <si>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</si>
  <si>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</si>
  <si>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</si>
  <si>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</si>
  <si>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</si>
  <si>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</si>
  <si>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</si>
  <si>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</si>
  <si>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</si>
  <si>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</si>
  <si>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</si>
  <si>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</si>
  <si>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</si>
  <si>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</si>
  <si>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</si>
  <si>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</si>
  <si>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</si>
  <si>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</si>
  <si>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</si>
  <si>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</si>
  <si>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</si>
  <si>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</si>
  <si>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</si>
  <si>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</si>
  <si>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</si>
  <si>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</si>
  <si>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</si>
  <si>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</si>
  <si>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</si>
  <si>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</si>
  <si>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</si>
  <si>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</si>
  <si>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</si>
  <si>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</si>
  <si>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</si>
  <si>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</si>
  <si>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</si>
  <si>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</si>
  <si>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</si>
  <si>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</si>
  <si>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</si>
  <si>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</si>
  <si>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</si>
  <si>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</si>
  <si>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</si>
  <si>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</si>
  <si>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</si>
  <si>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</si>
  <si>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</si>
  <si>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</si>
  <si>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</si>
  <si>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</si>
  <si>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</si>
  <si>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</si>
  <si>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</si>
  <si>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</si>
  <si>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</si>
  <si>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</si>
  <si>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</si>
  <si>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</si>
  <si>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</si>
  <si>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</si>
  <si>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</si>
  <si>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</si>
  <si>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</si>
  <si>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</si>
  <si>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</si>
  <si>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</si>
  <si>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</si>
  <si>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</si>
  <si>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</si>
  <si>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</si>
  <si>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</si>
  <si>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</si>
  <si>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</si>
  <si>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</si>
  <si>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</si>
  <si>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</si>
  <si>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</si>
  <si>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</si>
  <si>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</si>
  <si>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</si>
  <si>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</si>
  <si>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</si>
  <si>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</si>
  <si>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</si>
  <si>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</si>
  <si>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</si>
  <si>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</si>
  <si>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</si>
  <si>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</si>
  <si>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</si>
  <si>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</si>
  <si>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</si>
  <si>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</si>
  <si>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</si>
  <si>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</si>
  <si>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</si>
  <si>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</si>
  <si>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</si>
  <si>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</si>
  <si>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</si>
  <si>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</si>
  <si>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</si>
  <si>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</si>
  <si>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</si>
  <si>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</si>
  <si>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</si>
  <si>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</si>
  <si>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</si>
  <si>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</si>
  <si>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</si>
  <si>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</si>
  <si>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</si>
  <si>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</si>
  <si>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</si>
  <si>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</si>
  <si>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</si>
  <si>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</si>
  <si>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</si>
  <si>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</si>
  <si>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</si>
  <si>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</si>
  <si>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</si>
  <si>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</si>
  <si>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</si>
  <si>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</si>
  <si>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</si>
  <si>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</si>
  <si>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</si>
  <si>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</si>
  <si>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</si>
  <si>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</si>
  <si>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</si>
  <si>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</si>
  <si>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</si>
  <si>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</si>
  <si>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</si>
  <si>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</si>
  <si>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</si>
  <si>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</si>
  <si>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</si>
  <si>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</si>
  <si>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</si>
  <si>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</si>
  <si>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</si>
  <si>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</si>
  <si>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</si>
  <si>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</si>
  <si>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</si>
  <si>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</si>
  <si>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</si>
  <si>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</si>
  <si>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</si>
  <si>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</si>
  <si>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</si>
  <si>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</si>
  <si>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</si>
  <si>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</si>
  <si>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</si>
  <si>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</si>
  <si>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</si>
  <si>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</si>
  <si>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</si>
  <si>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</si>
  <si>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</si>
  <si>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</si>
  <si>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</si>
  <si>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</si>
  <si>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</si>
  <si>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</si>
  <si>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</si>
  <si>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</si>
  <si>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</si>
  <si>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</si>
  <si>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</si>
  <si>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</si>
  <si>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</si>
  <si>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</si>
  <si>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</si>
  <si>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</si>
  <si>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</si>
  <si>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</si>
  <si>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</si>
  <si>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</si>
  <si>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</si>
  <si>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</si>
  <si>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</si>
  <si>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</si>
  <si>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</si>
  <si>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</si>
  <si>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</si>
  <si>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</si>
  <si>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</si>
  <si>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</si>
  <si>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</si>
  <si>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</si>
  <si>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</si>
  <si>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</si>
  <si>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</si>
  <si>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</si>
  <si>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</si>
  <si>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</si>
  <si>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</si>
  <si>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</si>
  <si>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</si>
  <si>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</si>
  <si>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</si>
  <si>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</si>
  <si>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</si>
  <si>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</si>
  <si>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</si>
  <si>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</si>
  <si>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</si>
  <si>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</si>
  <si>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</si>
  <si>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</si>
  <si>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</si>
  <si>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</si>
  <si>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</si>
  <si>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</si>
  <si>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</si>
  <si>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</si>
  <si>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</si>
  <si>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</si>
  <si>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</si>
  <si>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</si>
  <si>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</si>
  <si>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</si>
  <si>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</si>
  <si>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</si>
  <si>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</si>
  <si>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</si>
  <si>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</si>
  <si>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</si>
  <si>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</si>
  <si>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</si>
  <si>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</si>
  <si>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</si>
  <si>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</si>
  <si>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</si>
  <si>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</si>
  <si>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</si>
  <si>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</si>
  <si>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</si>
  <si>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</si>
  <si>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</si>
  <si>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</si>
  <si>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</si>
  <si>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</si>
  <si>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</si>
  <si>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</si>
  <si>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</si>
  <si>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</si>
  <si>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</si>
  <si>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</si>
  <si>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</si>
  <si>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</si>
  <si>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</si>
  <si>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</si>
  <si>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</si>
  <si>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</si>
  <si>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</si>
  <si>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</si>
  <si>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</si>
  <si>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</si>
  <si>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</si>
  <si>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</si>
  <si>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</si>
  <si>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</si>
  <si>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</si>
  <si>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</si>
  <si>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</si>
  <si>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</si>
  <si>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</si>
  <si>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</si>
  <si>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</si>
  <si>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</si>
  <si>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</si>
  <si>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</si>
  <si>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</si>
  <si>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</si>
  <si>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</si>
  <si>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</si>
  <si>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</si>
  <si>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</si>
  <si>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</si>
  <si>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</si>
  <si>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</si>
  <si>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</si>
  <si>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</si>
  <si>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</si>
  <si>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</si>
  <si>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</si>
  <si>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</si>
  <si>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</si>
  <si>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</si>
  <si>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</si>
  <si>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</si>
  <si>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</si>
  <si>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</si>
  <si>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</si>
  <si>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</si>
  <si>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</si>
  <si>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</si>
  <si>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</si>
  <si>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</si>
  <si>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</si>
  <si>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</si>
  <si>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</si>
  <si>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</si>
  <si>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</si>
  <si>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</si>
  <si>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</si>
  <si>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</si>
  <si>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</si>
  <si>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</si>
  <si>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</si>
  <si>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</si>
  <si>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</si>
  <si>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</si>
  <si>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</si>
  <si>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</si>
  <si>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</si>
  <si>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</si>
  <si>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</si>
  <si>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</si>
  <si>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</si>
  <si>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</si>
  <si>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</si>
  <si>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</si>
  <si>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</si>
  <si>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</si>
  <si>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</si>
  <si>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</si>
  <si>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</si>
  <si>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</si>
  <si>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</si>
  <si>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</si>
  <si>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</si>
  <si>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</si>
  <si>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</si>
  <si>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</si>
  <si>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</si>
  <si>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</si>
  <si>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</si>
  <si>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</si>
  <si>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</si>
  <si>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</si>
  <si>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</si>
  <si>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</si>
  <si>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</si>
  <si>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</si>
  <si>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</si>
  <si>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</si>
  <si>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</si>
  <si>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</si>
  <si>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</si>
  <si>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</si>
  <si>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</si>
  <si>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</si>
  <si>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</si>
  <si>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</si>
  <si>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</si>
  <si>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</si>
  <si>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</si>
  <si>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</si>
  <si>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</si>
  <si>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</si>
  <si>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</si>
  <si>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</si>
  <si>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</si>
  <si>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</si>
  <si>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</si>
  <si>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</si>
  <si>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</si>
  <si>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</si>
  <si>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</si>
  <si>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</si>
  <si>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</si>
  <si>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</si>
  <si>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</si>
  <si>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</si>
  <si>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</si>
  <si>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</si>
  <si>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</si>
  <si>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</si>
  <si>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</si>
  <si>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</si>
  <si>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</si>
  <si>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</si>
  <si>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</si>
  <si>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</si>
  <si>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</si>
  <si>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</si>
  <si>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</si>
  <si>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</si>
  <si>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</si>
  <si>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</si>
  <si>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</si>
  <si>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</si>
  <si>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</si>
  <si>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</si>
  <si>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</si>
  <si>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</si>
  <si>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</si>
  <si>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</si>
  <si>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</si>
  <si>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</si>
  <si>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</si>
  <si>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</si>
  <si>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</si>
  <si>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</si>
  <si>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</si>
  <si>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</si>
  <si>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</si>
  <si>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</si>
  <si>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</si>
  <si>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</si>
  <si>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</si>
  <si>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</si>
  <si>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</si>
  <si>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</si>
  <si>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Line + conn.</t>
  </si>
  <si>
    <t>Lime SDR</t>
  </si>
  <si>
    <t>Noise Temperature Calculator (after first LNA - see block diagram for more details)</t>
  </si>
  <si>
    <t>Transceiver - AX5043</t>
  </si>
  <si>
    <t>MiniCirc BPF-C450+</t>
  </si>
  <si>
    <t>Qorvo QPC1022</t>
  </si>
  <si>
    <t>SAW - Mur. SF2446E</t>
  </si>
  <si>
    <t>Conn.</t>
  </si>
  <si>
    <t>BPF - ZABP-450-S+</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</si>
  <si>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</si>
  <si>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</si>
  <si>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</si>
  <si>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</si>
  <si>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</si>
  <si>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</si>
  <si>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</si>
  <si>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</si>
  <si>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</si>
  <si>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</si>
  <si>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</si>
  <si>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</si>
  <si>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</si>
  <si>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</si>
  <si>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</si>
  <si>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</si>
  <si>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</si>
  <si>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</si>
  <si>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</si>
  <si>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</si>
  <si>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</si>
  <si>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</si>
  <si>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</si>
  <si>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</si>
  <si>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</si>
  <si>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</si>
  <si>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</si>
  <si>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</si>
  <si>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</si>
  <si>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</si>
  <si>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</si>
  <si>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</si>
  <si>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</si>
  <si>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</si>
  <si>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</si>
  <si>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</si>
  <si>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</si>
  <si>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</si>
  <si>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</si>
  <si>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</si>
  <si>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</si>
  <si>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</si>
  <si>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</si>
  <si>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</si>
  <si>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</si>
  <si>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</si>
  <si>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</si>
  <si>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</si>
  <si>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</si>
  <si>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</si>
  <si>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</si>
  <si>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</si>
  <si>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</si>
  <si>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</si>
  <si>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</si>
  <si>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</si>
  <si>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</si>
  <si>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</si>
  <si>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</si>
  <si>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</si>
  <si>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</si>
  <si>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</si>
  <si>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</si>
  <si>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</si>
  <si>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</si>
  <si>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</si>
  <si>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</si>
  <si>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</si>
  <si>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</si>
  <si>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</si>
  <si>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</si>
  <si>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</si>
  <si>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</si>
  <si>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</si>
  <si>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</si>
  <si>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</si>
  <si>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</si>
  <si>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</si>
  <si>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</si>
  <si>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</si>
  <si>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</si>
  <si>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Switch - DK 401-4208</t>
  </si>
  <si>
    <t>Switch - DK 411-2208</t>
  </si>
  <si>
    <t>S.R.085 + conn.</t>
  </si>
  <si>
    <t>VSWR 2.04</t>
  </si>
  <si>
    <t>Connectors  X  0.066 dB/con. =</t>
  </si>
  <si>
    <t>SMPM @ 440</t>
  </si>
  <si>
    <t>Calculated</t>
  </si>
  <si>
    <t>X .066 dB/Con.=</t>
  </si>
  <si>
    <t>Canted Turnstyle (back)</t>
  </si>
  <si>
    <t>VSWR 1.2 ??</t>
  </si>
  <si>
    <t>2019 September 8</t>
  </si>
  <si>
    <t>Infineon BGB707L7ESD</t>
  </si>
  <si>
    <t>Elevation:</t>
  </si>
  <si>
    <t>Link Losses:</t>
  </si>
  <si>
    <t>ENGINEERING</t>
  </si>
  <si>
    <t>Eng. Uplink - 436.5 MHz GMSK;  Eng. Downlink - 436.5 MHz GMSK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</si>
</sst>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7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4" borderId="19" xfId="8" applyFill="1" applyBorder="1" applyAlignment="1">
      <alignment horizontal="center"/>
    </xf>
    <xf numFmtId="0" fontId="1" fillId="4" borderId="21" xfId="8" applyFill="1" applyBorder="1" applyAlignment="1">
      <alignment horizontal="center"/>
    </xf>
    <xf numFmtId="0" fontId="17" fillId="3" borderId="29" xfId="0"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15" xfId="8" applyFill="1" applyBorder="1" applyAlignment="1">
      <alignment horizontal="center"/>
    </xf>
    <xf numFmtId="0" fontId="1" fillId="3" borderId="0" xfId="8" applyFill="1" applyBorder="1" applyAlignment="1">
      <alignment horizontal="center"/>
    </xf>
    <xf numFmtId="0" fontId="1" fillId="3" borderId="0" xfId="8" applyFill="1" applyBorder="1" applyAlignment="1"/>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0" xfId="8" applyFill="1"/>
    <xf numFmtId="0" fontId="60" fillId="4" borderId="26" xfId="8" applyFont="1" applyFill="1" applyBorder="1" applyAlignment="1">
      <alignment horizontal="center"/>
    </xf>
    <xf numFmtId="0" fontId="6" fillId="4" borderId="0" xfId="8" applyFont="1" applyFill="1" applyAlignment="1">
      <alignment horizontal="right"/>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69215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60325</xdr:colOff>
      <xdr:row>74</xdr:row>
      <xdr:rowOff>139700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5572125" y="1230630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171450</xdr:colOff>
      <xdr:row>21</xdr:row>
      <xdr:rowOff>79375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5683250" y="362902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120" name="Text Box 60">
          <a:extLst>
            <a:ext uri="{FF2B5EF4-FFF2-40B4-BE49-F238E27FC236}">
              <a16:creationId xmlns:a16="http://schemas.microsoft.com/office/drawing/2014/main" id="{6CFCA96A-A3D3-42A0-A20A-910F2B870992}"/>
            </a:ext>
          </a:extLst>
        </xdr:cNvPr>
        <xdr:cNvSpPr txBox="1">
          <a:spLocks noChangeArrowheads="1"/>
        </xdr:cNvSpPr>
      </xdr:nvSpPr>
      <xdr:spPr bwMode="auto">
        <a:xfrm>
          <a:off x="4032250" y="1423670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11</xdr:col>
      <xdr:colOff>350734</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603504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4</xdr:col>
      <xdr:colOff>42334</xdr:colOff>
      <xdr:row>83</xdr:row>
      <xdr:rowOff>70913</xdr:rowOff>
    </xdr:from>
    <xdr:to>
      <xdr:col>5</xdr:col>
      <xdr:colOff>174624</xdr:colOff>
      <xdr:row>88</xdr:row>
      <xdr:rowOff>68795</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2474913" y="13523917"/>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595845</xdr:colOff>
      <xdr:row>84</xdr:row>
      <xdr:rowOff>39156</xdr:rowOff>
    </xdr:from>
    <xdr:to>
      <xdr:col>8</xdr:col>
      <xdr:colOff>539750</xdr:colOff>
      <xdr:row>87</xdr:row>
      <xdr:rowOff>74083</xdr:rowOff>
    </xdr:to>
    <xdr:sp macro="" textlink="">
      <xdr:nvSpPr>
        <xdr:cNvPr id="133" name="Rectangle 1">
          <a:extLst>
            <a:ext uri="{FF2B5EF4-FFF2-40B4-BE49-F238E27FC236}">
              <a16:creationId xmlns:a16="http://schemas.microsoft.com/office/drawing/2014/main" id="{84868C35-8F58-44C3-AA76-ABC3EF7052DD}"/>
            </a:ext>
          </a:extLst>
        </xdr:cNvPr>
        <xdr:cNvSpPr>
          <a:spLocks noChangeArrowheads="1"/>
        </xdr:cNvSpPr>
      </xdr:nvSpPr>
      <xdr:spPr bwMode="auto">
        <a:xfrm>
          <a:off x="4892678" y="13628156"/>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8</xdr:col>
      <xdr:colOff>779997</xdr:colOff>
      <xdr:row>84</xdr:row>
      <xdr:rowOff>43390</xdr:rowOff>
    </xdr:from>
    <xdr:to>
      <xdr:col>9</xdr:col>
      <xdr:colOff>432860</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5775330"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11</xdr:col>
      <xdr:colOff>191561</xdr:colOff>
      <xdr:row>84</xdr:row>
      <xdr:rowOff>47622</xdr:rowOff>
    </xdr:from>
    <xdr:to>
      <xdr:col>12</xdr:col>
      <xdr:colOff>322792</xdr:colOff>
      <xdr:row>87</xdr:row>
      <xdr:rowOff>82549</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7488769" y="13636622"/>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6</xdr:col>
      <xdr:colOff>527053</xdr:colOff>
      <xdr:row>79</xdr:row>
      <xdr:rowOff>89958</xdr:rowOff>
    </xdr:from>
    <xdr:to>
      <xdr:col>8</xdr:col>
      <xdr:colOff>363433</xdr:colOff>
      <xdr:row>88</xdr:row>
      <xdr:rowOff>151764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210053" y="12885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oneCellAnchor>
    <xdr:from>
      <xdr:col>5</xdr:col>
      <xdr:colOff>369361</xdr:colOff>
      <xdr:row>84</xdr:row>
      <xdr:rowOff>85726</xdr:rowOff>
    </xdr:from>
    <xdr:ext cx="576568" cy="239809"/>
    <xdr:sp macro="" textlink="">
      <xdr:nvSpPr>
        <xdr:cNvPr id="139" name="TextBox 138">
          <a:extLst>
            <a:ext uri="{FF2B5EF4-FFF2-40B4-BE49-F238E27FC236}">
              <a16:creationId xmlns:a16="http://schemas.microsoft.com/office/drawing/2014/main" id="{F904A3F3-2CE4-4ACD-A47F-C64200475D43}"/>
            </a:ext>
          </a:extLst>
        </xdr:cNvPr>
        <xdr:cNvSpPr txBox="1"/>
      </xdr:nvSpPr>
      <xdr:spPr>
        <a:xfrm>
          <a:off x="3438528" y="136747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6</xdr:col>
      <xdr:colOff>603249</xdr:colOff>
      <xdr:row>83</xdr:row>
      <xdr:rowOff>132291</xdr:rowOff>
    </xdr:from>
    <xdr:to>
      <xdr:col>7</xdr:col>
      <xdr:colOff>269875</xdr:colOff>
      <xdr:row>88</xdr:row>
      <xdr:rowOff>66038</xdr:rowOff>
    </xdr:to>
    <xdr:grpSp>
      <xdr:nvGrpSpPr>
        <xdr:cNvPr id="140" name="Group 139">
          <a:extLst>
            <a:ext uri="{FF2B5EF4-FFF2-40B4-BE49-F238E27FC236}">
              <a16:creationId xmlns:a16="http://schemas.microsoft.com/office/drawing/2014/main" id="{45636D73-5F10-45C9-A26C-0F9A0E7C926E}"/>
            </a:ext>
          </a:extLst>
        </xdr:cNvPr>
        <xdr:cNvGrpSpPr/>
      </xdr:nvGrpSpPr>
      <xdr:grpSpPr>
        <a:xfrm>
          <a:off x="4286249" y="13562541"/>
          <a:ext cx="280459" cy="727497"/>
          <a:chOff x="3803650" y="1643592"/>
          <a:chExt cx="280459" cy="727497"/>
        </a:xfrm>
      </xdr:grpSpPr>
      <xdr:sp macro="" textlink="">
        <xdr:nvSpPr>
          <xdr:cNvPr id="141" name="Rectangle 1">
            <a:extLst>
              <a:ext uri="{FF2B5EF4-FFF2-40B4-BE49-F238E27FC236}">
                <a16:creationId xmlns:a16="http://schemas.microsoft.com/office/drawing/2014/main" id="{17884689-1507-44E5-A191-77CF62FCED86}"/>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142" name="Line 7">
            <a:extLst>
              <a:ext uri="{FF2B5EF4-FFF2-40B4-BE49-F238E27FC236}">
                <a16:creationId xmlns:a16="http://schemas.microsoft.com/office/drawing/2014/main" id="{16D7C108-3507-4855-9FFA-E85DE8E5A6E5}"/>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143" name="Line 8">
            <a:extLst>
              <a:ext uri="{FF2B5EF4-FFF2-40B4-BE49-F238E27FC236}">
                <a16:creationId xmlns:a16="http://schemas.microsoft.com/office/drawing/2014/main" id="{40CDAB43-583B-4F89-8FD6-6C6F194EE811}"/>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4" name="Line 8">
            <a:extLst>
              <a:ext uri="{FF2B5EF4-FFF2-40B4-BE49-F238E27FC236}">
                <a16:creationId xmlns:a16="http://schemas.microsoft.com/office/drawing/2014/main" id="{ECAB97E5-0D0F-41AF-8FA1-08D9358CB8C1}"/>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5" name="Line 8">
            <a:extLst>
              <a:ext uri="{FF2B5EF4-FFF2-40B4-BE49-F238E27FC236}">
                <a16:creationId xmlns:a16="http://schemas.microsoft.com/office/drawing/2014/main" id="{8323A808-8114-4BCE-9FE1-92B83654780C}"/>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146" name="Line 8">
            <a:extLst>
              <a:ext uri="{FF2B5EF4-FFF2-40B4-BE49-F238E27FC236}">
                <a16:creationId xmlns:a16="http://schemas.microsoft.com/office/drawing/2014/main" id="{B47897CE-6F72-4B2E-AF87-3DECA598677C}"/>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9</xdr:col>
      <xdr:colOff>552451</xdr:colOff>
      <xdr:row>84</xdr:row>
      <xdr:rowOff>48679</xdr:rowOff>
    </xdr:from>
    <xdr:to>
      <xdr:col>10</xdr:col>
      <xdr:colOff>496356</xdr:colOff>
      <xdr:row>87</xdr:row>
      <xdr:rowOff>83606</xdr:rowOff>
    </xdr:to>
    <xdr:sp macro="" textlink="">
      <xdr:nvSpPr>
        <xdr:cNvPr id="56" name="Rectangle 1">
          <a:extLst>
            <a:ext uri="{FF2B5EF4-FFF2-40B4-BE49-F238E27FC236}">
              <a16:creationId xmlns:a16="http://schemas.microsoft.com/office/drawing/2014/main" id="{BE0E1E5F-BD2D-4945-91BB-4E08258C450C}"/>
            </a:ext>
          </a:extLst>
        </xdr:cNvPr>
        <xdr:cNvSpPr>
          <a:spLocks noChangeArrowheads="1"/>
        </xdr:cNvSpPr>
      </xdr:nvSpPr>
      <xdr:spPr bwMode="auto">
        <a:xfrm>
          <a:off x="6537326" y="13637679"/>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Coax</a:t>
          </a:r>
          <a:br>
            <a:rPr lang="en-US" sz="1000" b="1" i="0" strike="noStrike">
              <a:solidFill>
                <a:srgbClr val="000000"/>
              </a:solidFill>
              <a:latin typeface="Arial"/>
              <a:cs typeface="Arial"/>
            </a:rPr>
          </a:br>
          <a:r>
            <a:rPr lang="en-US" sz="1000" b="1" i="0" strike="noStrike">
              <a:solidFill>
                <a:srgbClr val="000000"/>
              </a:solidFill>
              <a:latin typeface="Arial"/>
              <a:cs typeface="Arial"/>
            </a:rPr>
            <a:t>Relay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4.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5.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3" t="s">
        <v>933</v>
      </c>
      <c r="H1" s="1054"/>
      <c r="I1" s="1050" t="s">
        <v>959</v>
      </c>
      <c r="J1" s="1051"/>
      <c r="K1" s="1051"/>
      <c r="L1" s="1051"/>
      <c r="M1" s="1052"/>
      <c r="N1" s="556"/>
      <c r="O1" s="127"/>
      <c r="P1" s="127"/>
    </row>
    <row r="2" spans="1:16" ht="25">
      <c r="A2" s="52"/>
      <c r="B2" s="57" t="s">
        <v>477</v>
      </c>
      <c r="C2" s="53"/>
      <c r="D2" s="53"/>
      <c r="E2" s="53"/>
      <c r="F2" s="56" t="s">
        <v>943</v>
      </c>
      <c r="G2" s="54"/>
      <c r="H2" s="55"/>
      <c r="I2" s="55"/>
      <c r="J2" s="55"/>
      <c r="K2" s="55"/>
      <c r="L2" s="55"/>
      <c r="M2" s="55"/>
      <c r="N2" s="44"/>
      <c r="O2" s="44"/>
      <c r="P2" s="44"/>
    </row>
    <row r="3" spans="1:16" ht="25">
      <c r="A3" s="52"/>
      <c r="B3" s="57" t="s">
        <v>833</v>
      </c>
      <c r="C3" s="53"/>
      <c r="D3" s="53"/>
      <c r="E3" s="53"/>
      <c r="F3" s="56" t="s">
        <v>942</v>
      </c>
      <c r="G3" s="54"/>
      <c r="H3" s="55"/>
      <c r="I3" s="55"/>
      <c r="J3" s="55"/>
      <c r="K3" s="55"/>
      <c r="L3" s="55"/>
      <c r="M3" s="55"/>
      <c r="N3" s="44"/>
      <c r="O3" s="44"/>
      <c r="P3" s="44"/>
    </row>
    <row r="4" spans="1:16" ht="13">
      <c r="A4" s="1" t="s">
        <v>936</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940</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939</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938</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1078</v>
      </c>
      <c r="G16" s="3"/>
      <c r="H16" s="3"/>
      <c r="I16" s="3"/>
      <c r="J16" s="3"/>
      <c r="K16" s="3"/>
      <c r="L16" s="3"/>
      <c r="M16" s="3"/>
      <c r="N16" s="3"/>
      <c r="O16" s="3"/>
      <c r="P16" s="3"/>
    </row>
    <row r="17" spans="1:16" ht="16" thickBot="1">
      <c r="A17" s="3"/>
      <c r="B17" s="3"/>
      <c r="C17" s="3"/>
      <c r="D17" s="4" t="s">
        <v>830</v>
      </c>
      <c r="E17" s="3"/>
      <c r="F17" s="895" t="s">
        <v>941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1024</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1073</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1034</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2">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2">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zoomScale="120" zoomScaleNormal="120" workbookViewId="0">
      <selection activeCell="E3" sqref="E3"/>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 - CS0</v>
      </c>
      <c r="F1" s="127"/>
      <c r="G1" s="610" t="str">
        <f>'Title Page'!F23</f>
        <v>2019 September 8</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986</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986</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987</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987</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11</v>
      </c>
      <c r="F31" s="652" t="str">
        <f>INDEX(C34:C53,E31,1)</f>
        <v>GMSK w/ BT=0.3</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10.9</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986</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986</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987</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987</v>
      </c>
      <c r="D53" s="69" t="s">
        <v>853</v>
      </c>
      <c r="E53" s="78">
        <v>1.0000000000000001E-5</v>
      </c>
      <c r="F53" s="77">
        <v>5.6</v>
      </c>
      <c r="G53" s="233"/>
      <c r="H53" s="233"/>
      <c r="I53" s="233"/>
      <c r="J53" s="233"/>
      <c r="K53" s="233"/>
      <c r="L53" s="233"/>
      <c r="M53" s="233"/>
      <c r="N53" s="233"/>
      <c r="O53" s="233"/>
      <c r="P53" s="233"/>
      <c r="Q53" s="233"/>
      <c r="R53" s="233"/>
      <c r="S53" s="233"/>
      <c r="T53" s="233"/>
      <c r="U53" s="233"/>
    </row>
    <row r="54" spans="1:21" ht="13" thickBot="1">
      <c r="A54" s="233"/>
      <c r="B54" s="233"/>
      <c r="C54" s="233"/>
      <c r="D54" s="246" t="s">
        <v>330</v>
      </c>
      <c r="E54" s="233"/>
      <c r="F54" s="245"/>
      <c r="G54" s="233"/>
      <c r="H54" s="233"/>
      <c r="I54" s="233"/>
      <c r="J54" s="233"/>
      <c r="K54" s="233"/>
      <c r="L54" s="233"/>
      <c r="M54" s="233"/>
      <c r="N54" s="233"/>
      <c r="O54" s="233"/>
      <c r="P54" s="233"/>
      <c r="Q54" s="233"/>
      <c r="R54" s="233"/>
      <c r="S54" s="233"/>
      <c r="T54" s="233"/>
      <c r="U54" s="233"/>
    </row>
    <row r="55" spans="1:21" ht="16" thickBot="1">
      <c r="A55" s="233"/>
      <c r="B55" s="233"/>
      <c r="C55" s="233"/>
      <c r="D55" s="637" t="s">
        <v>857</v>
      </c>
      <c r="E55" s="638">
        <v>0.5</v>
      </c>
      <c r="F55" s="71" t="s">
        <v>757</v>
      </c>
      <c r="G55" s="233"/>
      <c r="H55" s="233"/>
      <c r="I55" s="233"/>
      <c r="J55" s="233"/>
      <c r="K55" s="233"/>
      <c r="L55" s="233"/>
      <c r="M55" s="233"/>
      <c r="N55" s="233"/>
      <c r="O55" s="233"/>
      <c r="P55" s="233"/>
      <c r="Q55" s="233"/>
      <c r="R55" s="233"/>
      <c r="S55" s="233"/>
      <c r="T55" s="233"/>
      <c r="U55" s="233"/>
    </row>
    <row r="56" spans="1:21">
      <c r="A56" s="233"/>
      <c r="B56" s="345" t="s">
        <v>140</v>
      </c>
      <c r="C56" s="233"/>
      <c r="D56" s="233"/>
      <c r="E56" s="233"/>
      <c r="F56" s="233"/>
      <c r="G56" s="233"/>
      <c r="H56" s="233"/>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 sqref="B2"/>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5" t="s">
        <v>140</v>
      </c>
      <c r="C1" s="44"/>
      <c r="D1" s="617" t="str">
        <f>'Title Page'!F3</f>
        <v>OreSat - CS0</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v>
      </c>
      <c r="E2" s="58"/>
      <c r="F2" s="58" t="str">
        <f>'Title Page'!F23</f>
        <v>2019 September 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2</v>
      </c>
      <c r="C6" s="91" t="s">
        <v>781</v>
      </c>
      <c r="D6" s="419" t="s">
        <v>385</v>
      </c>
      <c r="E6" s="419"/>
      <c r="F6" s="419"/>
      <c r="G6" s="419"/>
      <c r="H6" s="419"/>
      <c r="I6" s="419"/>
      <c r="J6" s="420" t="s">
        <v>414</v>
      </c>
      <c r="K6" s="411"/>
      <c r="L6" s="410"/>
      <c r="M6" s="91"/>
      <c r="N6" s="91"/>
      <c r="O6" s="91"/>
      <c r="P6" s="91"/>
      <c r="Q6" s="91"/>
      <c r="R6" s="91"/>
    </row>
    <row r="7" spans="1:18">
      <c r="A7" s="424" t="s">
        <v>787</v>
      </c>
      <c r="B7" s="132">
        <f>10*LOG10(B6)</f>
        <v>3.0102999566398121</v>
      </c>
      <c r="C7" s="91" t="s">
        <v>782</v>
      </c>
      <c r="D7" s="419" t="s">
        <v>376</v>
      </c>
      <c r="E7" s="419"/>
      <c r="F7" s="419"/>
      <c r="G7" s="419"/>
      <c r="H7" s="419"/>
      <c r="I7" s="419"/>
      <c r="J7" s="91"/>
      <c r="K7" s="91"/>
      <c r="L7" s="91"/>
      <c r="M7" s="91"/>
      <c r="N7" s="91"/>
      <c r="O7" s="91"/>
      <c r="P7" s="91"/>
      <c r="Q7" s="91"/>
      <c r="R7" s="91"/>
    </row>
    <row r="8" spans="1:18">
      <c r="A8" s="424" t="s">
        <v>788</v>
      </c>
      <c r="B8" s="347">
        <f>B7+30</f>
        <v>33.010299956639813</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15.894465956639811</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-134.49387417900098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70.316582489289829</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20.316582489289829</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9.4165824892898282</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-134.80743417900098</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18.555669898733044</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7.6556698987330432</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zoomScale="120" zoomScaleNormal="120" workbookViewId="0">
      <selection activeCell="B2" sqref="B2"/>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5" t="s">
        <v>140</v>
      </c>
      <c r="C1" s="44" t="s">
        <v>715</v>
      </c>
      <c r="D1" s="617" t="str">
        <f>'Title Page'!F3</f>
        <v>OreSat - CS0</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v>
      </c>
      <c r="E2" s="58"/>
      <c r="F2" s="59" t="str">
        <f>'Title Page'!F23</f>
        <v>2019 September 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1</v>
      </c>
      <c r="C6" s="91" t="s">
        <v>781</v>
      </c>
      <c r="D6" s="419" t="s">
        <v>384</v>
      </c>
      <c r="E6" s="419"/>
      <c r="F6" s="419"/>
      <c r="G6" s="419"/>
      <c r="H6" s="419"/>
      <c r="I6" s="419"/>
      <c r="J6" s="419"/>
      <c r="K6" s="91"/>
      <c r="L6" s="420" t="s">
        <v>380</v>
      </c>
      <c r="M6" s="411"/>
      <c r="N6" s="411"/>
      <c r="O6" s="411"/>
      <c r="P6" s="411"/>
      <c r="Q6" s="410"/>
      <c r="R6" s="91"/>
    </row>
    <row r="7" spans="1:18">
      <c r="A7" s="424" t="s">
        <v>787</v>
      </c>
      <c r="B7" s="132">
        <f>10*LOG10(B6)</f>
        <v>0</v>
      </c>
      <c r="C7" s="91" t="s">
        <v>782</v>
      </c>
      <c r="D7" s="419" t="s">
        <v>376</v>
      </c>
      <c r="E7" s="419"/>
      <c r="F7" s="419"/>
      <c r="G7" s="419"/>
      <c r="H7" s="419"/>
      <c r="I7" s="419"/>
      <c r="J7" s="419"/>
      <c r="K7" s="91"/>
      <c r="L7" s="91"/>
      <c r="M7" s="91"/>
      <c r="N7" s="91"/>
      <c r="O7" s="91"/>
      <c r="P7" s="91"/>
      <c r="Q7" s="91"/>
      <c r="R7" s="91"/>
    </row>
    <row r="8" spans="1:18">
      <c r="A8" s="424" t="s">
        <v>788</v>
      </c>
      <c r="B8" s="347">
        <f>B7+30</f>
        <v>30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0.57643999999999984</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-149.79793037132544</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0.31396976431536944</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15.5</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0.1759</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559.16806325412506</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-12.15132358823846</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66.33677627612073</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50000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46.989700043360187</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19.347076232760543</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GMSK w/ BT=0.3</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f>INDEX('Modulation-Demodulation Method'!E34:E53,'Modulation-Demodulation Method'!E31,1)</f>
        <v>1.0000000000000001E-5</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0.5</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10.4</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10.9</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8.4470762327605424</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0.31396976431536944</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15.5</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0.1759</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559.16806325412506</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-12.15132358823846</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-134.78780013564082</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75000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-152.37396377784452</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17.586163642203701</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10.9</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6.6861636422037005</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1" sqref="Q1"/>
    </sheetView>
  </sheetViews>
  <sheetFormatPr defaultColWidth="8.81640625" defaultRowHeight="12.5"/>
  <cols>
    <col min="1" max="1" width="12.54296875" style="977" customWidth="1"/>
    <col min="2" max="2" width="8.81640625" style="977"/>
    <col min="3" max="3" width="9.453125" style="977" customWidth="1"/>
    <col min="4" max="4" width="11.453125" style="977" customWidth="1"/>
    <col min="5" max="5" width="10.1796875" style="977" customWidth="1"/>
    <col min="6" max="6" width="12.453125" style="977" customWidth="1"/>
    <col min="7" max="7" width="10.453125" style="977" customWidth="1"/>
    <col min="8" max="8" width="3.54296875" style="977" customWidth="1"/>
    <col min="9" max="9" width="3.81640625" style="977" customWidth="1"/>
    <col min="10" max="10" width="9.453125" style="977" customWidth="1"/>
    <col min="11" max="11" width="10.453125" style="977" customWidth="1"/>
    <col min="12" max="12" width="9.81640625" style="977" bestFit="1" customWidth="1"/>
    <col min="13" max="13" width="10.453125" style="977" customWidth="1"/>
    <col min="14" max="14" width="12.1796875" style="977" customWidth="1"/>
    <col min="15" max="15" width="10.453125" style="977" customWidth="1"/>
    <col min="16" max="16384" width="8.81640625" style="977"/>
  </cols>
  <sheetData>
    <row r="1" spans="1:17" ht="18.5" thickBot="1">
      <c r="A1" s="975" t="s">
        <v>416</v>
      </c>
      <c r="B1" s="976"/>
      <c r="C1" s="976"/>
      <c r="D1" s="976"/>
      <c r="E1" s="976"/>
      <c r="F1" s="976"/>
      <c r="G1" s="976"/>
      <c r="H1" s="976"/>
      <c r="I1" s="1074"/>
      <c r="J1" s="1075" t="str">
        <f>'Title Page'!F3 &amp; "  /  " &amp; 'Title Page'!F16</f>
        <v>OreSat - CS0  /  Eng. Uplink - 436.5 MHz GMSK;  Eng. Downlink - 436.5 MHz GMSK</v>
      </c>
      <c r="K1" s="1074"/>
      <c r="L1" s="1074"/>
      <c r="M1" s="1074"/>
      <c r="N1" s="1074"/>
      <c r="O1" s="1074"/>
      <c r="P1" s="1074"/>
      <c r="Q1" s="1076" t="str">
        <f>'Title Page'!F23</f>
        <v>2019 September 8</v>
      </c>
    </row>
    <row r="2" spans="1:17" ht="13">
      <c r="A2" s="978"/>
      <c r="B2" s="1061" t="s">
        <v>1077</v>
      </c>
      <c r="C2" s="1061"/>
      <c r="D2" s="979"/>
      <c r="E2" s="979"/>
      <c r="F2" s="979"/>
      <c r="G2" s="979" t="s">
        <v>715</v>
      </c>
      <c r="H2" s="980"/>
      <c r="I2" s="981"/>
      <c r="J2" s="1061" t="s">
        <v>1077</v>
      </c>
      <c r="K2" s="1061"/>
      <c r="L2" s="979"/>
      <c r="M2" s="979"/>
      <c r="N2" s="979"/>
      <c r="O2" s="979"/>
      <c r="P2" s="979"/>
      <c r="Q2" s="980"/>
    </row>
    <row r="3" spans="1:17" ht="15" customHeight="1">
      <c r="A3" s="982"/>
      <c r="B3" s="1062" t="s">
        <v>1025</v>
      </c>
      <c r="C3" s="1063"/>
      <c r="D3" s="983"/>
      <c r="E3" s="984" t="s">
        <v>753</v>
      </c>
      <c r="F3" s="985">
        <f>Frequency!M10</f>
        <v>436.5</v>
      </c>
      <c r="G3" s="983"/>
      <c r="H3" s="986"/>
      <c r="I3" s="982"/>
      <c r="J3" s="1062" t="s">
        <v>423</v>
      </c>
      <c r="K3" s="1064"/>
      <c r="L3" s="983"/>
      <c r="M3" s="984" t="s">
        <v>753</v>
      </c>
      <c r="N3" s="985">
        <f>Frequency!M16</f>
        <v>436.5</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1035</v>
      </c>
      <c r="B5" s="988" t="s">
        <v>1036</v>
      </c>
      <c r="C5" s="989">
        <f>'Uplink Budget'!B30</f>
        <v>20.316582489289829</v>
      </c>
      <c r="D5" s="983"/>
      <c r="E5" s="990" t="s">
        <v>418</v>
      </c>
      <c r="F5" s="991">
        <f>'Uplink Budget'!B43</f>
        <v>9.4165824892898282</v>
      </c>
      <c r="G5" s="992" t="str">
        <f>IF(F5&lt;0,"NO LINK !",IF(F5&lt;6,"MARGINAL LINK",IF(F5&gt;6,"LINK CLOSES")))</f>
        <v>LINK CLOSES</v>
      </c>
      <c r="H5" s="986"/>
      <c r="I5" s="982"/>
      <c r="J5" s="983"/>
      <c r="K5" s="988" t="s">
        <v>1026</v>
      </c>
      <c r="L5" s="993">
        <f>'Downlink Budget'!B28</f>
        <v>50000</v>
      </c>
      <c r="M5" s="983"/>
      <c r="N5" s="983"/>
      <c r="O5" s="983"/>
      <c r="P5" s="983"/>
      <c r="Q5" s="986"/>
    </row>
    <row r="6" spans="1:17" ht="13" thickBot="1">
      <c r="A6" s="982"/>
      <c r="B6" s="983"/>
      <c r="C6" s="983"/>
      <c r="D6" s="983"/>
      <c r="E6" s="983"/>
      <c r="F6" s="983"/>
      <c r="G6" s="994" t="s">
        <v>715</v>
      </c>
      <c r="H6" s="986"/>
      <c r="I6" s="982"/>
      <c r="J6" s="983"/>
      <c r="K6" s="983"/>
      <c r="L6" s="983"/>
      <c r="M6" s="983"/>
      <c r="N6" s="1065" t="s">
        <v>1027</v>
      </c>
      <c r="O6" s="1066"/>
      <c r="P6" s="983"/>
      <c r="Q6" s="986"/>
    </row>
    <row r="7" spans="1:17" ht="13.5" thickBot="1">
      <c r="A7" s="987" t="s">
        <v>421</v>
      </c>
      <c r="B7" s="988" t="s">
        <v>1028</v>
      </c>
      <c r="C7" s="989">
        <f>'Uplink Budget'!B61</f>
        <v>18.555669898733044</v>
      </c>
      <c r="D7" s="983"/>
      <c r="E7" s="990" t="s">
        <v>418</v>
      </c>
      <c r="F7" s="991">
        <f>'Uplink Budget'!B65</f>
        <v>7.6556698987330432</v>
      </c>
      <c r="G7" s="992" t="str">
        <f>IF(F7&lt;0,"NO LINK !",IF(F7&lt;6,"MARGINAL LINK",IF(F7&gt;6,"LINK CLOSES")))</f>
        <v>LINK CLOSES</v>
      </c>
      <c r="H7" s="986"/>
      <c r="I7" s="982"/>
      <c r="J7" s="983"/>
      <c r="K7" s="995"/>
      <c r="L7" s="983"/>
      <c r="M7" s="983"/>
      <c r="N7" s="1059" t="str">
        <f>'Downlink Budget'!B32</f>
        <v>GMSK w/ BT=0.3</v>
      </c>
      <c r="O7" s="1060"/>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65" t="s">
        <v>1029</v>
      </c>
      <c r="O9" s="1066"/>
      <c r="P9" s="983"/>
      <c r="Q9" s="986"/>
    </row>
    <row r="10" spans="1:17">
      <c r="A10" s="982"/>
      <c r="B10" s="983"/>
      <c r="C10" s="988" t="s">
        <v>1026</v>
      </c>
      <c r="D10" s="993">
        <f>'Uplink Budget'!B28</f>
        <v>100000</v>
      </c>
      <c r="E10" s="983"/>
      <c r="F10" s="983"/>
      <c r="G10" s="983"/>
      <c r="H10" s="986"/>
      <c r="I10" s="982"/>
      <c r="J10" s="983"/>
      <c r="K10" s="983"/>
      <c r="L10" s="983"/>
      <c r="M10" s="983"/>
      <c r="N10" s="1059" t="str">
        <f>'Downlink Budget'!B33</f>
        <v>None</v>
      </c>
      <c r="O10" s="1060"/>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715</v>
      </c>
      <c r="E13" s="983"/>
      <c r="F13" s="1065" t="s">
        <v>1030</v>
      </c>
      <c r="G13" s="1066"/>
      <c r="H13" s="986"/>
      <c r="I13" s="982"/>
      <c r="J13" s="983"/>
      <c r="K13" s="983"/>
      <c r="L13" s="983"/>
      <c r="M13" s="983"/>
      <c r="N13" s="999" t="s">
        <v>1037</v>
      </c>
      <c r="O13" s="1000">
        <v>0.5</v>
      </c>
      <c r="P13" s="983"/>
      <c r="Q13" s="986"/>
    </row>
    <row r="14" spans="1:17">
      <c r="A14" s="982"/>
      <c r="B14" s="983"/>
      <c r="C14" s="983"/>
      <c r="D14" s="983"/>
      <c r="E14" s="983"/>
      <c r="F14" s="1059" t="str">
        <f>'Uplink Budget'!B33</f>
        <v>None</v>
      </c>
      <c r="G14" s="1060"/>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1062</v>
      </c>
      <c r="O15" s="1040">
        <f>O19/O13</f>
        <v>2</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715</v>
      </c>
      <c r="K17" s="983"/>
      <c r="L17" s="983"/>
      <c r="M17" s="983"/>
      <c r="N17" s="1038" t="s">
        <v>1061</v>
      </c>
      <c r="O17" s="1040">
        <f>O15-O19</f>
        <v>1</v>
      </c>
      <c r="P17" s="983"/>
      <c r="Q17" s="986"/>
    </row>
    <row r="18" spans="1:17">
      <c r="A18" s="982"/>
      <c r="B18" s="983"/>
      <c r="C18" s="983"/>
      <c r="D18" s="983"/>
      <c r="E18" s="983"/>
      <c r="F18" s="1002" t="s">
        <v>422</v>
      </c>
      <c r="G18" s="1003">
        <f>'Uplink Budget'!B35</f>
        <v>1.0000000000000001E-5</v>
      </c>
      <c r="H18" s="986"/>
      <c r="I18" s="982"/>
      <c r="J18" s="983"/>
      <c r="K18" s="983"/>
      <c r="L18" s="983"/>
      <c r="M18" s="983"/>
      <c r="N18" s="983"/>
      <c r="O18" s="1004"/>
      <c r="P18" s="983"/>
      <c r="Q18" s="986"/>
    </row>
    <row r="19" spans="1:17">
      <c r="A19" s="982"/>
      <c r="B19" s="983"/>
      <c r="C19" s="983"/>
      <c r="D19" s="983"/>
      <c r="E19" s="983"/>
      <c r="F19" s="1065" t="s">
        <v>1031</v>
      </c>
      <c r="G19" s="1066"/>
      <c r="H19" s="986"/>
      <c r="I19" s="982"/>
      <c r="J19" s="983"/>
      <c r="K19" s="983"/>
      <c r="L19" s="983"/>
      <c r="M19" s="983"/>
      <c r="N19" s="1013" t="s">
        <v>1060</v>
      </c>
      <c r="O19" s="1039">
        <f>Transmitters!E60</f>
        <v>1</v>
      </c>
      <c r="P19" s="983"/>
      <c r="Q19" s="986"/>
    </row>
    <row r="20" spans="1:17">
      <c r="A20" s="982"/>
      <c r="B20" s="983"/>
      <c r="C20" s="983"/>
      <c r="D20" s="983"/>
      <c r="E20" s="983"/>
      <c r="F20" s="1059" t="str">
        <f>'Uplink Budget'!B32</f>
        <v>GMSK w/ BT=0.3</v>
      </c>
      <c r="G20" s="1060"/>
      <c r="H20" s="986"/>
      <c r="I20" s="982"/>
      <c r="J20" s="983"/>
      <c r="K20" s="983"/>
      <c r="L20" s="983"/>
      <c r="M20" s="983"/>
      <c r="N20" s="983"/>
      <c r="O20" s="983"/>
      <c r="P20" s="983"/>
      <c r="Q20" s="986"/>
    </row>
    <row r="21" spans="1:17">
      <c r="A21" s="982"/>
      <c r="B21" s="983"/>
      <c r="C21" s="983"/>
      <c r="D21" s="983"/>
      <c r="E21" s="983"/>
      <c r="F21" s="1005" t="s">
        <v>334</v>
      </c>
      <c r="G21" s="1006">
        <f>'Uplink Budget'!B41</f>
        <v>10.9</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715</v>
      </c>
      <c r="K23" s="983"/>
      <c r="L23" s="983"/>
      <c r="M23" s="983"/>
      <c r="N23" s="988" t="s">
        <v>1038</v>
      </c>
      <c r="O23" s="1007">
        <f>Transmitters!I74</f>
        <v>7.5599999999999999E-3</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1039</v>
      </c>
      <c r="G25" s="1008">
        <f>'Uplink Budget'!B57</f>
        <v>150000</v>
      </c>
      <c r="H25" s="986"/>
      <c r="I25" s="982"/>
      <c r="J25" s="983"/>
      <c r="K25" s="983"/>
      <c r="L25" s="983"/>
      <c r="M25" s="983"/>
      <c r="N25" s="988" t="s">
        <v>1040</v>
      </c>
      <c r="O25" s="1009">
        <f>Transmitters!I78</f>
        <v>0.39600000000000002</v>
      </c>
      <c r="P25" s="983"/>
      <c r="Q25" s="986"/>
    </row>
    <row r="26" spans="1:17">
      <c r="A26" s="982"/>
      <c r="B26" s="983"/>
      <c r="C26" s="983"/>
      <c r="D26" s="983"/>
      <c r="E26" s="983"/>
      <c r="F26" s="1068" t="s">
        <v>420</v>
      </c>
      <c r="G26" s="1069"/>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1041</v>
      </c>
      <c r="O27" s="1009">
        <f>SUM(Transmitters!I79:I81)</f>
        <v>0.38</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1032</v>
      </c>
      <c r="O29" s="1009">
        <f>Transmitters!I83</f>
        <v>0.04</v>
      </c>
      <c r="P29" s="983"/>
      <c r="Q29" s="986"/>
    </row>
    <row r="30" spans="1:17">
      <c r="A30" s="982"/>
      <c r="B30" s="983"/>
      <c r="C30" s="983"/>
      <c r="D30" s="983"/>
      <c r="E30" s="983"/>
      <c r="F30" s="983"/>
      <c r="G30" s="983"/>
      <c r="H30" s="986"/>
      <c r="I30" s="982"/>
      <c r="J30" s="1001" t="s">
        <v>715</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1042</v>
      </c>
      <c r="O32" s="1010">
        <f>Transmitters!I85</f>
        <v>0.82356000000000007</v>
      </c>
      <c r="P32" s="983"/>
      <c r="Q32" s="986"/>
    </row>
    <row r="33" spans="1:17" ht="13">
      <c r="A33" s="982"/>
      <c r="B33" s="983"/>
      <c r="C33" s="983"/>
      <c r="D33" s="983"/>
      <c r="E33" s="983"/>
      <c r="F33" s="1011" t="s">
        <v>419</v>
      </c>
      <c r="G33" s="1012">
        <f>'Uplink Budget'!B26</f>
        <v>-23.489543331709164</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1033</v>
      </c>
      <c r="O34" s="1014">
        <f>Transmitters!I87+30</f>
        <v>29.176439999999999</v>
      </c>
      <c r="P34" s="983"/>
      <c r="Q34" s="986"/>
    </row>
    <row r="35" spans="1:17">
      <c r="A35" s="982"/>
      <c r="B35" s="983"/>
      <c r="C35" s="983"/>
      <c r="D35" s="983"/>
      <c r="E35" s="983"/>
      <c r="F35" s="1011" t="s">
        <v>1043</v>
      </c>
      <c r="G35" s="1015">
        <f>'Uplink Budget'!B25</f>
        <v>222.63750846737568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876</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1044</v>
      </c>
      <c r="O38" s="1018">
        <f>'Downlink Budget'!B10</f>
        <v>1.4</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1005</v>
      </c>
      <c r="G40" s="1020">
        <f>Receivers!J67</f>
        <v>1498.1255053982986</v>
      </c>
      <c r="H40" s="986"/>
      <c r="I40" s="982"/>
      <c r="J40" s="1070" t="str">
        <f>'Antenna Gain'!F41</f>
        <v>Canted Turnstyle (back)</v>
      </c>
      <c r="K40" s="1070"/>
      <c r="L40" s="983"/>
      <c r="M40" s="983"/>
      <c r="N40" s="1002" t="s">
        <v>1045</v>
      </c>
      <c r="O40" s="1021">
        <f>'Antenna Pointing Losses'!G85</f>
        <v>20</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1046</v>
      </c>
      <c r="O42" s="1023">
        <f>'Downlink Budget'!B11+30</f>
        <v>30.576439999999998</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43" t="s">
        <v>1076</v>
      </c>
      <c r="O44" s="1046" t="s">
        <v>1075</v>
      </c>
      <c r="P44" s="983"/>
      <c r="Q44" s="986"/>
    </row>
    <row r="45" spans="1:17" ht="13">
      <c r="A45" s="982"/>
      <c r="B45" s="983"/>
      <c r="C45" s="983"/>
      <c r="D45" s="983"/>
      <c r="E45" s="983"/>
      <c r="F45" s="1024" t="s">
        <v>1047</v>
      </c>
      <c r="G45" s="989">
        <f>Receivers!F65</f>
        <v>24</v>
      </c>
      <c r="H45" s="986"/>
      <c r="I45" s="982"/>
      <c r="J45" s="983"/>
      <c r="K45" s="983"/>
      <c r="L45" s="983"/>
      <c r="M45" s="983"/>
      <c r="N45" s="1045">
        <f>SUM('Downlink Budget'!B13:B18)+'Downlink Budget'!B22</f>
        <v>150.6883401356408</v>
      </c>
      <c r="O45" s="1049">
        <f>Orbit!B34</f>
        <v>10</v>
      </c>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1048</v>
      </c>
      <c r="G47" s="1020">
        <f>Receivers!J63</f>
        <v>35</v>
      </c>
      <c r="H47" s="986"/>
      <c r="I47" s="982"/>
      <c r="J47" s="983"/>
      <c r="K47" s="983"/>
      <c r="L47" s="983"/>
      <c r="M47" s="983"/>
      <c r="N47" s="988" t="s">
        <v>1049</v>
      </c>
      <c r="O47" s="1025">
        <f>'Downlink Budget'!B19+30</f>
        <v>-119.79793037132544</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70" t="str">
        <f>'Antenna Gain'!F58</f>
        <v>Crossed Yagi</v>
      </c>
      <c r="K49" s="1070"/>
      <c r="L49" s="983"/>
      <c r="M49" s="983"/>
      <c r="N49" s="988" t="s">
        <v>1050</v>
      </c>
      <c r="O49" s="1026">
        <f>'Downlink Budget'!B23</f>
        <v>15.5</v>
      </c>
      <c r="P49" s="983"/>
      <c r="Q49" s="986"/>
    </row>
    <row r="50" spans="1:17">
      <c r="A50" s="982"/>
      <c r="B50" s="983"/>
      <c r="C50" s="983"/>
      <c r="D50" s="983"/>
      <c r="E50" s="983"/>
      <c r="F50" s="983"/>
      <c r="G50" s="983"/>
      <c r="H50" s="986"/>
      <c r="I50" s="982"/>
      <c r="J50" s="983"/>
      <c r="K50" s="983"/>
      <c r="L50" s="983"/>
      <c r="M50" s="983"/>
      <c r="N50" s="1002" t="s">
        <v>60</v>
      </c>
      <c r="O50" s="1019" t="str">
        <f>'Antenna Gain'!K58</f>
        <v>RHCP</v>
      </c>
      <c r="P50" s="983"/>
      <c r="Q50" s="986"/>
    </row>
    <row r="51" spans="1:17">
      <c r="A51" s="982"/>
      <c r="B51" s="983"/>
      <c r="C51" s="983"/>
      <c r="D51" s="983"/>
      <c r="E51" s="983"/>
      <c r="F51" s="988" t="s">
        <v>1051</v>
      </c>
      <c r="G51" s="1027">
        <f>Receivers!J55</f>
        <v>1.4135599999999999</v>
      </c>
      <c r="H51" s="986"/>
      <c r="I51" s="982"/>
      <c r="J51" s="983"/>
      <c r="K51" s="983"/>
      <c r="L51" s="983"/>
      <c r="M51" s="983"/>
      <c r="N51" s="1002" t="s">
        <v>1045</v>
      </c>
      <c r="O51" s="1021">
        <f>'Antenna Pointing Losses'!F102</f>
        <v>5</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881</v>
      </c>
      <c r="N53" s="983"/>
      <c r="O53" s="983"/>
      <c r="P53" s="983"/>
      <c r="Q53" s="986"/>
    </row>
    <row r="54" spans="1:17">
      <c r="A54" s="982"/>
      <c r="B54" s="983"/>
      <c r="C54" s="983"/>
      <c r="D54" s="983"/>
      <c r="E54" s="983"/>
      <c r="F54" s="988" t="s">
        <v>1041</v>
      </c>
      <c r="G54" s="1009">
        <f>SUM(Receivers!J50:J52)</f>
        <v>1.01</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1052</v>
      </c>
      <c r="O55" s="1020">
        <f>Receivers!J130</f>
        <v>500</v>
      </c>
      <c r="P55" s="983"/>
      <c r="Q55" s="986"/>
    </row>
    <row r="56" spans="1:17">
      <c r="A56" s="982"/>
      <c r="B56" s="983"/>
      <c r="C56" s="983"/>
      <c r="D56" s="983"/>
      <c r="E56" s="983"/>
      <c r="F56" s="988" t="s">
        <v>1040</v>
      </c>
      <c r="G56" s="1009">
        <f>Receivers!J53</f>
        <v>0.39600000000000002</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1038</v>
      </c>
      <c r="G58" s="1007">
        <f>SUM(Receivers!J47:J49)</f>
        <v>7.5599999999999999E-3</v>
      </c>
      <c r="H58" s="986"/>
      <c r="I58" s="982"/>
      <c r="J58" s="983"/>
      <c r="K58" s="983"/>
      <c r="L58" s="983"/>
      <c r="M58" s="983"/>
      <c r="N58" s="988" t="s">
        <v>1038</v>
      </c>
      <c r="O58" s="1007">
        <f>SUM(Receivers!J118:J120)</f>
        <v>7.5899999999999995E-2</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1040</v>
      </c>
      <c r="O60" s="1009">
        <f>Receivers!J123</f>
        <v>0.1</v>
      </c>
      <c r="P60" s="983"/>
      <c r="Q60" s="986"/>
    </row>
    <row r="61" spans="1:17">
      <c r="A61" s="982"/>
      <c r="B61" s="983"/>
      <c r="C61" s="983"/>
      <c r="D61" s="983"/>
      <c r="E61" s="983"/>
      <c r="F61" s="988" t="s">
        <v>1052</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1041</v>
      </c>
      <c r="O62" s="1009">
        <f>SUM(Receivers!J121:J122)</f>
        <v>0</v>
      </c>
      <c r="P62" s="983"/>
      <c r="Q62" s="986"/>
    </row>
    <row r="63" spans="1:17" ht="13">
      <c r="A63" s="982"/>
      <c r="B63" s="983"/>
      <c r="C63" s="983"/>
      <c r="D63" s="983"/>
      <c r="E63" s="1016" t="s">
        <v>881</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1050</v>
      </c>
      <c r="G65" s="1026">
        <f>'Uplink Budget'!B23</f>
        <v>1.4</v>
      </c>
      <c r="H65" s="986"/>
      <c r="I65" s="982"/>
      <c r="J65" s="983"/>
      <c r="K65" s="983"/>
      <c r="L65" s="983"/>
      <c r="M65" s="983"/>
      <c r="N65" s="988" t="s">
        <v>1051</v>
      </c>
      <c r="O65" s="1027">
        <f>Receivers!J126</f>
        <v>0.1759</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67" t="str">
        <f>'Antenna Gain'!F24</f>
        <v>Canted Turnstyle (back)</v>
      </c>
      <c r="C67" s="1067"/>
      <c r="D67" s="983"/>
      <c r="E67" s="983"/>
      <c r="F67" s="1002" t="s">
        <v>1045</v>
      </c>
      <c r="G67" s="1021">
        <f>'Antenna Pointing Losses'!G63</f>
        <v>20</v>
      </c>
      <c r="H67" s="986"/>
      <c r="I67" s="982"/>
      <c r="J67" s="983"/>
      <c r="K67" s="983"/>
      <c r="L67" s="983"/>
      <c r="M67" s="983"/>
      <c r="N67" s="983"/>
      <c r="O67" s="983"/>
      <c r="P67" s="983"/>
      <c r="Q67" s="986"/>
    </row>
    <row r="68" spans="1:17">
      <c r="A68" s="982"/>
      <c r="B68" s="983"/>
      <c r="C68" s="983"/>
      <c r="D68" s="983"/>
      <c r="E68" s="983"/>
      <c r="F68" s="983" t="s">
        <v>715</v>
      </c>
      <c r="G68" s="983"/>
      <c r="H68" s="986"/>
      <c r="I68" s="982"/>
      <c r="J68" s="983"/>
      <c r="K68" s="983"/>
      <c r="L68" s="983"/>
      <c r="M68" s="983"/>
      <c r="N68" s="983"/>
      <c r="O68" s="983"/>
      <c r="P68" s="983"/>
      <c r="Q68" s="986"/>
    </row>
    <row r="69" spans="1:17" ht="15.5">
      <c r="A69" s="982"/>
      <c r="B69" s="983"/>
      <c r="C69" s="983"/>
      <c r="D69" s="983"/>
      <c r="E69" s="983"/>
      <c r="F69" s="988" t="s">
        <v>1053</v>
      </c>
      <c r="G69" s="1025">
        <f>'Uplink Budget'!B19+30</f>
        <v>-104.49387417900098</v>
      </c>
      <c r="H69" s="986"/>
      <c r="I69" s="982"/>
      <c r="J69" s="983"/>
      <c r="K69" s="983"/>
      <c r="L69" s="983"/>
      <c r="M69" s="983"/>
      <c r="N69" s="1024" t="s">
        <v>1048</v>
      </c>
      <c r="O69" s="1020">
        <f>Receivers!J134</f>
        <v>39</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43" t="s">
        <v>1076</v>
      </c>
      <c r="G71" s="1047" t="s">
        <v>1075</v>
      </c>
      <c r="H71" s="986"/>
      <c r="I71" s="982"/>
      <c r="J71" s="983"/>
      <c r="K71" s="983"/>
      <c r="L71" s="983"/>
      <c r="M71" s="983"/>
      <c r="N71" s="1024" t="s">
        <v>1047</v>
      </c>
      <c r="O71" s="989">
        <f>Receivers!F136</f>
        <v>18</v>
      </c>
      <c r="P71" s="983"/>
      <c r="Q71" s="986"/>
    </row>
    <row r="72" spans="1:17" ht="13">
      <c r="A72" s="982"/>
      <c r="B72" s="983"/>
      <c r="C72" s="983"/>
      <c r="D72" s="983"/>
      <c r="E72" s="983"/>
      <c r="F72" s="1044">
        <f>SUM('Uplink Budget'!B13:B18)+'Uplink Budget'!B22</f>
        <v>150.6883401356408</v>
      </c>
      <c r="G72" s="1048">
        <f>Orbit!B34</f>
        <v>10</v>
      </c>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1054</v>
      </c>
      <c r="G74" s="1029">
        <f>'Uplink Budget'!B11+30</f>
        <v>45.894465956639813</v>
      </c>
      <c r="H74" s="986"/>
      <c r="I74" s="982"/>
      <c r="J74" s="983"/>
      <c r="K74" s="983"/>
      <c r="L74" s="983"/>
      <c r="M74" s="983"/>
      <c r="N74" s="983"/>
      <c r="O74" s="983"/>
      <c r="P74" s="983"/>
      <c r="Q74" s="986"/>
    </row>
    <row r="75" spans="1:17">
      <c r="A75" s="982"/>
      <c r="B75" s="1071" t="str">
        <f>'Antenna Gain'!F11</f>
        <v>Crossed Yagi</v>
      </c>
      <c r="C75" s="1071"/>
      <c r="D75" s="983"/>
      <c r="E75" s="983"/>
      <c r="F75" s="983"/>
      <c r="G75" s="983"/>
      <c r="H75" s="986"/>
      <c r="I75" s="982"/>
      <c r="J75" s="983"/>
      <c r="K75" s="983"/>
      <c r="L75" s="983"/>
      <c r="M75" s="983"/>
      <c r="N75" s="983"/>
      <c r="O75" s="983"/>
      <c r="P75" s="983"/>
      <c r="Q75" s="986"/>
    </row>
    <row r="76" spans="1:17">
      <c r="A76" s="982"/>
      <c r="B76" s="983"/>
      <c r="C76" s="983"/>
      <c r="D76" s="983"/>
      <c r="E76" s="983"/>
      <c r="F76" s="988" t="s">
        <v>1055</v>
      </c>
      <c r="G76" s="1026">
        <f>'Uplink Budget'!B10</f>
        <v>15.5</v>
      </c>
      <c r="H76" s="986"/>
      <c r="I76" s="982"/>
      <c r="J76" s="983"/>
      <c r="K76" s="983"/>
      <c r="L76" s="983"/>
      <c r="M76" s="983"/>
      <c r="N76" s="988" t="s">
        <v>1005</v>
      </c>
      <c r="O76" s="1020">
        <f>Receivers!J146</f>
        <v>1556.7070106329561</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1045</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876</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1043</v>
      </c>
      <c r="O81" s="1015">
        <f>Receivers!J149</f>
        <v>559.16806325412506</v>
      </c>
      <c r="P81" s="983"/>
      <c r="Q81" s="986"/>
    </row>
    <row r="82" spans="1:17" ht="15.5">
      <c r="A82" s="982"/>
      <c r="B82" s="983"/>
      <c r="C82" s="983"/>
      <c r="D82" s="983"/>
      <c r="E82" s="983"/>
      <c r="F82" s="1013" t="s">
        <v>1033</v>
      </c>
      <c r="G82" s="1014">
        <f>Transmitters!I45+30</f>
        <v>30.394465956639813</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419</v>
      </c>
      <c r="O83" s="1012">
        <f>'Downlink Budget'!B26</f>
        <v>-12.15132358823846</v>
      </c>
      <c r="P83" s="983"/>
      <c r="Q83" s="986"/>
    </row>
    <row r="84" spans="1:17">
      <c r="A84" s="982"/>
      <c r="B84" s="983"/>
      <c r="C84" s="983"/>
      <c r="D84" s="983"/>
      <c r="E84" s="983"/>
      <c r="F84" s="988" t="s">
        <v>1042</v>
      </c>
      <c r="G84" s="1010">
        <f>Transmitters!I43</f>
        <v>2.6158340000000004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1032</v>
      </c>
      <c r="G87" s="1009">
        <f>Transmitters!I41</f>
        <v>0.54</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1056</v>
      </c>
      <c r="O88" s="1030">
        <f>'Downlink Budget'!B56</f>
        <v>75000</v>
      </c>
      <c r="P88" s="983"/>
      <c r="Q88" s="986"/>
    </row>
    <row r="89" spans="1:17">
      <c r="A89" s="982"/>
      <c r="B89" s="983"/>
      <c r="C89" s="983"/>
      <c r="D89" s="983"/>
      <c r="E89" s="983"/>
      <c r="F89" s="988" t="s">
        <v>1041</v>
      </c>
      <c r="G89" s="1009">
        <f>SUM(Transmitters!I37:I39)</f>
        <v>0.7</v>
      </c>
      <c r="H89" s="986"/>
      <c r="I89" s="982"/>
      <c r="J89" s="983"/>
      <c r="K89" s="983"/>
      <c r="L89" s="983"/>
      <c r="M89" s="983"/>
      <c r="N89" s="1069" t="s">
        <v>427</v>
      </c>
      <c r="O89" s="1069"/>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1040</v>
      </c>
      <c r="G91" s="1009">
        <f>Transmitters!I36</f>
        <v>0.4</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1038</v>
      </c>
      <c r="G93" s="1007">
        <f>Transmitters!I32</f>
        <v>0.97583399999999998</v>
      </c>
      <c r="H93" s="986"/>
      <c r="I93" s="982"/>
      <c r="J93" s="983"/>
      <c r="K93" s="983"/>
      <c r="L93" s="983"/>
      <c r="M93" s="983"/>
      <c r="N93" s="1031" t="s">
        <v>422</v>
      </c>
      <c r="O93" s="1003">
        <f>'Downlink Budget'!B35</f>
        <v>1.0000000000000001E-5</v>
      </c>
      <c r="P93" s="983"/>
      <c r="Q93" s="986"/>
    </row>
    <row r="94" spans="1:17">
      <c r="A94" s="982"/>
      <c r="B94" s="983"/>
      <c r="C94" s="983"/>
      <c r="D94" s="983"/>
      <c r="E94" s="983"/>
      <c r="F94" s="983" t="s">
        <v>715</v>
      </c>
      <c r="G94" s="983"/>
      <c r="H94" s="986"/>
      <c r="I94" s="982"/>
      <c r="J94" s="983"/>
      <c r="K94" s="983"/>
      <c r="L94" s="983"/>
      <c r="M94" s="983"/>
      <c r="N94" s="1065" t="s">
        <v>1031</v>
      </c>
      <c r="O94" s="1066"/>
      <c r="P94" s="983"/>
      <c r="Q94" s="986"/>
    </row>
    <row r="95" spans="1:17">
      <c r="A95" s="982"/>
      <c r="B95" s="983"/>
      <c r="C95" s="983"/>
      <c r="D95" s="983"/>
      <c r="E95" s="983"/>
      <c r="F95" s="983" t="s">
        <v>715</v>
      </c>
      <c r="G95" s="983"/>
      <c r="H95" s="986"/>
      <c r="I95" s="982"/>
      <c r="J95" s="983"/>
      <c r="K95" s="983"/>
      <c r="L95" s="983"/>
      <c r="M95" s="983"/>
      <c r="N95" s="1059" t="str">
        <f>'Downlink Budget'!B32</f>
        <v>GMSK w/ BT=0.3</v>
      </c>
      <c r="O95" s="1060"/>
      <c r="P95" s="983"/>
      <c r="Q95" s="986"/>
    </row>
    <row r="96" spans="1:17">
      <c r="A96" s="982"/>
      <c r="B96" s="983"/>
      <c r="C96" s="983"/>
      <c r="D96" s="983"/>
      <c r="E96" s="983"/>
      <c r="F96" s="983" t="s">
        <v>715</v>
      </c>
      <c r="G96" s="983"/>
      <c r="H96" s="986"/>
      <c r="I96" s="982"/>
      <c r="J96" s="983"/>
      <c r="K96" s="983"/>
      <c r="L96" s="983"/>
      <c r="M96" s="983"/>
      <c r="N96" s="1032" t="s">
        <v>334</v>
      </c>
      <c r="O96" s="1006">
        <f>'Downlink Budget'!B41</f>
        <v>10.9</v>
      </c>
      <c r="P96" s="983"/>
      <c r="Q96" s="986"/>
    </row>
    <row r="97" spans="1:17">
      <c r="A97" s="982"/>
      <c r="B97" s="983"/>
      <c r="C97" s="983"/>
      <c r="D97" s="983"/>
      <c r="E97" s="983"/>
      <c r="F97" s="1013" t="s">
        <v>1059</v>
      </c>
      <c r="G97" s="1037">
        <f>Transmitters!E16</f>
        <v>2</v>
      </c>
      <c r="H97" s="986"/>
      <c r="I97" s="982"/>
      <c r="J97" s="983"/>
      <c r="K97" s="983"/>
      <c r="L97" s="983"/>
      <c r="M97" s="983"/>
      <c r="N97" s="983"/>
      <c r="O97" s="983"/>
      <c r="P97" s="983"/>
      <c r="Q97" s="986"/>
    </row>
    <row r="98" spans="1:17">
      <c r="A98" s="982"/>
      <c r="B98" s="983"/>
      <c r="C98" s="983"/>
      <c r="D98" s="983"/>
      <c r="E98" s="983"/>
      <c r="F98" s="983"/>
      <c r="G98" s="983"/>
      <c r="H98" s="986"/>
      <c r="I98" s="982"/>
      <c r="J98" s="983"/>
      <c r="K98" s="983"/>
      <c r="L98" s="983"/>
      <c r="M98" s="983"/>
      <c r="N98" s="983"/>
      <c r="O98" s="983"/>
      <c r="P98" s="983"/>
      <c r="Q98" s="986"/>
    </row>
    <row r="99" spans="1:17">
      <c r="A99" s="982"/>
      <c r="B99" s="983"/>
      <c r="C99" s="983"/>
      <c r="D99" s="983"/>
      <c r="E99" s="983"/>
      <c r="F99" s="983"/>
      <c r="G99" s="983"/>
      <c r="H99" s="986"/>
      <c r="I99" s="982"/>
      <c r="J99" s="983"/>
      <c r="K99" s="983"/>
      <c r="L99" s="983"/>
      <c r="M99" s="983"/>
      <c r="N99" s="983"/>
      <c r="O99" s="983"/>
      <c r="P99" s="983"/>
      <c r="Q99" s="986"/>
    </row>
    <row r="100" spans="1:17">
      <c r="A100" s="982"/>
      <c r="B100" s="983"/>
      <c r="C100" s="983"/>
      <c r="D100" s="983"/>
      <c r="E100" s="983"/>
      <c r="F100" s="983"/>
      <c r="G100" s="983"/>
      <c r="H100" s="986"/>
      <c r="I100" s="982"/>
      <c r="J100" s="983"/>
      <c r="K100" s="983"/>
      <c r="L100" s="983"/>
      <c r="M100" s="983"/>
      <c r="N100" s="1065" t="s">
        <v>1030</v>
      </c>
      <c r="O100" s="1066"/>
      <c r="P100" s="983"/>
      <c r="Q100" s="986"/>
    </row>
    <row r="101" spans="1:17">
      <c r="A101" s="982"/>
      <c r="B101" s="983"/>
      <c r="C101" s="983"/>
      <c r="D101" s="983"/>
      <c r="E101" s="983"/>
      <c r="F101" s="983"/>
      <c r="G101" s="983"/>
      <c r="H101" s="986"/>
      <c r="I101" s="982"/>
      <c r="J101" s="983"/>
      <c r="K101" s="983"/>
      <c r="L101" s="983"/>
      <c r="M101" s="983"/>
      <c r="N101" s="1059" t="str">
        <f>'Downlink Budget'!B33</f>
        <v>None</v>
      </c>
      <c r="O101" s="1060"/>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65" t="s">
        <v>1027</v>
      </c>
      <c r="G103" s="1066"/>
      <c r="H103" s="986"/>
      <c r="I103" s="982"/>
      <c r="J103" s="983"/>
      <c r="K103" s="983"/>
      <c r="L103" s="983"/>
      <c r="M103" s="983"/>
      <c r="N103" s="983"/>
      <c r="O103" s="983"/>
      <c r="P103" s="983"/>
      <c r="Q103" s="986"/>
    </row>
    <row r="104" spans="1:17">
      <c r="A104" s="982"/>
      <c r="B104" s="983"/>
      <c r="C104" s="983"/>
      <c r="D104" s="983"/>
      <c r="E104" s="983"/>
      <c r="F104" s="1059" t="str">
        <f>'Uplink Budget'!B32</f>
        <v>GMSK w/ BT=0.3</v>
      </c>
      <c r="G104" s="1060"/>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1026</v>
      </c>
      <c r="L105" s="1030">
        <f>'Downlink Budget'!B28</f>
        <v>50000</v>
      </c>
      <c r="M105" s="983"/>
      <c r="N105" s="983"/>
      <c r="O105" s="983" t="s">
        <v>715</v>
      </c>
      <c r="P105" s="983" t="s">
        <v>715</v>
      </c>
      <c r="Q105" s="986"/>
    </row>
    <row r="106" spans="1:17" ht="13" thickBot="1">
      <c r="A106" s="982"/>
      <c r="B106" s="983"/>
      <c r="C106" s="983"/>
      <c r="D106" s="983"/>
      <c r="E106" s="983"/>
      <c r="F106" s="1065" t="s">
        <v>1029</v>
      </c>
      <c r="G106" s="1066"/>
      <c r="H106" s="986"/>
      <c r="I106" s="982"/>
      <c r="J106" s="983"/>
      <c r="K106" s="983"/>
      <c r="L106" s="983"/>
      <c r="M106" s="983"/>
      <c r="N106" s="983"/>
      <c r="O106" s="983"/>
      <c r="P106" s="983"/>
      <c r="Q106" s="986"/>
    </row>
    <row r="107" spans="1:17" ht="13.5" thickBot="1">
      <c r="A107" s="982"/>
      <c r="B107" s="983"/>
      <c r="C107" s="983"/>
      <c r="D107" s="983"/>
      <c r="E107" s="983"/>
      <c r="F107" s="1059" t="str">
        <f>'Uplink Budget'!B33</f>
        <v>None</v>
      </c>
      <c r="G107" s="1060"/>
      <c r="H107" s="986"/>
      <c r="I107" s="1072" t="s">
        <v>1057</v>
      </c>
      <c r="J107" s="1073"/>
      <c r="K107" s="988" t="s">
        <v>1058</v>
      </c>
      <c r="L107" s="989">
        <f>'Downlink Budget'!B30</f>
        <v>19.347076232760543</v>
      </c>
      <c r="M107" s="983"/>
      <c r="N107" s="1033" t="s">
        <v>418</v>
      </c>
      <c r="O107" s="991">
        <f>'Downlink Budget'!B43</f>
        <v>8.4470762327605424</v>
      </c>
      <c r="P107" s="992" t="str">
        <f>IF(O107&lt;0,"NO LINK !",IF(O107&lt;6,"MARGINAL LINK",IF(O107&gt;6,"LINK CLOSES")))</f>
        <v>LINK CLOSES</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417</v>
      </c>
      <c r="D109" s="993">
        <f>'Uplink Budget'!B28</f>
        <v>100000</v>
      </c>
      <c r="E109" s="983"/>
      <c r="F109" s="983"/>
      <c r="G109" s="983"/>
      <c r="H109" s="986"/>
      <c r="I109" s="1072" t="s">
        <v>421</v>
      </c>
      <c r="J109" s="1073"/>
      <c r="K109" s="988" t="s">
        <v>1028</v>
      </c>
      <c r="L109" s="989">
        <f>'Downlink Budget'!B60</f>
        <v>17.586163642203701</v>
      </c>
      <c r="M109" s="983"/>
      <c r="N109" s="1033" t="s">
        <v>429</v>
      </c>
      <c r="O109" s="991">
        <f>'Downlink Budget'!B64</f>
        <v>6.6861636422037005</v>
      </c>
      <c r="P109" s="992" t="str">
        <f>IF(O109&lt;0,"NO LINK !",IF(O109&lt;6,"MARGINAL LINK",IF(O109&gt;6,"LINK CLOSES")))</f>
        <v>LINK CLOSES</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c r="A111" s="982"/>
      <c r="B111" s="983"/>
      <c r="C111" s="983"/>
      <c r="D111" s="983"/>
      <c r="E111" s="983"/>
      <c r="F111" s="983"/>
      <c r="G111" s="983"/>
      <c r="H111" s="986"/>
      <c r="I111" s="983"/>
      <c r="J111" s="983"/>
      <c r="K111" s="983"/>
      <c r="L111" s="983"/>
      <c r="M111" s="983"/>
      <c r="N111" s="983"/>
      <c r="O111" s="983" t="s">
        <v>715</v>
      </c>
      <c r="P111" s="983"/>
      <c r="Q111" s="986"/>
    </row>
    <row r="112" spans="1:17" ht="13" thickBot="1">
      <c r="A112" s="1034"/>
      <c r="B112" s="1035"/>
      <c r="C112" s="1035"/>
      <c r="D112" s="1035"/>
      <c r="E112" s="1035"/>
      <c r="F112" s="1035"/>
      <c r="G112" s="1035"/>
      <c r="H112" s="1036"/>
      <c r="I112" s="1035"/>
      <c r="J112" s="1035"/>
      <c r="K112" s="1035"/>
      <c r="L112" s="1035"/>
      <c r="M112" s="1035"/>
      <c r="N112" s="1035"/>
      <c r="O112" s="1035"/>
      <c r="P112" s="1035"/>
      <c r="Q112" s="1036"/>
    </row>
  </sheetData>
  <mergeCells count="28">
    <mergeCell ref="B75:C75"/>
    <mergeCell ref="N89:O89"/>
    <mergeCell ref="N94:O94"/>
    <mergeCell ref="I109:J109"/>
    <mergeCell ref="N100:O100"/>
    <mergeCell ref="N101:O101"/>
    <mergeCell ref="F103:G103"/>
    <mergeCell ref="F104:G104"/>
    <mergeCell ref="F106:G106"/>
    <mergeCell ref="F107:G107"/>
    <mergeCell ref="I107:J107"/>
    <mergeCell ref="N95:O95"/>
    <mergeCell ref="B67:C67"/>
    <mergeCell ref="N9:O9"/>
    <mergeCell ref="N10:O10"/>
    <mergeCell ref="F13:G13"/>
    <mergeCell ref="F14:G14"/>
    <mergeCell ref="F19:G19"/>
    <mergeCell ref="F20:G20"/>
    <mergeCell ref="F26:G26"/>
    <mergeCell ref="J40:K40"/>
    <mergeCell ref="J49:K49"/>
    <mergeCell ref="N7:O7"/>
    <mergeCell ref="B2:C2"/>
    <mergeCell ref="J2:K2"/>
    <mergeCell ref="B3:C3"/>
    <mergeCell ref="J3:K3"/>
    <mergeCell ref="N6:O6"/>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934</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934</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934</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September 8</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67" zoomScale="150" zoomScaleNormal="150" workbookViewId="0">
      <selection activeCell="H101" sqref="H101"/>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 - CS0</v>
      </c>
      <c r="K1" s="127"/>
      <c r="L1" s="127"/>
      <c r="M1" s="610" t="str">
        <f>'Title Page'!F23</f>
        <v>2019 September 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935</v>
      </c>
      <c r="C150" s="888">
        <v>42663</v>
      </c>
      <c r="D150" s="607" t="s">
        <v>937</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 - CS0</v>
      </c>
      <c r="F1" s="24"/>
      <c r="G1" s="51" t="s">
        <v>715</v>
      </c>
      <c r="H1" s="24"/>
      <c r="I1" s="51" t="str">
        <f>'Title Page'!F23</f>
        <v>2019 September 8</v>
      </c>
      <c r="J1" s="51"/>
      <c r="K1" s="51" t="str">
        <f>'Title Page'!G1</f>
        <v xml:space="preserve"> Version: 2.5.5</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19.347076232760543</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20.316582489289829</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zoomScale="120" zoomScaleNormal="120" workbookViewId="0">
      <selection activeCell="I4" sqref="I4"/>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8</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984</v>
      </c>
      <c r="D16" s="331"/>
      <c r="E16" s="342">
        <v>2</v>
      </c>
      <c r="F16" s="331" t="s">
        <v>160</v>
      </c>
      <c r="G16" s="402">
        <f>10*LOG10(E16)</f>
        <v>3.0102999566398121</v>
      </c>
      <c r="H16" s="331" t="s">
        <v>161</v>
      </c>
      <c r="I16" s="328">
        <f>G16+30</f>
        <v>33.010299956639813</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952</v>
      </c>
      <c r="F19" s="902"/>
      <c r="G19" s="331"/>
      <c r="H19" s="331"/>
      <c r="I19" s="342">
        <v>0.3</v>
      </c>
      <c r="J19" s="331" t="s">
        <v>755</v>
      </c>
      <c r="K19" s="323"/>
      <c r="L19" s="3"/>
      <c r="M19" s="3"/>
      <c r="N19" s="3"/>
      <c r="O19" s="3"/>
      <c r="P19" s="3"/>
    </row>
    <row r="20" spans="1:16">
      <c r="A20" s="3"/>
      <c r="B20" s="3"/>
      <c r="C20" s="330"/>
      <c r="D20" s="901" t="s">
        <v>178</v>
      </c>
      <c r="E20" s="459" t="s">
        <v>952</v>
      </c>
      <c r="F20" s="902"/>
      <c r="G20" s="331"/>
      <c r="H20" s="331"/>
      <c r="I20" s="342">
        <v>0.61</v>
      </c>
      <c r="J20" s="331" t="s">
        <v>755</v>
      </c>
      <c r="K20" s="323"/>
      <c r="L20" s="3"/>
      <c r="M20" s="3"/>
      <c r="N20" s="3"/>
      <c r="O20" s="3"/>
      <c r="P20" s="3"/>
    </row>
    <row r="21" spans="1:16">
      <c r="A21" s="3"/>
      <c r="B21" s="3"/>
      <c r="C21" s="330"/>
      <c r="D21" s="901" t="s">
        <v>179</v>
      </c>
      <c r="E21" s="459" t="s">
        <v>956</v>
      </c>
      <c r="F21" s="902"/>
      <c r="G21" s="331"/>
      <c r="H21" s="331"/>
      <c r="I21" s="342">
        <v>8.26</v>
      </c>
      <c r="J21" s="331" t="s">
        <v>755</v>
      </c>
      <c r="K21" s="323"/>
      <c r="L21" s="3"/>
      <c r="M21" s="3"/>
      <c r="N21" s="3"/>
      <c r="O21" s="3"/>
      <c r="P21" s="3"/>
    </row>
    <row r="22" spans="1:16">
      <c r="A22" s="3"/>
      <c r="B22" s="3"/>
      <c r="C22" s="330"/>
      <c r="D22" s="916" t="s">
        <v>988</v>
      </c>
      <c r="E22" s="459" t="s">
        <v>956</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990</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947</v>
      </c>
      <c r="E26" s="331"/>
      <c r="F26" s="331"/>
      <c r="G26" s="331"/>
      <c r="H26" s="331"/>
      <c r="I26" s="331"/>
      <c r="J26" s="331"/>
      <c r="K26" s="323"/>
      <c r="L26" s="3"/>
      <c r="M26" s="3"/>
      <c r="N26" s="3"/>
      <c r="O26" s="3"/>
      <c r="P26" s="3"/>
    </row>
    <row r="27" spans="1:16">
      <c r="A27" s="3"/>
      <c r="B27" s="3"/>
      <c r="C27" s="330"/>
      <c r="D27" s="331" t="s">
        <v>948</v>
      </c>
      <c r="E27" s="907">
        <v>0.3</v>
      </c>
      <c r="F27" s="908" t="s">
        <v>958</v>
      </c>
      <c r="G27" s="631">
        <f>Frequency!$M$10</f>
        <v>436.5</v>
      </c>
      <c r="H27" s="331" t="s">
        <v>172</v>
      </c>
      <c r="I27" s="971">
        <f>I19*E27</f>
        <v>0.09</v>
      </c>
      <c r="J27" s="331" t="s">
        <v>757</v>
      </c>
      <c r="K27" s="323"/>
      <c r="L27" s="3"/>
      <c r="M27" s="3"/>
      <c r="N27" s="3"/>
      <c r="O27" s="3"/>
      <c r="P27" s="3"/>
    </row>
    <row r="28" spans="1:16">
      <c r="A28" s="3"/>
      <c r="B28" s="3"/>
      <c r="C28" s="330"/>
      <c r="D28" s="900" t="s">
        <v>949</v>
      </c>
      <c r="E28" s="907">
        <v>0.3</v>
      </c>
      <c r="F28" s="908" t="s">
        <v>958</v>
      </c>
      <c r="G28" s="631">
        <f>Frequency!$M$10</f>
        <v>436.5</v>
      </c>
      <c r="H28" s="331" t="s">
        <v>172</v>
      </c>
      <c r="I28" s="971">
        <f>I20*E28</f>
        <v>0.183</v>
      </c>
      <c r="J28" s="331" t="s">
        <v>757</v>
      </c>
      <c r="K28" s="323"/>
      <c r="L28" s="3"/>
      <c r="M28" s="3"/>
      <c r="N28" s="3"/>
      <c r="O28" s="3"/>
      <c r="P28" s="3"/>
    </row>
    <row r="29" spans="1:16">
      <c r="A29" s="3"/>
      <c r="B29" s="3"/>
      <c r="C29" s="330"/>
      <c r="D29" s="900" t="s">
        <v>950</v>
      </c>
      <c r="E29" s="907">
        <v>7.5899999999999995E-2</v>
      </c>
      <c r="F29" s="908" t="s">
        <v>958</v>
      </c>
      <c r="G29" s="631">
        <f>Frequency!$M$10</f>
        <v>436.5</v>
      </c>
      <c r="H29" s="331" t="s">
        <v>172</v>
      </c>
      <c r="I29" s="971">
        <f>I21*E29</f>
        <v>0.62693399999999999</v>
      </c>
      <c r="J29" s="331" t="s">
        <v>757</v>
      </c>
      <c r="K29" s="323"/>
      <c r="L29" s="3"/>
      <c r="M29" s="3"/>
      <c r="N29" s="3"/>
      <c r="O29" s="3"/>
      <c r="P29" s="3"/>
    </row>
    <row r="30" spans="1:16">
      <c r="A30" s="3"/>
      <c r="B30" s="3"/>
      <c r="C30" s="330"/>
      <c r="D30" s="915" t="s">
        <v>989</v>
      </c>
      <c r="E30" s="907">
        <v>7.5899999999999995E-2</v>
      </c>
      <c r="F30" s="908" t="s">
        <v>958</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991</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957</v>
      </c>
      <c r="G36" s="331"/>
      <c r="H36" s="331"/>
      <c r="I36" s="904">
        <f>E36*0.05</f>
        <v>0.4</v>
      </c>
      <c r="J36" s="331" t="s">
        <v>757</v>
      </c>
      <c r="K36" s="323"/>
      <c r="L36" s="79"/>
      <c r="M36" s="3"/>
      <c r="N36" s="3"/>
      <c r="O36" s="3"/>
      <c r="P36" s="3"/>
    </row>
    <row r="37" spans="1:16">
      <c r="A37" s="3"/>
      <c r="B37" s="3"/>
      <c r="C37" s="330"/>
      <c r="D37" s="331" t="s">
        <v>171</v>
      </c>
      <c r="E37" s="334" t="s">
        <v>183</v>
      </c>
      <c r="F37" s="459" t="s">
        <v>955</v>
      </c>
      <c r="G37" s="366"/>
      <c r="H37" s="331"/>
      <c r="I37" s="342">
        <v>0.1</v>
      </c>
      <c r="J37" s="331" t="s">
        <v>757</v>
      </c>
      <c r="K37" s="913" t="s">
        <v>985</v>
      </c>
      <c r="L37" s="3"/>
      <c r="M37" s="3"/>
      <c r="N37" s="3"/>
      <c r="O37" s="3"/>
      <c r="P37" s="3"/>
    </row>
    <row r="38" spans="1:16">
      <c r="A38" s="3"/>
      <c r="B38" s="3"/>
      <c r="C38" s="330"/>
      <c r="D38" s="331" t="s">
        <v>171</v>
      </c>
      <c r="E38" s="334" t="s">
        <v>183</v>
      </c>
      <c r="F38" s="459" t="s">
        <v>972</v>
      </c>
      <c r="G38" s="366"/>
      <c r="H38" s="331"/>
      <c r="I38" s="128">
        <v>0.1</v>
      </c>
      <c r="J38" s="331" t="s">
        <v>757</v>
      </c>
      <c r="K38" s="913"/>
      <c r="L38" s="3"/>
      <c r="M38" s="3"/>
      <c r="N38" s="3"/>
      <c r="O38" s="3"/>
      <c r="P38" s="3"/>
    </row>
    <row r="39" spans="1:16">
      <c r="A39" s="3"/>
      <c r="B39" s="3"/>
      <c r="C39" s="330"/>
      <c r="D39" s="331" t="s">
        <v>171</v>
      </c>
      <c r="E39" s="334" t="s">
        <v>183</v>
      </c>
      <c r="F39" s="459" t="s">
        <v>983</v>
      </c>
      <c r="G39" s="366"/>
      <c r="H39" s="331"/>
      <c r="I39" s="342">
        <v>0.5</v>
      </c>
      <c r="J39" s="331" t="s">
        <v>757</v>
      </c>
      <c r="K39" s="913" t="s">
        <v>982</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1066</v>
      </c>
      <c r="L41" s="3"/>
      <c r="M41" s="3"/>
      <c r="N41" s="3"/>
      <c r="O41" s="3"/>
      <c r="P41" s="3"/>
    </row>
    <row r="42" spans="1:16">
      <c r="A42" s="3"/>
      <c r="B42" s="3"/>
      <c r="C42" s="330"/>
      <c r="D42" s="331"/>
      <c r="E42" s="331"/>
      <c r="F42" s="331"/>
      <c r="G42" s="331"/>
      <c r="H42" s="331"/>
      <c r="I42" s="332"/>
      <c r="J42" s="331"/>
      <c r="K42" s="924" t="s">
        <v>1069</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0.39446595663981165</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55" t="s">
        <v>992</v>
      </c>
      <c r="D52" s="1056"/>
      <c r="E52" s="1056"/>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984</v>
      </c>
      <c r="D60" s="141"/>
      <c r="E60" s="128">
        <v>1</v>
      </c>
      <c r="F60" s="141" t="s">
        <v>160</v>
      </c>
      <c r="G60" s="402">
        <f>10*LOG10(E60)</f>
        <v>0</v>
      </c>
      <c r="H60" s="141" t="s">
        <v>161</v>
      </c>
      <c r="I60" s="328">
        <f>G60+30</f>
        <v>30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993</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953</v>
      </c>
      <c r="E69" s="141"/>
      <c r="F69" s="141"/>
      <c r="G69" s="141"/>
      <c r="H69" s="141"/>
      <c r="I69" s="634"/>
      <c r="J69" s="141"/>
      <c r="K69" s="182"/>
      <c r="L69" s="3"/>
      <c r="M69" s="3"/>
      <c r="N69" s="3"/>
      <c r="O69" s="3"/>
      <c r="P69" s="3"/>
    </row>
    <row r="70" spans="1:16">
      <c r="A70" s="3"/>
      <c r="B70" s="3"/>
      <c r="C70" s="177"/>
      <c r="D70" s="141" t="s">
        <v>948</v>
      </c>
      <c r="E70" s="919">
        <v>1.26</v>
      </c>
      <c r="F70" s="192" t="s">
        <v>958</v>
      </c>
      <c r="G70" s="407">
        <f>Frequency!$M$16</f>
        <v>436.5</v>
      </c>
      <c r="H70" s="141" t="s">
        <v>172</v>
      </c>
      <c r="I70" s="972">
        <f>I63*E70</f>
        <v>7.5599999999999999E-3</v>
      </c>
      <c r="J70" s="141" t="s">
        <v>757</v>
      </c>
      <c r="K70" s="182"/>
      <c r="L70" s="3"/>
      <c r="M70" s="3"/>
      <c r="N70" s="3"/>
      <c r="O70" s="3"/>
      <c r="P70" s="3"/>
    </row>
    <row r="71" spans="1:16">
      <c r="A71" s="3"/>
      <c r="B71" s="3"/>
      <c r="C71" s="177"/>
      <c r="D71" s="141" t="s">
        <v>949</v>
      </c>
      <c r="E71" s="919"/>
      <c r="F71" s="192" t="s">
        <v>958</v>
      </c>
      <c r="G71" s="407">
        <f>Frequency!$M$16</f>
        <v>436.5</v>
      </c>
      <c r="H71" s="141" t="s">
        <v>172</v>
      </c>
      <c r="I71" s="972">
        <f t="shared" ref="I71:I72" si="0">I64*E71</f>
        <v>0</v>
      </c>
      <c r="J71" s="141" t="s">
        <v>757</v>
      </c>
      <c r="K71" s="182"/>
      <c r="L71" s="3"/>
      <c r="M71" s="3"/>
      <c r="N71" s="3"/>
      <c r="O71" s="3"/>
      <c r="P71" s="3"/>
    </row>
    <row r="72" spans="1:16">
      <c r="A72" s="3"/>
      <c r="B72" s="3"/>
      <c r="C72" s="177"/>
      <c r="D72" s="141" t="s">
        <v>950</v>
      </c>
      <c r="E72" s="919"/>
      <c r="F72" s="192" t="s">
        <v>958</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951</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1067</v>
      </c>
      <c r="G78" s="141"/>
      <c r="H78" s="141"/>
      <c r="I78" s="903">
        <f>E78*0.066</f>
        <v>0.39600000000000002</v>
      </c>
      <c r="J78" s="141" t="s">
        <v>757</v>
      </c>
      <c r="K78" s="1041" t="s">
        <v>1068</v>
      </c>
      <c r="L78" s="3"/>
      <c r="M78" s="3"/>
      <c r="N78" s="3"/>
      <c r="O78" s="3"/>
      <c r="P78" s="3"/>
    </row>
    <row r="79" spans="1:16">
      <c r="A79" s="3"/>
      <c r="B79" s="3"/>
      <c r="C79" s="177"/>
      <c r="D79" s="141" t="s">
        <v>171</v>
      </c>
      <c r="E79" s="142" t="s">
        <v>183</v>
      </c>
      <c r="F79" s="891" t="s">
        <v>954</v>
      </c>
      <c r="G79" s="366"/>
      <c r="H79" s="141"/>
      <c r="I79" s="128">
        <v>0.18</v>
      </c>
      <c r="J79" s="141" t="s">
        <v>757</v>
      </c>
      <c r="K79" s="182"/>
      <c r="L79" s="3"/>
      <c r="M79" s="3"/>
      <c r="N79" s="3"/>
      <c r="O79" s="3"/>
      <c r="P79" s="3"/>
    </row>
    <row r="80" spans="1:16">
      <c r="A80" s="3"/>
      <c r="B80" s="3"/>
      <c r="C80" s="177"/>
      <c r="D80" s="141" t="s">
        <v>171</v>
      </c>
      <c r="E80" s="142" t="s">
        <v>183</v>
      </c>
      <c r="F80" s="891" t="s">
        <v>955</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1" t="s">
        <v>1072</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-0.82356000000000007</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zoomScale="120" zoomScaleNormal="120" workbookViewId="0">
      <selection activeCell="I4" sqref="I4"/>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57" t="s">
        <v>992</v>
      </c>
      <c r="D8" s="1058"/>
      <c r="E8" s="1058"/>
      <c r="F8" s="1058"/>
      <c r="G8" s="1058"/>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994</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995</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996</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997</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998</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999</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1000</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1001</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1002</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1003</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1004</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993</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953</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948</v>
      </c>
      <c r="F43" s="331"/>
      <c r="G43" s="331"/>
      <c r="H43" s="919">
        <v>1.26</v>
      </c>
      <c r="I43" s="908" t="s">
        <v>958</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949</v>
      </c>
      <c r="F44" s="331"/>
      <c r="G44" s="331"/>
      <c r="H44" s="919"/>
      <c r="I44" s="908" t="s">
        <v>958</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950</v>
      </c>
      <c r="F45" s="331"/>
      <c r="G45" s="331"/>
      <c r="H45" s="919"/>
      <c r="I45" s="908" t="s">
        <v>958</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1006</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1007</v>
      </c>
      <c r="R49" s="297"/>
      <c r="S49" s="297"/>
      <c r="T49" s="684" t="s">
        <v>1008</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977</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978</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1009</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1070</v>
      </c>
      <c r="J53" s="911">
        <f>H53*0.066</f>
        <v>0.39600000000000002</v>
      </c>
      <c r="K53" s="331" t="s">
        <v>757</v>
      </c>
      <c r="L53" s="331"/>
      <c r="M53" s="924" t="s">
        <v>1068</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1010</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975</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960</v>
      </c>
      <c r="P61" s="932" t="s">
        <v>961</v>
      </c>
      <c r="Q61" s="933"/>
      <c r="R61" s="931" t="s">
        <v>962</v>
      </c>
      <c r="S61" s="931" t="s">
        <v>963</v>
      </c>
      <c r="T61" s="931"/>
      <c r="U61" s="931" t="s">
        <v>964</v>
      </c>
      <c r="V61" s="931" t="s">
        <v>965</v>
      </c>
      <c r="W61" s="931" t="s">
        <v>966</v>
      </c>
      <c r="X61" s="931" t="s">
        <v>967</v>
      </c>
      <c r="Y61" s="931" t="s">
        <v>968</v>
      </c>
      <c r="Z61" s="931" t="s">
        <v>969</v>
      </c>
      <c r="AA61" s="931" t="s">
        <v>970</v>
      </c>
    </row>
    <row r="62" spans="1:27">
      <c r="A62" s="3"/>
      <c r="B62" s="3"/>
      <c r="C62" s="330"/>
      <c r="D62" s="331"/>
      <c r="E62" s="331"/>
      <c r="F62" s="331"/>
      <c r="G62" s="331"/>
      <c r="H62" s="331"/>
      <c r="I62" s="331"/>
      <c r="J62" s="331"/>
      <c r="K62" s="331"/>
      <c r="L62" s="331"/>
      <c r="M62" s="323"/>
      <c r="N62" s="3"/>
      <c r="O62" s="934">
        <v>1</v>
      </c>
      <c r="P62" s="935" t="s">
        <v>979</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976</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1074</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1005</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971</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994</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1011</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997</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998</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999</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1000</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1012</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1002</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1003</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1004</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956</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953</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948</v>
      </c>
      <c r="F114" s="141"/>
      <c r="G114" s="141"/>
      <c r="H114" s="919">
        <v>7.5899999999999995E-2</v>
      </c>
      <c r="I114" s="192" t="s">
        <v>958</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949</v>
      </c>
      <c r="F115" s="141"/>
      <c r="G115" s="141"/>
      <c r="H115" s="919"/>
      <c r="I115" s="192" t="s">
        <v>958</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950</v>
      </c>
      <c r="F116" s="141"/>
      <c r="G116" s="141"/>
      <c r="H116" s="919"/>
      <c r="I116" s="192" t="s">
        <v>958</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1013</v>
      </c>
      <c r="J118" s="141">
        <f>J109*H114</f>
        <v>7.5899999999999995E-2</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1014</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1015</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1016</v>
      </c>
      <c r="J121" s="909"/>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1017</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2</v>
      </c>
      <c r="I123" s="141" t="s">
        <v>233</v>
      </c>
      <c r="J123" s="912">
        <f>H123*0.05</f>
        <v>0.1</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0.1759</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1018</v>
      </c>
      <c r="J128" s="964">
        <f>10^-(J126/10)</f>
        <v>0.9603067908358236</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1019</v>
      </c>
      <c r="J130" s="965">
        <v>500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1008</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1020</v>
      </c>
      <c r="J134" s="965">
        <v>39</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18</v>
      </c>
      <c r="G136" s="141" t="s">
        <v>757</v>
      </c>
      <c r="H136" s="141"/>
      <c r="I136" s="141" t="s">
        <v>1021</v>
      </c>
      <c r="J136" s="302">
        <f>10^(F136/10)</f>
        <v>63.095734448019364</v>
      </c>
      <c r="K136" s="141"/>
      <c r="L136" s="141"/>
      <c r="M136" s="914" t="s">
        <v>982</v>
      </c>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v>8.26</v>
      </c>
      <c r="K138" s="141" t="s">
        <v>665</v>
      </c>
      <c r="L138" s="141"/>
      <c r="M138" s="182"/>
      <c r="N138" s="3"/>
      <c r="O138" s="925" t="s">
        <v>975</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t="s">
        <v>956</v>
      </c>
      <c r="K140" s="366"/>
      <c r="L140" s="141"/>
      <c r="M140" s="182"/>
      <c r="N140" s="3"/>
      <c r="O140" s="931" t="s">
        <v>960</v>
      </c>
      <c r="P140" s="932" t="s">
        <v>961</v>
      </c>
      <c r="Q140" s="933"/>
      <c r="R140" s="931" t="s">
        <v>962</v>
      </c>
      <c r="S140" s="931" t="s">
        <v>963</v>
      </c>
      <c r="T140" s="931"/>
      <c r="U140" s="931" t="s">
        <v>964</v>
      </c>
      <c r="V140" s="931" t="s">
        <v>965</v>
      </c>
      <c r="W140" s="931" t="s">
        <v>966</v>
      </c>
      <c r="X140" s="931" t="s">
        <v>967</v>
      </c>
      <c r="Y140" s="931" t="s">
        <v>968</v>
      </c>
      <c r="Z140" s="931" t="s">
        <v>969</v>
      </c>
      <c r="AA140" s="931" t="s">
        <v>970</v>
      </c>
    </row>
    <row r="141" spans="1:27">
      <c r="A141" s="3"/>
      <c r="B141" s="3"/>
      <c r="C141" s="177"/>
      <c r="D141" s="141"/>
      <c r="E141" s="141"/>
      <c r="F141" s="967"/>
      <c r="G141" s="141"/>
      <c r="H141" s="141"/>
      <c r="I141" s="141"/>
      <c r="J141" s="302"/>
      <c r="K141" s="141"/>
      <c r="L141" s="141"/>
      <c r="M141" s="182"/>
      <c r="N141" s="3"/>
      <c r="O141" s="934">
        <v>1</v>
      </c>
      <c r="P141" s="935" t="s">
        <v>972</v>
      </c>
      <c r="Q141" s="936"/>
      <c r="R141" s="937">
        <v>-0.1</v>
      </c>
      <c r="S141" s="937">
        <v>0.1</v>
      </c>
      <c r="T141" s="938"/>
      <c r="U141" s="939">
        <f>IF(R141,10^(R141/10), "")</f>
        <v>0.97723722095581067</v>
      </c>
      <c r="V141" s="939">
        <f>IF(S141,10^(S141/10), "")</f>
        <v>1.0232929922807541</v>
      </c>
      <c r="W141" s="939">
        <f>IF(S141,1,"")</f>
        <v>1</v>
      </c>
      <c r="X141" s="938">
        <f>IF(S141,290*(V141-1), "")</f>
        <v>6.7549677614186887</v>
      </c>
      <c r="Y141" s="938">
        <f t="shared" ref="Y141:Y150" si="8">IF(S141,X141/W141, "")</f>
        <v>6.7549677614186887</v>
      </c>
      <c r="Z141" s="939">
        <f>IF(S141,(V141-1)/W141, "")</f>
        <v>2.3292992280754099E-2</v>
      </c>
      <c r="AA141" s="939">
        <f>IF(S141,Z141+1, "")</f>
        <v>1.0232929922807541</v>
      </c>
    </row>
    <row r="142" spans="1:27">
      <c r="A142" s="3"/>
      <c r="B142" s="3"/>
      <c r="C142" s="177"/>
      <c r="D142" s="141" t="s">
        <v>668</v>
      </c>
      <c r="E142" s="141"/>
      <c r="F142" s="967"/>
      <c r="G142" s="141"/>
      <c r="H142" s="141"/>
      <c r="I142" s="141"/>
      <c r="J142" s="968">
        <v>7.5899999999999995E-2</v>
      </c>
      <c r="K142" s="141" t="s">
        <v>1022</v>
      </c>
      <c r="L142" s="141"/>
      <c r="M142" s="182"/>
      <c r="N142" s="3"/>
      <c r="O142" s="934">
        <v>2</v>
      </c>
      <c r="P142" s="940" t="s">
        <v>973</v>
      </c>
      <c r="Q142" s="941"/>
      <c r="R142" s="937">
        <v>-0.4</v>
      </c>
      <c r="S142" s="937">
        <v>0.4</v>
      </c>
      <c r="T142" s="938"/>
      <c r="U142" s="939">
        <f t="shared" ref="U142:V150" si="9">IF(R142,10^(R142/10), "")</f>
        <v>0.91201083935590965</v>
      </c>
      <c r="V142" s="939">
        <f t="shared" si="9"/>
        <v>1.0964781961431851</v>
      </c>
      <c r="W142" s="939">
        <f t="shared" ref="W142:W150" si="10">IF(S142,W141*U141, "")</f>
        <v>0.97723722095581067</v>
      </c>
      <c r="X142" s="938">
        <f t="shared" ref="X142:X150" si="11">IF(S142,290*(V142-1), "")</f>
        <v>27.978676881523675</v>
      </c>
      <c r="Y142" s="938">
        <f t="shared" si="8"/>
        <v>28.630383986150722</v>
      </c>
      <c r="Z142" s="939">
        <f t="shared" ref="Z142:Z150" si="12">IF(S142,(V142-1)/W142, "")</f>
        <v>9.8725462021209381E-2</v>
      </c>
      <c r="AA142" s="939">
        <f>IF(S142, AA141+Z142, "")</f>
        <v>1.1220184543019636</v>
      </c>
    </row>
    <row r="143" spans="1:27">
      <c r="A143" s="3"/>
      <c r="B143" s="3"/>
      <c r="C143" s="177"/>
      <c r="D143" s="141"/>
      <c r="E143" s="141"/>
      <c r="F143" s="967"/>
      <c r="G143" s="141"/>
      <c r="H143" s="141"/>
      <c r="I143" s="141"/>
      <c r="J143" s="302"/>
      <c r="K143" s="141"/>
      <c r="L143" s="141"/>
      <c r="M143" s="182"/>
      <c r="N143" s="3"/>
      <c r="O143" s="934">
        <v>3</v>
      </c>
      <c r="P143" s="940" t="s">
        <v>1063</v>
      </c>
      <c r="Q143" s="941"/>
      <c r="R143" s="937">
        <v>-0.1</v>
      </c>
      <c r="S143" s="937">
        <v>0.1</v>
      </c>
      <c r="T143" s="938"/>
      <c r="U143" s="939">
        <f t="shared" si="9"/>
        <v>0.97723722095581067</v>
      </c>
      <c r="V143" s="939">
        <f t="shared" si="9"/>
        <v>1.0232929922807541</v>
      </c>
      <c r="W143" s="939">
        <f t="shared" si="10"/>
        <v>0.89125093813374545</v>
      </c>
      <c r="X143" s="938">
        <f t="shared" si="11"/>
        <v>6.7549677614186887</v>
      </c>
      <c r="Y143" s="938">
        <f t="shared" si="8"/>
        <v>7.5791984865265922</v>
      </c>
      <c r="Z143" s="939">
        <f t="shared" si="12"/>
        <v>2.6135167194919283E-2</v>
      </c>
      <c r="AA143" s="939">
        <f t="shared" ref="AA143:AA150" si="13">IF(S143, AA142+Z143, "")</f>
        <v>1.1481536214968828</v>
      </c>
    </row>
    <row r="144" spans="1:27">
      <c r="A144" s="3"/>
      <c r="B144" s="3"/>
      <c r="C144" s="177"/>
      <c r="D144" s="141" t="s">
        <v>669</v>
      </c>
      <c r="E144" s="141"/>
      <c r="F144" s="967"/>
      <c r="G144" s="141"/>
      <c r="H144" s="141"/>
      <c r="I144" s="141"/>
      <c r="J144" s="969">
        <f>J138*J142</f>
        <v>0.62693399999999999</v>
      </c>
      <c r="K144" s="141" t="s">
        <v>757</v>
      </c>
      <c r="L144" s="141"/>
      <c r="M144" s="182"/>
      <c r="N144" s="3"/>
      <c r="O144" s="934">
        <v>4</v>
      </c>
      <c r="P144" s="940" t="s">
        <v>980</v>
      </c>
      <c r="Q144" s="941"/>
      <c r="R144" s="937">
        <v>-0.1</v>
      </c>
      <c r="S144" s="937">
        <v>0.1</v>
      </c>
      <c r="T144" s="938"/>
      <c r="U144" s="939">
        <f t="shared" si="9"/>
        <v>0.97723722095581067</v>
      </c>
      <c r="V144" s="939">
        <f t="shared" si="9"/>
        <v>1.0232929922807541</v>
      </c>
      <c r="W144" s="939">
        <f t="shared" si="10"/>
        <v>0.87096358995608059</v>
      </c>
      <c r="X144" s="938">
        <f t="shared" si="11"/>
        <v>6.7549677614186887</v>
      </c>
      <c r="Y144" s="938">
        <f t="shared" si="8"/>
        <v>7.7557406983675587</v>
      </c>
      <c r="Z144" s="939">
        <f t="shared" si="12"/>
        <v>2.6743933442646754E-2</v>
      </c>
      <c r="AA144" s="939">
        <f t="shared" si="13"/>
        <v>1.1748975549395295</v>
      </c>
    </row>
    <row r="145" spans="1:27">
      <c r="A145" s="3"/>
      <c r="B145" s="3"/>
      <c r="C145" s="177"/>
      <c r="D145" s="141"/>
      <c r="E145" s="141"/>
      <c r="F145" s="141"/>
      <c r="G145" s="141"/>
      <c r="H145" s="141"/>
      <c r="I145" s="141"/>
      <c r="J145" s="141"/>
      <c r="K145" s="141"/>
      <c r="L145" s="141"/>
      <c r="M145" s="182"/>
      <c r="N145" s="3"/>
      <c r="O145" s="934">
        <v>5</v>
      </c>
      <c r="P145" s="940" t="s">
        <v>981</v>
      </c>
      <c r="Q145" s="941"/>
      <c r="R145" s="937">
        <v>-0.8</v>
      </c>
      <c r="S145" s="937">
        <v>0.8</v>
      </c>
      <c r="T145" s="938"/>
      <c r="U145" s="939">
        <f t="shared" si="9"/>
        <v>0.83176377110267097</v>
      </c>
      <c r="V145" s="939">
        <f t="shared" si="9"/>
        <v>1.2022644346174129</v>
      </c>
      <c r="W145" s="939">
        <f t="shared" si="10"/>
        <v>0.85113803820237643</v>
      </c>
      <c r="X145" s="938">
        <f t="shared" si="11"/>
        <v>58.656686039049752</v>
      </c>
      <c r="Y145" s="938">
        <f t="shared" si="8"/>
        <v>68.915597008135194</v>
      </c>
      <c r="Z145" s="939">
        <f t="shared" si="12"/>
        <v>0.23763998968322481</v>
      </c>
      <c r="AA145" s="939">
        <f t="shared" si="13"/>
        <v>1.4125375446227544</v>
      </c>
    </row>
    <row r="146" spans="1:27" ht="13">
      <c r="A146" s="3"/>
      <c r="B146" s="3"/>
      <c r="C146" s="177"/>
      <c r="D146" s="141" t="s">
        <v>108</v>
      </c>
      <c r="E146" s="141"/>
      <c r="F146" s="141"/>
      <c r="G146" s="141"/>
      <c r="H146" s="141"/>
      <c r="I146" s="141" t="s">
        <v>1005</v>
      </c>
      <c r="J146" s="374">
        <f>Y152</f>
        <v>1556.7070106329561</v>
      </c>
      <c r="K146" s="141" t="s">
        <v>785</v>
      </c>
      <c r="L146" s="141"/>
      <c r="M146" s="182"/>
      <c r="N146" s="3"/>
      <c r="O146" s="934">
        <v>8</v>
      </c>
      <c r="P146" s="940" t="s">
        <v>1065</v>
      </c>
      <c r="Q146" s="941"/>
      <c r="R146" s="937">
        <v>-0.14000000000000001</v>
      </c>
      <c r="S146" s="937">
        <v>0.14000000000000001</v>
      </c>
      <c r="T146" s="938"/>
      <c r="U146" s="939">
        <f t="shared" si="9"/>
        <v>0.96827785626124918</v>
      </c>
      <c r="V146" s="939">
        <f t="shared" si="9"/>
        <v>1.0327614057613974</v>
      </c>
      <c r="W146" s="939">
        <f t="shared" si="10"/>
        <v>0.7079457843841378</v>
      </c>
      <c r="X146" s="938">
        <f t="shared" si="11"/>
        <v>9.5008076708052496</v>
      </c>
      <c r="Y146" s="938">
        <f t="shared" si="8"/>
        <v>13.420247539252278</v>
      </c>
      <c r="Z146" s="939">
        <f t="shared" si="12"/>
        <v>4.6276715652594065E-2</v>
      </c>
      <c r="AA146" s="939">
        <f t="shared" si="13"/>
        <v>1.4588142602753484</v>
      </c>
    </row>
    <row r="147" spans="1:27">
      <c r="A147" s="3"/>
      <c r="B147" s="3"/>
      <c r="C147" s="177"/>
      <c r="D147" s="141"/>
      <c r="E147" s="141"/>
      <c r="F147" s="141"/>
      <c r="G147" s="141"/>
      <c r="H147" s="141"/>
      <c r="I147" s="141"/>
      <c r="J147" s="141"/>
      <c r="K147" s="141"/>
      <c r="L147" s="141"/>
      <c r="M147" s="182"/>
      <c r="N147" s="3"/>
      <c r="O147" s="934">
        <v>9</v>
      </c>
      <c r="P147" s="940" t="s">
        <v>1064</v>
      </c>
      <c r="Q147" s="941"/>
      <c r="R147" s="937">
        <v>-0.1</v>
      </c>
      <c r="S147" s="937">
        <v>0.1</v>
      </c>
      <c r="T147" s="938"/>
      <c r="U147" s="939">
        <f t="shared" si="9"/>
        <v>0.97723722095581067</v>
      </c>
      <c r="V147" s="939">
        <f t="shared" si="9"/>
        <v>1.0232929922807541</v>
      </c>
      <c r="W147" s="939">
        <f t="shared" si="10"/>
        <v>0.6854882264526615</v>
      </c>
      <c r="X147" s="938">
        <f t="shared" si="11"/>
        <v>6.7549677614186887</v>
      </c>
      <c r="Y147" s="938">
        <f t="shared" si="8"/>
        <v>9.8542432980578312</v>
      </c>
      <c r="Z147" s="939">
        <f t="shared" si="12"/>
        <v>3.3980149303647691E-2</v>
      </c>
      <c r="AA147" s="939">
        <f t="shared" si="13"/>
        <v>1.4927944095789962</v>
      </c>
    </row>
    <row r="148" spans="1:27" ht="13">
      <c r="A148" s="3"/>
      <c r="B148" s="3"/>
      <c r="C148" s="177"/>
      <c r="D148" s="141"/>
      <c r="E148" s="141"/>
      <c r="F148" s="141"/>
      <c r="G148" s="141"/>
      <c r="H148" s="141"/>
      <c r="I148" s="141"/>
      <c r="J148" s="141"/>
      <c r="K148" s="141"/>
      <c r="L148" s="364"/>
      <c r="M148" s="182"/>
      <c r="N148" s="3"/>
      <c r="O148" s="934">
        <v>10</v>
      </c>
      <c r="P148" s="940" t="s">
        <v>973</v>
      </c>
      <c r="Q148" s="941"/>
      <c r="R148" s="937">
        <v>-0.3</v>
      </c>
      <c r="S148" s="937">
        <v>0.3</v>
      </c>
      <c r="T148" s="938"/>
      <c r="U148" s="939">
        <f t="shared" si="9"/>
        <v>0.93325430079699101</v>
      </c>
      <c r="V148" s="939">
        <f t="shared" si="9"/>
        <v>1.0715193052376064</v>
      </c>
      <c r="W148" s="939">
        <f t="shared" si="10"/>
        <v>0.66988460941652639</v>
      </c>
      <c r="X148" s="938">
        <f t="shared" si="11"/>
        <v>20.740598518905859</v>
      </c>
      <c r="Y148" s="938">
        <f t="shared" si="8"/>
        <v>30.961449520345074</v>
      </c>
      <c r="Z148" s="939">
        <f t="shared" si="12"/>
        <v>0.10676361903567268</v>
      </c>
      <c r="AA148" s="939">
        <f t="shared" si="13"/>
        <v>1.5995580286146689</v>
      </c>
    </row>
    <row r="149" spans="1:27" ht="13">
      <c r="A149" s="3"/>
      <c r="B149" s="3"/>
      <c r="C149" s="177"/>
      <c r="D149" s="141" t="s">
        <v>226</v>
      </c>
      <c r="E149" s="141"/>
      <c r="F149" s="141"/>
      <c r="G149" s="141"/>
      <c r="H149" s="141"/>
      <c r="I149" s="141" t="s">
        <v>1023</v>
      </c>
      <c r="J149" s="374">
        <f>J130*J128+J132*(1-J128)+J134+(J146/(J136/(10^(J144/10))))</f>
        <v>559.16806325412506</v>
      </c>
      <c r="K149" s="141" t="s">
        <v>785</v>
      </c>
      <c r="L149" s="141"/>
      <c r="M149" s="182"/>
      <c r="N149" s="3"/>
      <c r="O149" s="934">
        <v>11</v>
      </c>
      <c r="P149" s="940" t="s">
        <v>974</v>
      </c>
      <c r="Q149" s="941"/>
      <c r="R149" s="937"/>
      <c r="S149" s="937">
        <v>6</v>
      </c>
      <c r="T149" s="938"/>
      <c r="U149" s="939" t="str">
        <f t="shared" si="9"/>
        <v/>
      </c>
      <c r="V149" s="939">
        <f t="shared" si="9"/>
        <v>3.9810717055349727</v>
      </c>
      <c r="W149" s="939">
        <f t="shared" si="10"/>
        <v>0.62517269277568577</v>
      </c>
      <c r="X149" s="938">
        <f t="shared" si="11"/>
        <v>864.51079460514211</v>
      </c>
      <c r="Y149" s="938">
        <f t="shared" si="8"/>
        <v>1382.835182334702</v>
      </c>
      <c r="Z149" s="939">
        <f t="shared" si="12"/>
        <v>4.7683971804644898</v>
      </c>
      <c r="AA149" s="939">
        <f t="shared" si="13"/>
        <v>6.3679552090791587</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971</v>
      </c>
      <c r="Y152" s="957">
        <f>SUM(Y141:Y150)</f>
        <v>1556.7070106329561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zoomScale="120" zoomScaleNormal="120" workbookViewId="0">
      <selection activeCell="E3" sqref="E3"/>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 - CS0</v>
      </c>
      <c r="H1" s="127"/>
      <c r="I1" s="127"/>
      <c r="J1" s="127"/>
      <c r="K1" s="127"/>
      <c r="L1" s="610" t="str">
        <f>'Title Page'!F23</f>
        <v>2019 September 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944</v>
      </c>
      <c r="C16" s="146"/>
      <c r="D16" s="146"/>
      <c r="E16" s="624" t="s">
        <v>945</v>
      </c>
      <c r="F16" s="890"/>
      <c r="G16" s="624" t="s">
        <v>946</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1071</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2</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1071</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4</v>
      </c>
      <c r="F58" s="644" t="str">
        <f>INDEX(B60:B63,E58,1)</f>
        <v>Crossed Yagi</v>
      </c>
      <c r="G58" s="185"/>
      <c r="H58" s="141"/>
      <c r="I58" s="141"/>
      <c r="J58" s="141" t="s">
        <v>60</v>
      </c>
      <c r="K58" s="264" t="s">
        <v>62</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2</v>
      </c>
      <c r="F60" s="171"/>
      <c r="G60" s="172" t="s">
        <v>75</v>
      </c>
      <c r="H60" s="174">
        <f>IF(E60&lt;$B$72,"too short!",INDEX($D$72:$D$110,MATCH(E60,$B$72:$B$110,1),1))</f>
        <v>8</v>
      </c>
      <c r="I60" s="171" t="s">
        <v>74</v>
      </c>
      <c r="J60" s="175" t="s">
        <v>86</v>
      </c>
      <c r="K60" s="171"/>
      <c r="L60" s="171"/>
      <c r="M60" s="152" t="s">
        <v>76</v>
      </c>
      <c r="N60" s="153">
        <f>IF(E60&lt;$B$72,"too short!",INDEX($F$72:$F$110,MATCH(E60,$B$72:$B$110,1),1))</f>
        <v>14.05</v>
      </c>
      <c r="O60" s="151" t="s">
        <v>784</v>
      </c>
      <c r="P60" s="151" t="s">
        <v>61</v>
      </c>
      <c r="Q60" s="154">
        <f>SQRT(40000/(10^(N60/10)))</f>
        <v>39.676193136730106</v>
      </c>
      <c r="R60" s="151" t="s">
        <v>4</v>
      </c>
      <c r="S60" s="151" t="s">
        <v>89</v>
      </c>
      <c r="T60" s="151"/>
      <c r="U60" s="155">
        <f>K55*E60</f>
        <v>1.3736540664375716</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944</v>
      </c>
      <c r="C63" s="146"/>
      <c r="D63" s="146"/>
      <c r="E63" s="624" t="s">
        <v>945</v>
      </c>
      <c r="F63" s="890"/>
      <c r="G63" s="624" t="s">
        <v>946</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 - CS0</v>
      </c>
      <c r="H1" s="127"/>
      <c r="I1" s="127"/>
      <c r="J1" s="127"/>
      <c r="K1" s="610" t="str">
        <f>'Title Page'!F23</f>
        <v>2019 September 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2</v>
      </c>
      <c r="I78" s="98" t="s">
        <v>784</v>
      </c>
      <c r="J78" s="98" t="s">
        <v>61</v>
      </c>
      <c r="K78" s="98">
        <f>'Antenna Gain'!L45</f>
        <v>180</v>
      </c>
      <c r="L78" s="99" t="s">
        <v>4</v>
      </c>
      <c r="M78" s="123"/>
      <c r="N78" s="124"/>
      <c r="O78" s="395" t="s">
        <v>270</v>
      </c>
      <c r="P78" s="537" t="s">
        <v>568</v>
      </c>
      <c r="Q78" s="538"/>
      <c r="R78" s="401">
        <f>IF(K74=K95, 0.00075*(G85)^2, 0.00075*(180-G85)^2)</f>
        <v>0.3</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4</v>
      </c>
      <c r="F95" s="184" t="str">
        <f>'Antenna Gain'!F58</f>
        <v>Crossed Yagi</v>
      </c>
      <c r="G95" s="185"/>
      <c r="H95" s="141"/>
      <c r="I95" s="141"/>
      <c r="J95" s="141" t="s">
        <v>60</v>
      </c>
      <c r="K95" s="280" t="str">
        <f>'Antenna Gain'!K58</f>
        <v>RHCP</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14.05</v>
      </c>
      <c r="H97" s="151" t="s">
        <v>784</v>
      </c>
      <c r="I97" s="265" t="s">
        <v>61</v>
      </c>
      <c r="J97" s="273">
        <f>'Antenna Gain'!Q60</f>
        <v>39.676193136730106</v>
      </c>
      <c r="K97" s="151" t="s">
        <v>4</v>
      </c>
      <c r="L97" s="156"/>
      <c r="M97" s="3"/>
      <c r="N97" s="3"/>
      <c r="O97" s="3"/>
      <c r="P97" s="3"/>
      <c r="Q97" s="3"/>
      <c r="R97" s="392">
        <f>2*(F102*(79.76/INDEX(J97:J100,E95,1)))</f>
        <v>26.58666666666667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0.31396976431536944</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 - CS0</v>
      </c>
      <c r="K1" s="127"/>
      <c r="L1" s="127"/>
      <c r="M1" s="127"/>
      <c r="N1" s="610" t="str">
        <f>'Title Page'!F23</f>
        <v>2019 September 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2019-09-10T20:57:22Z</cp:lastPrinted>
  <dcterms:created xsi:type="dcterms:W3CDTF">2003-03-25T04:05:57Z</dcterms:created>
  <dcterms:modified xsi:type="dcterms:W3CDTF">2019-09-10T20:58:16Z</dcterms:modified>
</cp:coreProperties>
</file>