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0B8F1C3C-27DD-43F5-AADF-0869E4945E1C}"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7" i="15" l="1"/>
  <c r="J116" i="15"/>
  <c r="J115" i="15"/>
  <c r="G72" i="14"/>
  <c r="G71" i="14"/>
  <c r="G70" i="14"/>
  <c r="B62" i="3"/>
  <c r="B63" i="5"/>
  <c r="AA151" i="15"/>
  <c r="Z151" i="15"/>
  <c r="Y151" i="15"/>
  <c r="X151" i="15"/>
  <c r="W151" i="15"/>
  <c r="V151" i="15"/>
  <c r="U151" i="15"/>
  <c r="AA150" i="15"/>
  <c r="Z150" i="15"/>
  <c r="Y150" i="15"/>
  <c r="X150" i="15"/>
  <c r="W150" i="15"/>
  <c r="V150" i="15"/>
  <c r="U150" i="15"/>
  <c r="AA149" i="15"/>
  <c r="Z149" i="15"/>
  <c r="Y149" i="15"/>
  <c r="X149" i="15"/>
  <c r="W149" i="15"/>
  <c r="V149" i="15"/>
  <c r="U149" i="15"/>
  <c r="V148" i="15"/>
  <c r="X148" i="15" s="1"/>
  <c r="U148" i="15"/>
  <c r="V147" i="15"/>
  <c r="X147" i="15" s="1"/>
  <c r="U147" i="15"/>
  <c r="V146" i="15"/>
  <c r="X146" i="15" s="1"/>
  <c r="U146" i="15"/>
  <c r="X145" i="15"/>
  <c r="V145" i="15"/>
  <c r="U145" i="15"/>
  <c r="J145" i="15"/>
  <c r="X144" i="15"/>
  <c r="V144" i="15"/>
  <c r="U144" i="15"/>
  <c r="X143" i="15"/>
  <c r="Y143" i="15" s="1"/>
  <c r="W143" i="15"/>
  <c r="W144" i="15" s="1"/>
  <c r="W145" i="15" s="1"/>
  <c r="W146" i="15" s="1"/>
  <c r="W147" i="15" s="1"/>
  <c r="W148" i="15" s="1"/>
  <c r="V143" i="15"/>
  <c r="Z143" i="15" s="1"/>
  <c r="U143" i="15"/>
  <c r="W142" i="15"/>
  <c r="V142" i="15"/>
  <c r="Z142" i="15" s="1"/>
  <c r="AA142" i="15" s="1"/>
  <c r="AA143" i="15" s="1"/>
  <c r="U142" i="15"/>
  <c r="J137" i="15"/>
  <c r="T134" i="15"/>
  <c r="T132" i="15"/>
  <c r="J124" i="15"/>
  <c r="T123" i="15"/>
  <c r="T136" i="15" s="1"/>
  <c r="T121" i="15"/>
  <c r="J121" i="15"/>
  <c r="J120" i="15"/>
  <c r="J119" i="15"/>
  <c r="J127" i="15" s="1"/>
  <c r="J129" i="15" s="1"/>
  <c r="AA72" i="15"/>
  <c r="Z72" i="15"/>
  <c r="Y72" i="15"/>
  <c r="X72" i="15"/>
  <c r="W72" i="15"/>
  <c r="V72" i="15"/>
  <c r="U72" i="15"/>
  <c r="X71" i="15"/>
  <c r="V71" i="15"/>
  <c r="U71" i="15"/>
  <c r="V70" i="15"/>
  <c r="U70" i="15"/>
  <c r="V69" i="15"/>
  <c r="X69" i="15" s="1"/>
  <c r="U69" i="15"/>
  <c r="X68" i="15"/>
  <c r="V68" i="15"/>
  <c r="U68" i="15"/>
  <c r="X67" i="15"/>
  <c r="V67" i="15"/>
  <c r="U67" i="15"/>
  <c r="V66" i="15"/>
  <c r="U66" i="15"/>
  <c r="V65" i="15"/>
  <c r="X65" i="15" s="1"/>
  <c r="U65" i="15"/>
  <c r="V64" i="15"/>
  <c r="X64" i="15" s="1"/>
  <c r="U64" i="15"/>
  <c r="W63" i="15"/>
  <c r="V63" i="15"/>
  <c r="X63" i="15" s="1"/>
  <c r="Y63" i="15" s="1"/>
  <c r="U63" i="15"/>
  <c r="U56" i="15"/>
  <c r="U53" i="15"/>
  <c r="U50" i="15"/>
  <c r="J43" i="15"/>
  <c r="J44" i="15"/>
  <c r="J45" i="15"/>
  <c r="I78" i="14"/>
  <c r="I72" i="14"/>
  <c r="I71" i="14"/>
  <c r="I70" i="14"/>
  <c r="I74" i="14" s="1"/>
  <c r="I85" i="14" s="1"/>
  <c r="I67" i="14"/>
  <c r="G60" i="14"/>
  <c r="I30" i="14"/>
  <c r="I32" i="14" s="1"/>
  <c r="I24" i="14"/>
  <c r="G30" i="14"/>
  <c r="Y144" i="15" l="1"/>
  <c r="Y145" i="15"/>
  <c r="Y147" i="15"/>
  <c r="Y146" i="15"/>
  <c r="Y148" i="15"/>
  <c r="Z144" i="15"/>
  <c r="AA144" i="15" s="1"/>
  <c r="AA145" i="15" s="1"/>
  <c r="AA146" i="15" s="1"/>
  <c r="AA147" i="15" s="1"/>
  <c r="AA148" i="15" s="1"/>
  <c r="Z145" i="15"/>
  <c r="Z146" i="15"/>
  <c r="Z147" i="15"/>
  <c r="Z148" i="15"/>
  <c r="X142" i="15"/>
  <c r="Y142" i="15" s="1"/>
  <c r="Z63" i="15"/>
  <c r="AA63" i="15" s="1"/>
  <c r="W64" i="15"/>
  <c r="Y64" i="15" s="1"/>
  <c r="Y67" i="15"/>
  <c r="W65" i="15"/>
  <c r="W66" i="15" s="1"/>
  <c r="W67" i="15" s="1"/>
  <c r="W68" i="15" s="1"/>
  <c r="Z66" i="15"/>
  <c r="Z65" i="15"/>
  <c r="X66" i="15"/>
  <c r="Y66" i="15" s="1"/>
  <c r="X70" i="15"/>
  <c r="I87" i="14"/>
  <c r="I60" i="14"/>
  <c r="Y153" i="15" l="1"/>
  <c r="J147" i="15" s="1"/>
  <c r="J150" i="15" s="1"/>
  <c r="Z64" i="15"/>
  <c r="AA64" i="15" s="1"/>
  <c r="AA65" i="15" s="1"/>
  <c r="Y68" i="15"/>
  <c r="W69" i="15"/>
  <c r="Z67" i="15"/>
  <c r="AA66" i="15"/>
  <c r="Y65" i="15"/>
  <c r="Z68" i="15"/>
  <c r="W70" i="15" l="1"/>
  <c r="Y69" i="15"/>
  <c r="Z69" i="15"/>
  <c r="AA67" i="15"/>
  <c r="AA68" i="15" s="1"/>
  <c r="AA69" i="15" s="1"/>
  <c r="J48" i="15"/>
  <c r="J49" i="15"/>
  <c r="J47" i="15"/>
  <c r="J53" i="15"/>
  <c r="I36" i="14"/>
  <c r="I28" i="14"/>
  <c r="I29" i="14"/>
  <c r="I27" i="14"/>
  <c r="AA70" i="15" l="1"/>
  <c r="W71" i="15"/>
  <c r="Z70" i="15"/>
  <c r="Y70" i="15"/>
  <c r="I43" i="14"/>
  <c r="Y71" i="15" l="1"/>
  <c r="Y74" i="15" s="1"/>
  <c r="Z71" i="15"/>
  <c r="AA71" i="15"/>
  <c r="J68" i="15"/>
  <c r="G39" i="16" s="1"/>
  <c r="J66"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O65" i="16"/>
  <c r="O59" i="16"/>
  <c r="O54" i="16"/>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D19" i="13"/>
  <c r="D18" i="13"/>
  <c r="D17" i="13"/>
  <c r="D16" i="13"/>
  <c r="D15" i="13"/>
  <c r="D14" i="13"/>
  <c r="D13" i="13"/>
  <c r="D12" i="13"/>
  <c r="D11" i="13"/>
  <c r="D10" i="13"/>
  <c r="D9" i="13"/>
  <c r="D20" i="13"/>
  <c r="D21" i="13"/>
  <c r="D22" i="13"/>
  <c r="D23" i="13"/>
  <c r="D24" i="13"/>
  <c r="D25" i="13"/>
  <c r="D26" i="13"/>
  <c r="D27" i="13"/>
  <c r="C16" i="10"/>
  <c r="D16" i="10" s="1"/>
  <c r="E16" i="10" s="1"/>
  <c r="F16" i="10"/>
  <c r="G82"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45" i="16"/>
  <c r="G47" i="16"/>
  <c r="G53" i="16"/>
  <c r="G58" i="16"/>
  <c r="G76" i="16"/>
  <c r="G84" i="16"/>
  <c r="F88" i="16"/>
  <c r="G87" i="16"/>
  <c r="G90" i="16"/>
  <c r="G93" i="16"/>
  <c r="G95" i="16"/>
  <c r="G97" i="16"/>
  <c r="D109" i="16"/>
  <c r="B39" i="5"/>
  <c r="B37" i="5"/>
  <c r="F31" i="6"/>
  <c r="B39" i="3"/>
  <c r="B37" i="3"/>
  <c r="E29" i="8"/>
  <c r="R76" i="12"/>
  <c r="R80" i="12"/>
  <c r="R77" i="12"/>
  <c r="R58" i="12"/>
  <c r="R57" i="12"/>
  <c r="Q14" i="9"/>
  <c r="J39" i="12" s="1"/>
  <c r="Q61" i="9"/>
  <c r="J98" i="12" s="1"/>
  <c r="Q60" i="9"/>
  <c r="J97" i="12" s="1"/>
  <c r="G41" i="12"/>
  <c r="F74" i="12"/>
  <c r="K39" i="9"/>
  <c r="K72" i="12" s="1"/>
  <c r="F72" i="12"/>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69" i="16" s="1"/>
  <c r="G19" i="20"/>
  <c r="M18" i="20" s="1"/>
  <c r="B15" i="3" s="1"/>
  <c r="O43" i="16" s="1"/>
  <c r="G18" i="20"/>
  <c r="G16" i="20"/>
  <c r="G11" i="20"/>
  <c r="G17" i="20"/>
  <c r="K10" i="18"/>
  <c r="K12" i="18" s="1"/>
  <c r="F8" i="9"/>
  <c r="F22" i="9" s="1"/>
  <c r="N3" i="16"/>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14" i="16" l="1"/>
  <c r="O75" i="16"/>
  <c r="F50" i="12"/>
  <c r="K22" i="9"/>
  <c r="K50" i="12"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G27" i="14"/>
  <c r="G28" i="14"/>
  <c r="G29" i="14"/>
  <c r="O67" i="16"/>
  <c r="B9" i="3"/>
  <c r="B11" i="3" s="1"/>
  <c r="O38" i="16" s="1"/>
  <c r="O31" i="16"/>
  <c r="B9" i="5"/>
  <c r="B11" i="5" s="1"/>
  <c r="G74" i="16" s="1"/>
  <c r="I45" i="14"/>
  <c r="B22" i="3"/>
  <c r="B48" i="3"/>
  <c r="B8" i="3"/>
  <c r="K71" i="1"/>
  <c r="B22" i="5"/>
  <c r="F72" i="16" s="1"/>
  <c r="F36" i="12"/>
  <c r="B16" i="3"/>
  <c r="F104" i="16"/>
  <c r="J56" i="15"/>
  <c r="G49" i="16" s="1"/>
  <c r="G55" i="16"/>
  <c r="C9" i="2" l="1"/>
  <c r="B8" i="2"/>
  <c r="K68" i="1"/>
  <c r="K70" i="1" s="1"/>
  <c r="K63" i="1"/>
  <c r="D7" i="1" s="1"/>
  <c r="C183" i="13"/>
  <c r="D182" i="13"/>
  <c r="E44" i="2"/>
  <c r="F45" i="2"/>
  <c r="E101" i="13"/>
  <c r="D101" i="13"/>
  <c r="C102" i="13"/>
  <c r="N41" i="16"/>
  <c r="C219" i="13"/>
  <c r="D218" i="13"/>
  <c r="B14" i="3"/>
  <c r="B19" i="3" s="1"/>
  <c r="F65" i="7"/>
  <c r="D53" i="13"/>
  <c r="C54" i="13"/>
  <c r="F8" i="2"/>
  <c r="E6" i="2"/>
  <c r="B52" i="2"/>
  <c r="C53" i="2"/>
  <c r="B24" i="3"/>
  <c r="B50" i="3"/>
  <c r="B19" i="5"/>
  <c r="B24" i="5"/>
  <c r="J58" i="15"/>
  <c r="J71" i="15" s="1"/>
  <c r="B52" i="5" s="1"/>
  <c r="B59" i="5" s="1"/>
  <c r="B51" i="5"/>
  <c r="B51" i="3" l="1"/>
  <c r="E102" i="13"/>
  <c r="C103" i="13"/>
  <c r="D102" i="13"/>
  <c r="F46" i="2"/>
  <c r="E45" i="2"/>
  <c r="F9" i="2"/>
  <c r="E7" i="2"/>
  <c r="C55" i="13"/>
  <c r="D54" i="13"/>
  <c r="C54" i="2"/>
  <c r="B53" i="2"/>
  <c r="D219" i="13"/>
  <c r="C220" i="13"/>
  <c r="C184" i="13"/>
  <c r="D183" i="13"/>
  <c r="B9" i="2"/>
  <c r="C10" i="2"/>
  <c r="B55" i="5"/>
  <c r="B61" i="5" s="1"/>
  <c r="B25" i="5"/>
  <c r="G36" i="16" s="1"/>
  <c r="B54" i="3"/>
  <c r="B53" i="5"/>
  <c r="B58" i="3" l="1"/>
  <c r="B60" i="3" s="1"/>
  <c r="B52" i="3"/>
  <c r="B25" i="3"/>
  <c r="B26" i="3" s="1"/>
  <c r="B27" i="3" s="1"/>
  <c r="B30" i="3" s="1"/>
  <c r="B43" i="3" s="1"/>
  <c r="O107" i="16" s="1"/>
  <c r="P107" i="16" s="1"/>
  <c r="C56" i="13"/>
  <c r="D55" i="13"/>
  <c r="D184" i="13"/>
  <c r="C185" i="13"/>
  <c r="B54" i="2"/>
  <c r="C55" i="2"/>
  <c r="F10" i="2"/>
  <c r="E8" i="2"/>
  <c r="C104" i="13"/>
  <c r="E103" i="13"/>
  <c r="D103" i="13"/>
  <c r="F47" i="2"/>
  <c r="E46" i="2"/>
  <c r="C11" i="2"/>
  <c r="B10" i="2"/>
  <c r="D220" i="13"/>
  <c r="C221" i="13"/>
  <c r="B26" i="5"/>
  <c r="G34" i="16" s="1"/>
  <c r="C7" i="16"/>
  <c r="B65" i="5"/>
  <c r="F7" i="16" s="1"/>
  <c r="G7" i="16" s="1"/>
  <c r="B64" i="3" l="1"/>
  <c r="O109" i="16" s="1"/>
  <c r="P109" i="16" s="1"/>
  <c r="L109" i="16"/>
  <c r="L107" i="16"/>
  <c r="K73" i="1"/>
  <c r="E47" i="2"/>
  <c r="F48" i="2"/>
  <c r="C186" i="13"/>
  <c r="D185" i="13"/>
  <c r="E9" i="2"/>
  <c r="F11" i="2"/>
  <c r="B11" i="2"/>
  <c r="C12" i="2"/>
  <c r="B55" i="2"/>
  <c r="C56" i="2"/>
  <c r="C222" i="13"/>
  <c r="D221" i="13"/>
  <c r="C105" i="13"/>
  <c r="D104" i="13"/>
  <c r="E104" i="13"/>
  <c r="C57" i="13"/>
  <c r="D56" i="13"/>
  <c r="B27" i="5"/>
  <c r="B30" i="5" s="1"/>
  <c r="C5" i="16" s="1"/>
  <c r="D57" i="13" l="1"/>
  <c r="C58" i="13"/>
  <c r="C187" i="13"/>
  <c r="D186" i="13"/>
  <c r="D222" i="13"/>
  <c r="C223" i="13"/>
  <c r="B56" i="2"/>
  <c r="C57" i="2"/>
  <c r="E10" i="2"/>
  <c r="F12" i="2"/>
  <c r="E48" i="2"/>
  <c r="F49" i="2"/>
  <c r="B12" i="2"/>
  <c r="C13" i="2"/>
  <c r="E105" i="13"/>
  <c r="C106" i="13"/>
  <c r="D105" i="13"/>
  <c r="K74" i="1"/>
  <c r="B43" i="5"/>
  <c r="F5" i="16" s="1"/>
  <c r="G5" i="16" s="1"/>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family val="2"/>
          </rPr>
          <t xml:space="preserve">
</t>
        </r>
      </text>
    </comment>
    <comment ref="O14" authorId="0" shapeId="0" xr:uid="{00000000-0006-0000-0D00-000003000000}">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6" authorId="0" shapeId="0" xr:uid="{00000000-0006-0000-0D00-000004000000}">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6"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60"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100"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8"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30"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1"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9"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<sst xmlns="http://schemas.openxmlformats.org/spreadsheetml/2006/main" count="2780" uniqueCount="1108">
  <si>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</si>
  <si>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</si>
  <si>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</si>
  <si>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</si>
  <si>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</si>
  <si>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</si>
  <si>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</si>
  <si>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</si>
  <si>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</si>
  <si>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</si>
  <si>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</si>
  <si>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</si>
  <si>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</si>
  <si>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</si>
  <si>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</si>
  <si>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</si>
  <si>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</si>
  <si>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</si>
  <si>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</si>
  <si>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</si>
  <si>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</si>
  <si>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</si>
  <si>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</si>
  <si>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</si>
  <si>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</si>
  <si>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</si>
  <si>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</si>
  <si>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</si>
  <si>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</si>
  <si>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</si>
  <si>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</si>
  <si>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</si>
  <si>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</si>
  <si>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</si>
  <si>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</si>
  <si>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</si>
  <si>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</si>
  <si>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</si>
  <si>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</si>
  <si>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</si>
  <si>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</si>
  <si>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</si>
  <si>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</si>
  <si>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</si>
  <si>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</si>
  <si>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</si>
  <si>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</si>
  <si>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</si>
  <si>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</si>
  <si>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</si>
  <si>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</si>
  <si>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</si>
  <si>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</si>
  <si>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</si>
  <si>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</si>
  <si>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</si>
  <si>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</si>
  <si>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</si>
  <si>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</si>
  <si>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</si>
  <si>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</si>
  <si>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</si>
  <si>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</si>
  <si>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</si>
  <si>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</si>
  <si>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</si>
  <si>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</si>
  <si>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</si>
  <si>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</si>
  <si>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</si>
  <si>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</si>
  <si>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</si>
  <si>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</si>
  <si>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</si>
  <si>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</si>
  <si>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</si>
  <si>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</si>
  <si>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</si>
  <si>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</si>
  <si>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</si>
  <si>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</si>
  <si>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</si>
  <si>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</si>
  <si>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</si>
  <si>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</si>
  <si>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</si>
  <si>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</si>
  <si>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</si>
  <si>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</si>
  <si>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</si>
  <si>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</si>
  <si>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</si>
  <si>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</si>
  <si>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</si>
  <si>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</si>
  <si>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</si>
  <si>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</si>
  <si>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</si>
  <si>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</si>
  <si>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</si>
  <si>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</si>
  <si>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</si>
  <si>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</si>
  <si>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</si>
  <si>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</si>
  <si>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</si>
  <si>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</si>
  <si>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</si>
  <si>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</si>
  <si>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</si>
  <si>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</si>
  <si>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</si>
  <si>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</si>
  <si>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</si>
  <si>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</si>
  <si>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</si>
  <si>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</si>
  <si>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</si>
  <si>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</si>
  <si>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</si>
  <si>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</si>
  <si>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</si>
  <si>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</si>
  <si>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</si>
  <si>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</si>
  <si>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</si>
  <si>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</si>
  <si>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</si>
  <si>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</si>
  <si>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</si>
  <si>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</si>
  <si>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</si>
  <si>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</si>
  <si>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</si>
  <si>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</si>
  <si>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</si>
  <si>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</si>
  <si>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</si>
  <si>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</si>
  <si>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</si>
  <si>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</si>
  <si>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</si>
  <si>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</si>
  <si>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</si>
  <si>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</si>
  <si>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</si>
  <si>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</si>
  <si>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</si>
  <si>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</si>
  <si>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</si>
  <si>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</si>
  <si>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</si>
  <si>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</si>
  <si>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</si>
  <si>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</si>
  <si>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</si>
  <si>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</si>
  <si>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</si>
  <si>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</si>
  <si>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</si>
  <si>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</si>
  <si>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</si>
  <si>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</si>
  <si>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</si>
  <si>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</si>
  <si>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</si>
  <si>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</si>
  <si>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</si>
  <si>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</si>
  <si>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</si>
  <si>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</si>
  <si>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</si>
  <si>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</si>
  <si>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</si>
  <si>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</si>
  <si>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</si>
  <si>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</si>
  <si>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</si>
  <si>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</si>
  <si>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</si>
  <si>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</si>
  <si>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Line B</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</si>
  <si>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</si>
  <si>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</si>
  <si>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</si>
  <si>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</si>
  <si>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</si>
  <si>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</si>
  <si>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</si>
  <si>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</si>
  <si>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</si>
  <si>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</si>
  <si>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</si>
  <si>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</si>
  <si>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</si>
  <si>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</si>
  <si>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</si>
  <si>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</si>
  <si>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</si>
  <si>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</si>
  <si>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</si>
  <si>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</si>
  <si>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</si>
  <si>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</si>
  <si>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</si>
  <si>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</si>
  <si>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</si>
  <si>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</si>
  <si>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</si>
  <si>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</si>
  <si>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</si>
  <si>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</si>
  <si>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</si>
  <si>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</si>
  <si>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</si>
  <si>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</si>
  <si>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</si>
  <si>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</si>
  <si>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</si>
  <si>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</si>
  <si>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</si>
  <si>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</si>
  <si>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</si>
  <si>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</si>
  <si>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</si>
  <si>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</si>
  <si>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</si>
  <si>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</si>
  <si>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</si>
  <si>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</si>
  <si>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</si>
  <si>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</si>
  <si>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</si>
  <si>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</si>
  <si>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</si>
  <si>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</si>
  <si>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</si>
  <si>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</si>
  <si>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</si>
  <si>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</si>
  <si>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</si>
  <si>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</si>
  <si>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</si>
  <si>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</si>
  <si>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</si>
  <si>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</si>
  <si>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</si>
  <si>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</si>
  <si>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</si>
  <si>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</si>
  <si>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</si>
  <si>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</si>
  <si>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</si>
  <si>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</si>
  <si>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</si>
  <si>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</si>
  <si>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</si>
  <si>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</si>
  <si>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</si>
  <si>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</si>
  <si>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</si>
  <si>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</si>
  <si>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</si>
  <si>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</si>
  <si>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</si>
  <si>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</si>
  <si>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</si>
  <si>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</si>
  <si>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</si>
  <si>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</si>
  <si>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</si>
  <si>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</si>
  <si>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</si>
  <si>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</si>
  <si>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</si>
  <si>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</si>
  <si>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</si>
  <si>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</si>
  <si>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</si>
  <si>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</si>
  <si>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</si>
  <si>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</si>
  <si>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</si>
  <si>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</si>
  <si>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</si>
  <si>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</si>
  <si>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</si>
  <si>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</si>
  <si>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</si>
  <si>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</si>
  <si>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</si>
  <si>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</si>
  <si>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</si>
  <si>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</si>
  <si>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</si>
  <si>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</si>
  <si>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</si>
  <si>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</si>
  <si>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</si>
  <si>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</si>
  <si>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</si>
  <si>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</si>
  <si>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</si>
  <si>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</si>
  <si>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</si>
  <si>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</si>
  <si>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</si>
  <si>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</si>
  <si>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</si>
  <si>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</si>
  <si>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</si>
  <si>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</si>
  <si>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</si>
  <si>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</si>
  <si>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</si>
  <si>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</si>
  <si>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</si>
  <si>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</si>
  <si>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</si>
  <si>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</si>
  <si>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</si>
  <si>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</si>
  <si>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</si>
  <si>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</si>
  <si>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</si>
  <si>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</si>
  <si>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</si>
  <si>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</si>
  <si>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</si>
  <si>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</si>
  <si>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</si>
  <si>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</si>
  <si>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</si>
  <si>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</si>
  <si>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</si>
  <si>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</si>
  <si>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</si>
  <si>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</si>
  <si>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</si>
  <si>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</si>
  <si>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</si>
  <si>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</si>
  <si>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</si>
  <si>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</si>
  <si>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</si>
  <si>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</si>
  <si>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</si>
  <si>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</si>
  <si>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</si>
  <si>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</si>
  <si>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</si>
  <si>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</si>
  <si>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</si>
  <si>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</si>
  <si>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</si>
  <si>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</si>
  <si>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</si>
  <si>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</si>
  <si>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</si>
  <si>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</si>
  <si>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</si>
  <si>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</si>
  <si>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</si>
  <si>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</si>
  <si>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</si>
  <si>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</si>
  <si>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</si>
  <si>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</si>
  <si>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</si>
  <si>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</si>
  <si>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</si>
  <si>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</si>
  <si>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</si>
  <si>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</si>
  <si>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</si>
  <si>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</si>
  <si>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</si>
  <si>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</si>
  <si>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</si>
  <si>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</si>
  <si>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</si>
  <si>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</si>
  <si>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</si>
  <si>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</si>
  <si>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</si>
  <si>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</si>
  <si>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</si>
  <si>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</si>
  <si>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</si>
  <si>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</si>
  <si>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</si>
  <si>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</si>
  <si>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</si>
  <si>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</si>
  <si>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</si>
  <si>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</si>
  <si>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</si>
  <si>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</si>
  <si>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</si>
  <si>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</si>
  <si>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</si>
  <si>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</si>
  <si>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</si>
  <si>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</si>
  <si>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</si>
  <si>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</si>
  <si>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</si>
  <si>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</si>
  <si>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</si>
  <si>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</si>
  <si>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</si>
  <si>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</si>
  <si>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</si>
  <si>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</si>
  <si>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</si>
  <si>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</si>
  <si>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</si>
  <si>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</si>
  <si>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</si>
  <si>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</si>
  <si>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</si>
  <si>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</si>
  <si>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family val="2"/>
      </rPr>
      <t>Tx</t>
    </r>
    <r>
      <rPr>
        <sz val="10"/>
        <rFont val="Arial"/>
        <family val="2"/>
      </rPr>
      <t xml:space="preserve"> =</t>
    </r>
  </si>
  <si>
    <r>
      <t xml:space="preserve">    L</t>
    </r>
    <r>
      <rPr>
        <sz val="8"/>
        <rFont val="Arial"/>
        <family val="2"/>
      </rPr>
      <t xml:space="preserve">A </t>
    </r>
    <r>
      <rPr>
        <sz val="10"/>
        <rFont val="Arial"/>
        <family val="2"/>
      </rPr>
      <t>=</t>
    </r>
  </si>
  <si>
    <r>
      <t xml:space="preserve">    L</t>
    </r>
    <r>
      <rPr>
        <sz val="8"/>
        <rFont val="Arial"/>
        <family val="2"/>
      </rPr>
      <t>B</t>
    </r>
    <r>
      <rPr>
        <sz val="10"/>
        <rFont val="Arial"/>
        <family val="2"/>
      </rPr>
      <t xml:space="preserve"> =</t>
    </r>
  </si>
  <si>
    <r>
      <t xml:space="preserve">    L</t>
    </r>
    <r>
      <rPr>
        <sz val="8"/>
        <rFont val="Arial"/>
        <family val="2"/>
      </rPr>
      <t>C</t>
    </r>
    <r>
      <rPr>
        <sz val="10"/>
        <rFont val="Arial"/>
        <family val="2"/>
      </rPr>
      <t xml:space="preserve"> = </t>
    </r>
  </si>
  <si>
    <t xml:space="preserve">    R = </t>
  </si>
  <si>
    <r>
      <t xml:space="preserve">    L</t>
    </r>
    <r>
      <rPr>
        <sz val="8"/>
        <rFont val="Arial"/>
        <family val="2"/>
      </rPr>
      <t>p</t>
    </r>
    <r>
      <rPr>
        <sz val="10"/>
        <rFont val="Arial"/>
        <family val="2"/>
      </rPr>
      <t xml:space="preserve"> =</t>
    </r>
  </si>
  <si>
    <r>
      <t xml:space="preserve">    L</t>
    </r>
    <r>
      <rPr>
        <sz val="8"/>
        <rFont val="Arial"/>
        <family val="2"/>
      </rPr>
      <t>Tbpf =</t>
    </r>
  </si>
  <si>
    <r>
      <t xml:space="preserve">    L</t>
    </r>
    <r>
      <rPr>
        <sz val="8"/>
        <rFont val="Arial"/>
        <family val="2"/>
      </rPr>
      <t>C=</t>
    </r>
  </si>
  <si>
    <r>
      <t xml:space="preserve">    L</t>
    </r>
    <r>
      <rPr>
        <sz val="8"/>
        <rFont val="Arial"/>
        <family val="2"/>
      </rPr>
      <t>B</t>
    </r>
    <r>
      <rPr>
        <sz val="10"/>
        <rFont val="Arial"/>
        <family val="2"/>
      </rPr>
      <t xml:space="preserve"> = </t>
    </r>
  </si>
  <si>
    <r>
      <t xml:space="preserve">    L</t>
    </r>
    <r>
      <rPr>
        <sz val="8"/>
        <rFont val="Arial"/>
        <family val="2"/>
      </rPr>
      <t>A</t>
    </r>
    <r>
      <rPr>
        <sz val="10"/>
        <rFont val="Arial"/>
        <family val="2"/>
      </rPr>
      <t xml:space="preserve"> =</t>
    </r>
  </si>
  <si>
    <r>
      <t xml:space="preserve">   L</t>
    </r>
    <r>
      <rPr>
        <sz val="8"/>
        <rFont val="Arial"/>
        <family val="2"/>
      </rPr>
      <t>Tother =</t>
    </r>
  </si>
  <si>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</si>
  <si>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</si>
  <si>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r>
      <t>L</t>
    </r>
    <r>
      <rPr>
        <sz val="8"/>
        <rFont val="Arial"/>
        <family val="2"/>
      </rPr>
      <t xml:space="preserve">total line </t>
    </r>
    <r>
      <rPr>
        <sz val="10"/>
        <rFont val="Arial"/>
        <family val="2"/>
      </rPr>
      <t>=</t>
    </r>
    <r>
      <rPr>
        <sz val="10"/>
        <rFont val="Arial"/>
        <family val="2"/>
      </rPr>
      <t xml:space="preserve"> </t>
    </r>
  </si>
  <si>
    <r>
      <t>L</t>
    </r>
    <r>
      <rPr>
        <sz val="8"/>
        <rFont val="Arial"/>
        <family val="2"/>
      </rPr>
      <t xml:space="preserve">total line </t>
    </r>
    <r>
      <rPr>
        <sz val="10"/>
        <rFont val="Arial"/>
        <family val="2"/>
      </rPr>
      <t>=</t>
    </r>
  </si>
  <si>
    <r>
      <t>T</t>
    </r>
    <r>
      <rPr>
        <sz val="8"/>
        <rFont val="Arial"/>
        <family val="2"/>
      </rPr>
      <t>2nd Amp</t>
    </r>
    <r>
      <rPr>
        <sz val="10"/>
        <rFont val="Arial"/>
        <family val="2"/>
      </rPr>
      <t xml:space="preserve"> =</t>
    </r>
  </si>
  <si>
    <t xml:space="preserve">  Demodulator Type:</t>
  </si>
  <si>
    <t>Link Margin:</t>
  </si>
  <si>
    <r>
      <t xml:space="preserve">    E</t>
    </r>
    <r>
      <rPr>
        <sz val="8"/>
        <rFont val="Arial"/>
        <family val="2"/>
      </rPr>
      <t>b</t>
    </r>
    <r>
      <rPr>
        <sz val="10"/>
        <rFont val="Arial"/>
        <family val="2"/>
      </rPr>
      <t>/N</t>
    </r>
    <r>
      <rPr>
        <sz val="8"/>
        <rFont val="Arial"/>
        <family val="2"/>
      </rPr>
      <t>o</t>
    </r>
    <r>
      <rPr>
        <sz val="10"/>
        <rFont val="Arial"/>
        <family val="2"/>
      </rPr>
      <t xml:space="preserve"> = </t>
    </r>
  </si>
  <si>
    <t xml:space="preserve">    S/N =</t>
  </si>
  <si>
    <r>
      <t xml:space="preserve">    T</t>
    </r>
    <r>
      <rPr>
        <sz val="8"/>
        <rFont val="Arial"/>
        <family val="2"/>
      </rPr>
      <t>sys</t>
    </r>
    <r>
      <rPr>
        <sz val="10"/>
        <rFont val="Arial"/>
        <family val="2"/>
      </rPr>
      <t xml:space="preserve"> =</t>
    </r>
  </si>
  <si>
    <t xml:space="preserve">    G/T =</t>
  </si>
  <si>
    <r>
      <t xml:space="preserve">    G</t>
    </r>
    <r>
      <rPr>
        <sz val="8"/>
        <rFont val="Arial"/>
        <family val="2"/>
      </rPr>
      <t xml:space="preserve">T </t>
    </r>
    <r>
      <rPr>
        <sz val="10"/>
        <rFont val="Arial"/>
        <family val="2"/>
      </rPr>
      <t>=</t>
    </r>
  </si>
  <si>
    <r>
      <t xml:space="preserve">  L</t>
    </r>
    <r>
      <rPr>
        <sz val="8"/>
        <rFont val="Arial"/>
        <family val="2"/>
      </rPr>
      <t>Rbpf</t>
    </r>
    <r>
      <rPr>
        <sz val="10"/>
        <rFont val="Arial"/>
        <family val="2"/>
      </rPr>
      <t xml:space="preserve"> =</t>
    </r>
  </si>
  <si>
    <r>
      <t xml:space="preserve">   G</t>
    </r>
    <r>
      <rPr>
        <sz val="8"/>
        <rFont val="Arial"/>
        <family val="2"/>
      </rPr>
      <t>R</t>
    </r>
    <r>
      <rPr>
        <sz val="10"/>
        <rFont val="Arial"/>
        <family val="2"/>
      </rPr>
      <t xml:space="preserve"> =</t>
    </r>
  </si>
  <si>
    <r>
      <t xml:space="preserve">  EIRP</t>
    </r>
    <r>
      <rPr>
        <sz val="8"/>
        <rFont val="Arial"/>
        <family val="2"/>
      </rPr>
      <t xml:space="preserve">gs </t>
    </r>
    <r>
      <rPr>
        <sz val="10"/>
        <rFont val="Arial"/>
        <family val="2"/>
      </rPr>
      <t>=</t>
    </r>
  </si>
  <si>
    <t xml:space="preserve">  Modulation Method:</t>
  </si>
  <si>
    <r>
      <t xml:space="preserve">   B</t>
    </r>
    <r>
      <rPr>
        <sz val="8"/>
        <rFont val="Arial"/>
        <family val="2"/>
      </rPr>
      <t>Rbpf</t>
    </r>
    <r>
      <rPr>
        <sz val="10"/>
        <rFont val="Arial"/>
        <family val="2"/>
      </rPr>
      <t xml:space="preserve"> = </t>
    </r>
  </si>
  <si>
    <t>(Used Only in S/N Calc.)</t>
  </si>
  <si>
    <t>S/N Method:</t>
  </si>
  <si>
    <r>
      <t>E</t>
    </r>
    <r>
      <rPr>
        <sz val="8"/>
        <rFont val="Arial"/>
        <family val="2"/>
      </rPr>
      <t>b</t>
    </r>
    <r>
      <rPr>
        <sz val="10"/>
        <rFont val="Arial"/>
        <family val="2"/>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</si>
  <si>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</si>
  <si>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</si>
  <si>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</si>
  <si>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</si>
  <si>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</si>
  <si>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</si>
  <si>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</si>
  <si>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family val="2"/>
      </rPr>
      <t xml:space="preserve">Tx </t>
    </r>
    <r>
      <rPr>
        <sz val="10"/>
        <rFont val="Arial"/>
        <family val="2"/>
      </rPr>
      <t>=</t>
    </r>
  </si>
  <si>
    <r>
      <t xml:space="preserve">    h</t>
    </r>
    <r>
      <rPr>
        <sz val="8"/>
        <rFont val="Arial"/>
        <family val="2"/>
      </rPr>
      <t xml:space="preserve">Tx </t>
    </r>
    <r>
      <rPr>
        <sz val="10"/>
        <rFont val="Arial"/>
        <family val="2"/>
      </rPr>
      <t>=</t>
    </r>
  </si>
  <si>
    <t>Tx DC Pwr:</t>
  </si>
  <si>
    <t>Tx Dissipation:</t>
  </si>
  <si>
    <t xml:space="preserve">   Modulation Method:</t>
  </si>
  <si>
    <r>
      <t xml:space="preserve">   L</t>
    </r>
    <r>
      <rPr>
        <sz val="8"/>
        <rFont val="Arial"/>
        <family val="2"/>
      </rPr>
      <t>TXbpf</t>
    </r>
    <r>
      <rPr>
        <sz val="10"/>
        <rFont val="Arial"/>
        <family val="2"/>
      </rPr>
      <t xml:space="preserve"> =</t>
    </r>
  </si>
  <si>
    <r>
      <t xml:space="preserve">    L</t>
    </r>
    <r>
      <rPr>
        <sz val="8"/>
        <rFont val="Arial"/>
        <family val="2"/>
      </rPr>
      <t>B</t>
    </r>
    <r>
      <rPr>
        <sz val="10"/>
        <rFont val="Arial"/>
        <family val="2"/>
      </rPr>
      <t xml:space="preserve"> =</t>
    </r>
  </si>
  <si>
    <r>
      <t xml:space="preserve">    L</t>
    </r>
    <r>
      <rPr>
        <sz val="8"/>
        <rFont val="Arial"/>
        <family val="2"/>
      </rPr>
      <t>C</t>
    </r>
    <r>
      <rPr>
        <sz val="10"/>
        <rFont val="Arial"/>
        <family val="2"/>
      </rPr>
      <t xml:space="preserve"> =</t>
    </r>
  </si>
  <si>
    <r>
      <t xml:space="preserve"> L</t>
    </r>
    <r>
      <rPr>
        <sz val="8"/>
        <rFont val="Arial"/>
        <family val="2"/>
      </rPr>
      <t>total line</t>
    </r>
    <r>
      <rPr>
        <sz val="10"/>
        <rFont val="Arial"/>
        <family val="2"/>
      </rPr>
      <t xml:space="preserve"> =</t>
    </r>
  </si>
  <si>
    <r>
      <t xml:space="preserve">    G</t>
    </r>
    <r>
      <rPr>
        <sz val="8"/>
        <rFont val="Arial"/>
        <family val="2"/>
      </rPr>
      <t>T</t>
    </r>
    <r>
      <rPr>
        <sz val="10"/>
        <rFont val="Arial"/>
        <family val="2"/>
      </rPr>
      <t xml:space="preserve"> = </t>
    </r>
  </si>
  <si>
    <r>
      <t>EIRP</t>
    </r>
    <r>
      <rPr>
        <sz val="8"/>
        <rFont val="Arial"/>
        <family val="2"/>
      </rPr>
      <t>S/C</t>
    </r>
    <r>
      <rPr>
        <sz val="10"/>
        <rFont val="Arial"/>
        <family val="2"/>
      </rPr>
      <t xml:space="preserve"> =</t>
    </r>
  </si>
  <si>
    <r>
      <t xml:space="preserve">   L</t>
    </r>
    <r>
      <rPr>
        <sz val="8"/>
        <rFont val="Arial"/>
        <family val="2"/>
      </rPr>
      <t>Tother</t>
    </r>
    <r>
      <rPr>
        <sz val="10"/>
        <rFont val="Arial"/>
        <family val="2"/>
      </rPr>
      <t xml:space="preserve"> =</t>
    </r>
  </si>
  <si>
    <t xml:space="preserve">     Total Link Losses:</t>
  </si>
  <si>
    <r>
      <t xml:space="preserve">    L</t>
    </r>
    <r>
      <rPr>
        <sz val="8"/>
        <rFont val="Arial"/>
        <family val="2"/>
      </rPr>
      <t>P</t>
    </r>
    <r>
      <rPr>
        <sz val="10"/>
        <rFont val="Arial"/>
        <family val="2"/>
      </rPr>
      <t xml:space="preserve"> =</t>
    </r>
  </si>
  <si>
    <r>
      <t xml:space="preserve">    G</t>
    </r>
    <r>
      <rPr>
        <sz val="8"/>
        <rFont val="Arial"/>
        <family val="2"/>
      </rPr>
      <t>R</t>
    </r>
    <r>
      <rPr>
        <sz val="10"/>
        <rFont val="Arial"/>
        <family val="2"/>
      </rPr>
      <t xml:space="preserve"> =</t>
    </r>
  </si>
  <si>
    <r>
      <t xml:space="preserve">     L</t>
    </r>
    <r>
      <rPr>
        <sz val="8"/>
        <rFont val="Arial"/>
        <family val="2"/>
      </rPr>
      <t>C</t>
    </r>
    <r>
      <rPr>
        <sz val="10"/>
        <rFont val="Arial"/>
        <family val="2"/>
      </rPr>
      <t xml:space="preserve"> =</t>
    </r>
  </si>
  <si>
    <t>Angle between S/C antenna symmetry axis</t>
  </si>
  <si>
    <t>GROUND RCVR Eb/No:</t>
  </si>
  <si>
    <t>SOME KEY ORBIT &amp; LINK PARAMETERS</t>
  </si>
  <si>
    <r>
      <t xml:space="preserve">    L</t>
    </r>
    <r>
      <rPr>
        <sz val="8"/>
        <rFont val="Arial"/>
        <family val="2"/>
      </rPr>
      <t>B</t>
    </r>
    <r>
      <rPr>
        <sz val="10"/>
        <rFont val="Arial"/>
        <family val="2"/>
      </rPr>
      <t xml:space="preserve"> = </t>
    </r>
  </si>
  <si>
    <r>
      <t xml:space="preserve">    L</t>
    </r>
    <r>
      <rPr>
        <sz val="8"/>
        <rFont val="Arial"/>
        <family val="2"/>
      </rPr>
      <t>A</t>
    </r>
    <r>
      <rPr>
        <sz val="10"/>
        <rFont val="Arial"/>
        <family val="2"/>
      </rPr>
      <t xml:space="preserve"> =</t>
    </r>
  </si>
  <si>
    <r>
      <t xml:space="preserve">   L</t>
    </r>
    <r>
      <rPr>
        <sz val="8"/>
        <rFont val="Arial"/>
        <family val="2"/>
      </rPr>
      <t xml:space="preserve">Rbpf </t>
    </r>
    <r>
      <rPr>
        <sz val="10"/>
        <rFont val="Arial"/>
        <family val="2"/>
      </rPr>
      <t>=</t>
    </r>
  </si>
  <si>
    <r>
      <t xml:space="preserve">   L</t>
    </r>
    <r>
      <rPr>
        <sz val="8"/>
        <rFont val="Arial"/>
        <family val="2"/>
      </rPr>
      <t>total</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</si>
  <si>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</si>
  <si>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</si>
  <si>
    <r>
      <t xml:space="preserve">  T</t>
    </r>
    <r>
      <rPr>
        <sz val="8"/>
        <rFont val="Arial"/>
        <family val="2"/>
      </rPr>
      <t>2nd amp</t>
    </r>
    <r>
      <rPr>
        <sz val="10"/>
        <rFont val="Arial"/>
        <family val="2"/>
      </rPr>
      <t xml:space="preserve"> =</t>
    </r>
  </si>
  <si>
    <r>
      <t xml:space="preserve">    B</t>
    </r>
    <r>
      <rPr>
        <sz val="8"/>
        <rFont val="Arial"/>
        <family val="2"/>
      </rPr>
      <t xml:space="preserve">Rbpf  </t>
    </r>
    <r>
      <rPr>
        <sz val="10"/>
        <rFont val="Arial"/>
        <family val="2"/>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</si>
  <si>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</si>
  <si>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</si>
  <si>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</si>
  <si>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</si>
  <si>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</si>
  <si>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</si>
  <si>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family val="2"/>
      </rPr>
      <t>b</t>
    </r>
    <r>
      <rPr>
        <sz val="10"/>
        <rFont val="Arial"/>
        <family val="2"/>
      </rPr>
      <t>/N</t>
    </r>
    <r>
      <rPr>
        <sz val="8"/>
        <rFont val="Arial"/>
        <family val="2"/>
      </rPr>
      <t>o</t>
    </r>
    <r>
      <rPr>
        <sz val="10"/>
        <rFont val="Arial"/>
        <family val="2"/>
      </rPr>
      <t xml:space="preserve"> Method:</t>
    </r>
  </si>
  <si>
    <t>silver over copper over steel 0.039" (1 mm) dia.  Typically used with SMA or even TNC connectors.  This is a very rugged cable type.</t>
  </si>
  <si>
    <t xml:space="preserve"> S/N Method:</t>
  </si>
  <si>
    <r>
      <t xml:space="preserve">  E</t>
    </r>
    <r>
      <rPr>
        <sz val="8"/>
        <rFont val="Arial"/>
        <family val="2"/>
      </rPr>
      <t>b</t>
    </r>
    <r>
      <rPr>
        <sz val="10"/>
        <rFont val="Arial"/>
        <family val="2"/>
      </rPr>
      <t>/N</t>
    </r>
    <r>
      <rPr>
        <sz val="8"/>
        <rFont val="Arial"/>
        <family val="2"/>
      </rPr>
      <t>o</t>
    </r>
    <r>
      <rPr>
        <sz val="10"/>
        <rFont val="Arial"/>
        <family val="2"/>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</si>
  <si>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</si>
  <si>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</si>
  <si>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</si>
  <si>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</si>
  <si>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</si>
  <si>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</si>
  <si>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</si>
  <si>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</si>
  <si>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</si>
  <si>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</si>
  <si>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</si>
  <si>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</si>
  <si>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</si>
  <si>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</si>
  <si>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</si>
  <si>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</si>
  <si>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</si>
  <si>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</si>
  <si>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</si>
  <si>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</si>
  <si>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</si>
  <si>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</si>
  <si>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</si>
  <si>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</si>
  <si>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</si>
  <si>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</si>
  <si>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</si>
  <si>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</si>
  <si>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</si>
  <si>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</si>
  <si>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</si>
  <si>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</si>
  <si>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</si>
  <si>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</si>
  <si>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</si>
  <si>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</si>
  <si>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</si>
  <si>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</si>
  <si>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</si>
  <si>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</si>
  <si>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</si>
  <si>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</si>
  <si>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</si>
  <si>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r>
      <t xml:space="preserve">  L</t>
    </r>
    <r>
      <rPr>
        <sz val="8"/>
        <rFont val="Arial"/>
        <family val="2"/>
      </rPr>
      <t>Rother</t>
    </r>
    <r>
      <rPr>
        <sz val="10"/>
        <rFont val="Arial"/>
        <family val="2"/>
      </rPr>
      <t xml:space="preserve"> =</t>
    </r>
  </si>
  <si>
    <r>
      <t xml:space="preserve">  L</t>
    </r>
    <r>
      <rPr>
        <sz val="8"/>
        <rFont val="Arial"/>
        <family val="2"/>
      </rPr>
      <t>Tother</t>
    </r>
    <r>
      <rPr>
        <sz val="10"/>
        <rFont val="Arial"/>
        <family val="2"/>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</si>
  <si>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</si>
  <si>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</si>
  <si>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</si>
  <si>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</si>
  <si>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</si>
  <si>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</si>
  <si>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</si>
  <si>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</si>
  <si>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</si>
  <si>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</si>
  <si>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</si>
  <si>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</si>
  <si>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</si>
  <si>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</si>
  <si>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</si>
  <si>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</si>
  <si>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</si>
  <si>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</si>
  <si>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</si>
  <si>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</si>
  <si>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</si>
  <si>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</si>
  <si>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</si>
  <si>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</si>
  <si>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</si>
  <si>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</si>
  <si>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</si>
  <si>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</si>
  <si>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</si>
  <si>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</si>
  <si>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</si>
  <si>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</si>
  <si>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</si>
  <si>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</si>
  <si>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</si>
  <si>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</si>
  <si>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</si>
  <si>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</si>
  <si>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</si>
  <si>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</si>
  <si>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</si>
  <si>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</si>
  <si>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</si>
  <si>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</si>
  <si>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</si>
  <si>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</si>
  <si>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</si>
  <si>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</si>
  <si>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</si>
  <si>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</si>
  <si>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</si>
  <si>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</si>
  <si>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</si>
  <si>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</si>
  <si>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</si>
  <si>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</si>
  <si>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</si>
  <si>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</si>
  <si>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</si>
  <si>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</si>
  <si>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</si>
  <si>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</si>
  <si>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</si>
  <si>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</si>
  <si>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</si>
  <si>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</si>
  <si>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</si>
  <si>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</si>
  <si>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</si>
  <si>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</si>
  <si>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</si>
  <si>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</si>
  <si>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</si>
  <si>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</si>
  <si>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</si>
  <si>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</si>
  <si>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</si>
  <si>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</si>
  <si>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</si>
  <si>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</si>
  <si>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</si>
  <si>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</si>
  <si>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</si>
  <si>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</si>
  <si>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</si>
  <si>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</si>
  <si>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</si>
  <si>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</si>
  <si>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</si>
  <si>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</si>
  <si>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</si>
  <si>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</si>
  <si>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</si>
  <si>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</si>
  <si>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</si>
  <si>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</si>
  <si>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</si>
  <si>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</si>
  <si>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</si>
  <si>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</si>
  <si>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</si>
  <si>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</si>
  <si>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</si>
  <si>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</si>
  <si>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</si>
  <si>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</si>
  <si>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</si>
  <si>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</si>
  <si>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</si>
  <si>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</si>
  <si>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</si>
  <si>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</si>
  <si>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</si>
  <si>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</si>
  <si>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</si>
  <si>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</si>
  <si>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</si>
  <si>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</si>
  <si>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</si>
  <si>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</si>
  <si>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</si>
  <si>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</si>
  <si>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</si>
  <si>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</si>
  <si>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</si>
  <si>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</si>
  <si>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</si>
  <si>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</si>
  <si>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</si>
  <si>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</si>
  <si>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</si>
  <si>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</si>
  <si>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</si>
  <si>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</si>
  <si>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</si>
  <si>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</si>
  <si>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</si>
  <si>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</si>
  <si>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</si>
  <si>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</si>
  <si>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</si>
  <si>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</si>
  <si>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</si>
  <si>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</si>
  <si>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</si>
  <si>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</si>
  <si>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</si>
  <si>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</si>
  <si>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</si>
  <si>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</si>
  <si>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</si>
  <si>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</si>
  <si>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</si>
  <si>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</si>
  <si>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</si>
  <si>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</si>
  <si>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</si>
  <si>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</si>
  <si>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</si>
  <si>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</si>
  <si>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</si>
  <si>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</si>
  <si>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</si>
  <si>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</si>
  <si>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</si>
  <si>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</si>
  <si>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</si>
  <si>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</si>
  <si>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</si>
  <si>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</si>
  <si>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</si>
  <si>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</si>
  <si>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</si>
  <si>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</si>
  <si>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</si>
  <si>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</si>
  <si>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</si>
  <si>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</si>
  <si>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</si>
  <si>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</si>
  <si>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</si>
  <si>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</si>
  <si>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</si>
  <si>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</si>
  <si>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</si>
  <si>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</si>
  <si>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</si>
  <si>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</si>
  <si>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</si>
  <si>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</si>
  <si>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</si>
  <si>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</si>
  <si>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</si>
  <si>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</si>
  <si>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</si>
  <si>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</si>
  <si>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</si>
  <si>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</si>
  <si>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</si>
  <si>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</si>
  <si>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</si>
  <si>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</si>
  <si>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</si>
  <si>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</si>
  <si>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</si>
  <si>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</si>
  <si>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</si>
  <si>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</si>
  <si>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</si>
  <si>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</si>
  <si>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</si>
  <si>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</si>
  <si>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</si>
  <si>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</si>
  <si>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</si>
  <si>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</si>
  <si>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</si>
  <si>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</si>
  <si>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</si>
  <si>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</si>
  <si>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</si>
  <si>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</si>
  <si>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</si>
  <si>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</si>
  <si>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</si>
  <si>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</si>
  <si>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</si>
  <si>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</si>
  <si>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</si>
  <si>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</si>
  <si>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</si>
  <si>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</si>
  <si>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</si>
  <si>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</si>
  <si>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</si>
  <si>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</si>
  <si>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</si>
  <si>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</si>
  <si>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</si>
  <si>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</si>
  <si>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</si>
  <si>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</si>
  <si>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</si>
  <si>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</si>
  <si>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</si>
  <si>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</si>
  <si>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</si>
  <si>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</si>
  <si>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</si>
  <si>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</si>
  <si>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</si>
  <si>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</si>
  <si>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</si>
  <si>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</si>
  <si>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</si>
  <si>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</si>
  <si>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</si>
  <si>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</si>
  <si>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</si>
  <si>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</si>
  <si>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</si>
  <si>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</si>
  <si>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</si>
  <si>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</si>
  <si>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</si>
  <si>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</si>
  <si>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</si>
  <si>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</si>
  <si>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</si>
  <si>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</si>
  <si>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</si>
  <si>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</si>
  <si>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</si>
  <si>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</si>
  <si>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</si>
  <si>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</si>
  <si>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</si>
  <si>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</si>
  <si>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</si>
  <si>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</si>
  <si>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</si>
  <si>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</si>
  <si>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</si>
  <si>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</si>
  <si>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</si>
  <si>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</si>
  <si>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</si>
  <si>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</si>
  <si>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</si>
  <si>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</si>
  <si>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</si>
  <si>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</si>
  <si>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</si>
  <si>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</si>
  <si>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</si>
  <si>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</si>
  <si>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</si>
  <si>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</si>
  <si>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</si>
  <si>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</si>
  <si>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</si>
  <si>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</si>
  <si>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</si>
  <si>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</si>
  <si>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</si>
  <si>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</si>
  <si>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</si>
  <si>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</si>
  <si>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</si>
  <si>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</si>
  <si>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</si>
  <si>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</si>
  <si>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</si>
  <si>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</si>
  <si>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</si>
  <si>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</si>
  <si>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</si>
  <si>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</si>
  <si>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</si>
  <si>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</si>
  <si>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</si>
  <si>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</si>
  <si>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</si>
  <si>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</si>
  <si>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</si>
  <si>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</si>
  <si>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</si>
  <si>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</si>
  <si>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</si>
  <si>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</si>
  <si>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</si>
  <si>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</si>
  <si>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</si>
  <si>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</si>
  <si>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</si>
  <si>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</si>
  <si>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</si>
  <si>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</si>
  <si>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</si>
  <si>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</si>
  <si>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</si>
  <si>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</si>
  <si>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</si>
  <si>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</si>
  <si>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</si>
  <si>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</si>
  <si>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</si>
  <si>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</si>
  <si>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</si>
  <si>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</si>
  <si>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</si>
  <si>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</si>
  <si>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</si>
  <si>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</si>
  <si>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</si>
  <si>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</si>
  <si>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</si>
  <si>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</si>
  <si>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</si>
  <si>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</si>
  <si>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</si>
  <si>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</si>
  <si>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</si>
  <si>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</si>
  <si>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</si>
  <si>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</si>
  <si>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</si>
  <si>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</si>
  <si>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</si>
  <si>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</si>
  <si>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</si>
  <si>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</si>
  <si>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</si>
  <si>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</si>
  <si>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</si>
  <si>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</si>
  <si>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</si>
  <si>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</si>
  <si>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</si>
  <si>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</si>
  <si>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</si>
  <si>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</si>
  <si>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</si>
  <si>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</si>
  <si>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</si>
  <si>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</si>
  <si>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</si>
  <si>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</si>
  <si>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</si>
  <si>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</si>
  <si>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</si>
  <si>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</si>
  <si>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</si>
  <si>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</si>
  <si>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</si>
  <si>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</si>
  <si>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</si>
  <si>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</si>
  <si>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</si>
  <si>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</si>
  <si>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</si>
  <si>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</si>
  <si>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</si>
  <si>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</si>
  <si>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</si>
  <si>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</si>
  <si>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</si>
  <si>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</si>
  <si>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</si>
  <si>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</si>
  <si>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</si>
  <si>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</si>
  <si>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</si>
  <si>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</si>
  <si>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</si>
  <si>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</si>
  <si>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</si>
  <si>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</si>
  <si>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</si>
  <si>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</si>
  <si>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</si>
  <si>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</si>
  <si>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</si>
  <si>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</si>
  <si>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</si>
  <si>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</si>
  <si>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</si>
  <si>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</si>
  <si>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</si>
  <si>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</si>
  <si>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</si>
  <si>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</si>
  <si>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</si>
  <si>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</si>
  <si>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</si>
  <si>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</si>
  <si>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</si>
  <si>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</si>
  <si>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</si>
  <si>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</si>
  <si>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</si>
  <si>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</si>
  <si>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</si>
  <si>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</si>
  <si>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</si>
  <si>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</si>
  <si>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</si>
  <si>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</si>
  <si>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</si>
  <si>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</si>
  <si>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</si>
  <si>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</si>
  <si>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</si>
  <si>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</si>
  <si>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</si>
  <si>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</si>
  <si>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</si>
  <si>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</si>
  <si>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</si>
  <si>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</si>
  <si>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</si>
  <si>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</si>
  <si>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</si>
  <si>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</si>
  <si>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</si>
  <si>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</si>
  <si>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</si>
  <si>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</si>
  <si>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</si>
  <si>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</si>
  <si>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</si>
  <si>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</si>
  <si>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</si>
  <si>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Unity Gain Antenna on S/C;  High Gain Antenna at E.S.</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</si>
  <si>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</si>
  <si>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</si>
  <si>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</si>
  <si>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</si>
  <si>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</si>
  <si>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</si>
  <si>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</si>
  <si>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</si>
  <si>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</si>
  <si>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</si>
  <si>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</si>
  <si>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</si>
  <si>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</si>
  <si>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</si>
  <si>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</si>
  <si>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</si>
  <si>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</si>
  <si>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</si>
  <si>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</si>
  <si>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</si>
  <si>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</si>
  <si>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</si>
  <si>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NEEDS FIX:  Some parameters in this section may not be mapped properly due to modifications on the transmitter and receiver pages even though the link margins are accurate.  See those pages and the uplink/downlink budget pages for details.</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</si>
  <si>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</si>
  <si>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</si>
  <si>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</si>
  <si>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</si>
  <si>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</si>
  <si>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</si>
  <si>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</si>
  <si>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</si>
  <si>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</si>
  <si>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</si>
  <si>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</si>
  <si>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</si>
  <si>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</si>
  <si>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</si>
  <si>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</si>
  <si>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2019 January 31</t>
  </si>
  <si>
    <t>Noise Temperature Calculator (after first LNA - see block diagram for more details)</t>
  </si>
  <si>
    <t>Qorvo TQP3M9036</t>
  </si>
  <si>
    <t>Transceiver - AX5043</t>
  </si>
  <si>
    <t>MiniCirc BPF-C450+</t>
  </si>
  <si>
    <t>Qorvo QPC1022</t>
  </si>
  <si>
    <t>SAW - Mur. SF2446E</t>
  </si>
  <si>
    <t>Conn.</t>
  </si>
  <si>
    <t>BPF - ZABP-450-S+</t>
  </si>
  <si>
    <t>MSP432VDG-160</t>
  </si>
  <si>
    <t>LNA (passthrough)</t>
  </si>
  <si>
    <t>Transmitter Power (PA out):</t>
  </si>
  <si>
    <t>Dowkey 401-4208</t>
  </si>
  <si>
    <t>MSK</t>
  </si>
  <si>
    <t>GMSK w/ BT=0.3</t>
  </si>
  <si>
    <t>2019 May 5</t>
  </si>
  <si>
    <t>Line D Length:</t>
  </si>
  <si>
    <t>Cable D Spec:</t>
  </si>
  <si>
    <t>Total Line Length (Line A+B+C+D):</t>
  </si>
  <si>
    <t>Total Line Loss (Line A+B+C+D):</t>
  </si>
  <si>
    <t>Block Diagram (GitHub link - click for details):</t>
  </si>
  <si>
    <t>Microstrip (2-layer)</t>
  </si>
  <si>
    <t>Backplane conn.</t>
  </si>
  <si>
    <r>
      <t>System Noise Temperature (T</t>
    </r>
    <r>
      <rPr>
        <sz val="8"/>
        <rFont val="Arial"/>
        <family val="2"/>
      </rPr>
      <t>s</t>
    </r>
    <r>
      <rPr>
        <sz val="10"/>
        <rFont val="Arial"/>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</si>
  <si>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</si>
  <si>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rPr>
      <t xml:space="preserve"> =</t>
    </r>
    <r>
      <rPr>
        <sz val="10"/>
        <rFont val="Arial"/>
      </rPr>
      <t xml:space="preserve"> Antenna Temperature or Sky Temperature (</t>
    </r>
    <r>
      <rPr>
        <sz val="10"/>
        <rFont val="Arial"/>
      </rPr>
      <t>°K)</t>
    </r>
  </si>
  <si>
    <r>
      <t>T</t>
    </r>
    <r>
      <rPr>
        <sz val="8"/>
        <rFont val="Arial"/>
        <family val="2"/>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</si>
  <si>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family val="2"/>
      </rPr>
      <t>LNA</t>
    </r>
    <r>
      <rPr>
        <sz val="8"/>
        <rFont val="Arial"/>
        <family val="2"/>
      </rPr>
      <t>=</t>
    </r>
    <r>
      <rPr>
        <sz val="10"/>
        <rFont val="Arial"/>
      </rPr>
      <t xml:space="preserve"> Noise Temperature of the Low Noise Amplifier (</t>
    </r>
    <r>
      <rPr>
        <sz val="10"/>
        <rFont val="Arial"/>
      </rPr>
      <t>°K)</t>
    </r>
  </si>
  <si>
    <r>
      <t>T</t>
    </r>
    <r>
      <rPr>
        <sz val="8"/>
        <rFont val="Arial"/>
        <family val="2"/>
      </rPr>
      <t>ComRcvr</t>
    </r>
    <r>
      <rPr>
        <sz val="10"/>
        <rFont val="Arial"/>
      </rPr>
      <t xml:space="preserve"> =  Noise Temperature of Communications Receiver Front End (</t>
    </r>
    <r>
      <rPr>
        <sz val="10"/>
        <rFont val="Arial"/>
      </rPr>
      <t>°K)</t>
    </r>
  </si>
  <si>
    <r>
      <t>G</t>
    </r>
    <r>
      <rPr>
        <sz val="8"/>
        <rFont val="Arial"/>
        <family val="2"/>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</si>
  <si>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family val="2"/>
      </rPr>
      <t>A</t>
    </r>
    <r>
      <rPr>
        <sz val="10"/>
        <rFont val="Arial"/>
      </rPr>
      <t>/10)+(L</t>
    </r>
    <r>
      <rPr>
        <sz val="8"/>
        <rFont val="Arial"/>
        <family val="2"/>
      </rPr>
      <t>B</t>
    </r>
    <r>
      <rPr>
        <sz val="10"/>
        <rFont val="Arial"/>
      </rPr>
      <t>/10)+(L</t>
    </r>
    <r>
      <rPr>
        <sz val="8"/>
        <rFont val="Arial"/>
        <family val="2"/>
      </rPr>
      <t>C</t>
    </r>
    <r>
      <rPr>
        <sz val="10"/>
        <rFont val="Arial"/>
      </rPr>
      <t>/10)+(L</t>
    </r>
    <r>
      <rPr>
        <sz val="8"/>
        <rFont val="Arial"/>
        <family val="2"/>
      </rPr>
      <t>BPF</t>
    </r>
    <r>
      <rPr>
        <sz val="10"/>
        <rFont val="Arial"/>
      </rPr>
      <t>/10)+(L</t>
    </r>
    <r>
      <rPr>
        <sz val="8"/>
        <rFont val="Arial"/>
        <family val="2"/>
      </rPr>
      <t>other</t>
    </r>
    <r>
      <rPr>
        <sz val="10"/>
        <rFont val="Arial"/>
      </rPr>
      <t>/10))</t>
    </r>
  </si>
  <si>
    <r>
      <t>L</t>
    </r>
    <r>
      <rPr>
        <sz val="8"/>
        <rFont val="Arial"/>
        <family val="2"/>
      </rPr>
      <t>A</t>
    </r>
    <r>
      <rPr>
        <sz val="10"/>
        <rFont val="Arial"/>
      </rPr>
      <t>, L</t>
    </r>
    <r>
      <rPr>
        <sz val="8"/>
        <rFont val="Arial"/>
        <family val="2"/>
      </rPr>
      <t>B</t>
    </r>
    <r>
      <rPr>
        <sz val="10"/>
        <rFont val="Arial"/>
      </rPr>
      <t>, L</t>
    </r>
    <r>
      <rPr>
        <sz val="8"/>
        <rFont val="Arial"/>
        <family val="2"/>
      </rPr>
      <t>C</t>
    </r>
    <r>
      <rPr>
        <sz val="10"/>
        <rFont val="Arial"/>
      </rPr>
      <t xml:space="preserve"> = All Cable or Waveguide Losses (expressed in dB)</t>
    </r>
  </si>
  <si>
    <r>
      <t>L</t>
    </r>
    <r>
      <rPr>
        <sz val="8"/>
        <rFont val="Arial"/>
        <family val="2"/>
      </rPr>
      <t>BPF</t>
    </r>
    <r>
      <rPr>
        <sz val="10"/>
        <rFont val="Arial"/>
      </rPr>
      <t xml:space="preserve"> = Insertion Loss of any bandpass fiter used in front of LNA (expressed in dB)</t>
    </r>
  </si>
  <si>
    <r>
      <t>L</t>
    </r>
    <r>
      <rPr>
        <sz val="8"/>
        <rFont val="Arial"/>
        <family val="2"/>
      </rPr>
      <t>other</t>
    </r>
    <r>
      <rPr>
        <sz val="10"/>
        <rFont val="Arial"/>
      </rPr>
      <t xml:space="preserve"> = Insertion Loss of any other In-Line device in front of LNA (expressed in dB)</t>
    </r>
  </si>
  <si>
    <r>
      <t>T</t>
    </r>
    <r>
      <rPr>
        <sz val="8"/>
        <rFont val="Arial"/>
        <family val="2"/>
      </rPr>
      <t>ComRcvr</t>
    </r>
    <r>
      <rPr>
        <sz val="10"/>
        <rFont val="Arial"/>
      </rPr>
      <t xml:space="preserve"> =</t>
    </r>
  </si>
  <si>
    <r>
      <t>NF</t>
    </r>
    <r>
      <rPr>
        <sz val="8"/>
        <rFont val="Arial"/>
        <family val="2"/>
      </rPr>
      <t>dB</t>
    </r>
    <r>
      <rPr>
        <sz val="10"/>
        <rFont val="Arial"/>
      </rPr>
      <t xml:space="preserve"> = 10 LOG</t>
    </r>
    <r>
      <rPr>
        <sz val="8"/>
        <rFont val="Arial"/>
        <family val="2"/>
      </rPr>
      <t>10</t>
    </r>
    <r>
      <rPr>
        <sz val="10"/>
        <rFont val="Arial"/>
      </rPr>
      <t>[1+(T</t>
    </r>
    <r>
      <rPr>
        <sz val="10"/>
        <rFont val="Arial"/>
      </rPr>
      <t>/T</t>
    </r>
    <r>
      <rPr>
        <sz val="8"/>
        <rFont val="Arial"/>
        <family val="2"/>
      </rPr>
      <t>o</t>
    </r>
    <r>
      <rPr>
        <sz val="10"/>
        <rFont val="Arial"/>
      </rPr>
      <t xml:space="preserve">)] </t>
    </r>
  </si>
  <si>
    <r>
      <t>T</t>
    </r>
    <r>
      <rPr>
        <sz val="10"/>
        <rFont val="Arial"/>
      </rPr>
      <t xml:space="preserve"> = T</t>
    </r>
    <r>
      <rPr>
        <sz val="8"/>
        <rFont val="Arial"/>
        <family val="2"/>
      </rPr>
      <t>o</t>
    </r>
    <r>
      <rPr>
        <sz val="10"/>
        <rFont val="Arial"/>
      </rPr>
      <t>[10^(NF</t>
    </r>
    <r>
      <rPr>
        <sz val="8"/>
        <rFont val="Arial"/>
        <family val="2"/>
      </rPr>
      <t>dB</t>
    </r>
    <r>
      <rPr>
        <sz val="10"/>
        <rFont val="Arial"/>
      </rPr>
      <t>/10)-1]</t>
    </r>
  </si>
  <si>
    <r>
      <t>T</t>
    </r>
    <r>
      <rPr>
        <sz val="8"/>
        <rFont val="Arial"/>
        <family val="2"/>
      </rPr>
      <t>o</t>
    </r>
    <r>
      <rPr>
        <sz val="10"/>
        <rFont val="Arial"/>
      </rPr>
      <t xml:space="preserve"> =</t>
    </r>
  </si>
  <si>
    <r>
      <t>NF</t>
    </r>
    <r>
      <rPr>
        <sz val="8"/>
        <rFont val="Arial"/>
        <family val="2"/>
      </rPr>
      <t xml:space="preserve">dB </t>
    </r>
    <r>
      <rPr>
        <sz val="10"/>
        <rFont val="Arial"/>
      </rPr>
      <t>=</t>
    </r>
  </si>
  <si>
    <r>
      <t>NF</t>
    </r>
    <r>
      <rPr>
        <sz val="8"/>
        <rFont val="Arial"/>
        <family val="2"/>
      </rPr>
      <t xml:space="preserve">dB  </t>
    </r>
    <r>
      <rPr>
        <sz val="10"/>
        <rFont val="Arial"/>
      </rPr>
      <t>=</t>
    </r>
  </si>
  <si>
    <r>
      <t>T</t>
    </r>
    <r>
      <rPr>
        <sz val="8"/>
        <rFont val="Arial"/>
        <family val="2"/>
      </rPr>
      <t>a</t>
    </r>
    <r>
      <rPr>
        <sz val="10"/>
        <rFont val="Arial"/>
      </rPr>
      <t xml:space="preserve"> =</t>
    </r>
    <r>
      <rPr>
        <sz val="10"/>
        <rFont val="Arial"/>
      </rPr>
      <t>Antenna Temperature or Sky Temperature (</t>
    </r>
    <r>
      <rPr>
        <sz val="10"/>
        <rFont val="Arial"/>
      </rPr>
      <t>°K)</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</si>
  <si>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family val="2"/>
      </rPr>
      <t>A</t>
    </r>
    <r>
      <rPr>
        <sz val="10"/>
        <rFont val="Arial"/>
      </rPr>
      <t>/10)+(L</t>
    </r>
    <r>
      <rPr>
        <sz val="8"/>
        <rFont val="Arial"/>
        <family val="2"/>
      </rPr>
      <t>B</t>
    </r>
    <r>
      <rPr>
        <sz val="10"/>
        <rFont val="Arial"/>
      </rPr>
      <t>/10)+(L</t>
    </r>
    <r>
      <rPr>
        <sz val="8"/>
        <rFont val="Arial"/>
        <family val="2"/>
      </rPr>
      <t>C</t>
    </r>
    <r>
      <rPr>
        <sz val="10"/>
        <rFont val="Arial"/>
      </rPr>
      <t>/10)+(L</t>
    </r>
    <r>
      <rPr>
        <sz val="8"/>
        <rFont val="Arial"/>
        <family val="2"/>
      </rPr>
      <t>BPF</t>
    </r>
    <r>
      <rPr>
        <sz val="10"/>
        <rFont val="Arial"/>
      </rPr>
      <t>/10)+(L</t>
    </r>
    <r>
      <rPr>
        <sz val="8"/>
        <rFont val="Arial"/>
        <family val="2"/>
      </rPr>
      <t>other</t>
    </r>
    <r>
      <rPr>
        <sz val="10"/>
        <rFont val="Arial"/>
      </rPr>
      <t>/10))</t>
    </r>
  </si>
  <si>
    <r>
      <t>L</t>
    </r>
    <r>
      <rPr>
        <sz val="8"/>
        <rFont val="Arial"/>
        <family val="2"/>
      </rPr>
      <t>A</t>
    </r>
    <r>
      <rPr>
        <sz val="10"/>
        <rFont val="Arial"/>
      </rPr>
      <t xml:space="preserve"> = </t>
    </r>
  </si>
  <si>
    <r>
      <t>L</t>
    </r>
    <r>
      <rPr>
        <sz val="8"/>
        <rFont val="Arial"/>
        <family val="2"/>
      </rPr>
      <t>B</t>
    </r>
    <r>
      <rPr>
        <sz val="10"/>
        <rFont val="Arial"/>
      </rPr>
      <t xml:space="preserve"> = </t>
    </r>
  </si>
  <si>
    <r>
      <t>L</t>
    </r>
    <r>
      <rPr>
        <sz val="8"/>
        <rFont val="Arial"/>
        <family val="2"/>
      </rPr>
      <t>C</t>
    </r>
    <r>
      <rPr>
        <sz val="10"/>
        <rFont val="Arial"/>
      </rPr>
      <t xml:space="preserve"> = </t>
    </r>
  </si>
  <si>
    <r>
      <t>L</t>
    </r>
    <r>
      <rPr>
        <sz val="8"/>
        <rFont val="Arial"/>
        <family val="2"/>
      </rPr>
      <t>BPF</t>
    </r>
    <r>
      <rPr>
        <sz val="10"/>
        <rFont val="Arial"/>
      </rPr>
      <t xml:space="preserve"> =</t>
    </r>
  </si>
  <si>
    <r>
      <t>L</t>
    </r>
    <r>
      <rPr>
        <sz val="8"/>
        <rFont val="Arial"/>
        <family val="2"/>
      </rPr>
      <t>other</t>
    </r>
    <r>
      <rPr>
        <sz val="10"/>
        <rFont val="Arial"/>
      </rPr>
      <t xml:space="preserve"> = </t>
    </r>
  </si>
  <si>
    <r>
      <t>a</t>
    </r>
    <r>
      <rPr>
        <sz val="10"/>
        <rFont val="Arial"/>
      </rPr>
      <t xml:space="preserve"> = </t>
    </r>
  </si>
  <si>
    <r>
      <t>T</t>
    </r>
    <r>
      <rPr>
        <sz val="8"/>
        <rFont val="Arial"/>
        <family val="2"/>
      </rPr>
      <t>a</t>
    </r>
    <r>
      <rPr>
        <sz val="10"/>
        <rFont val="Arial"/>
      </rPr>
      <t xml:space="preserve"> =</t>
    </r>
  </si>
  <si>
    <r>
      <t>T</t>
    </r>
    <r>
      <rPr>
        <sz val="8"/>
        <rFont val="Arial"/>
        <family val="2"/>
      </rPr>
      <t>LNA</t>
    </r>
    <r>
      <rPr>
        <sz val="10"/>
        <rFont val="Arial"/>
      </rPr>
      <t xml:space="preserve"> =</t>
    </r>
  </si>
  <si>
    <r>
      <t>G</t>
    </r>
    <r>
      <rPr>
        <sz val="8"/>
        <rFont val="Arial"/>
        <family val="2"/>
      </rPr>
      <t>LNA</t>
    </r>
    <r>
      <rPr>
        <sz val="10"/>
        <rFont val="Arial"/>
      </rPr>
      <t xml:space="preserve"> =</t>
    </r>
  </si>
  <si>
    <t>dB/m @ 450 MHz</t>
  </si>
  <si>
    <r>
      <t>T</t>
    </r>
    <r>
      <rPr>
        <sz val="8"/>
        <rFont val="Arial"/>
        <family val="2"/>
      </rPr>
      <t>s</t>
    </r>
    <r>
      <rPr>
        <sz val="10"/>
        <rFont val="Arial"/>
      </rPr>
      <t xml:space="preserve"> =</t>
    </r>
  </si>
  <si>
    <t>PDX_CS0_v1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</si>
</sst>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7">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8"/>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59">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167" fontId="0" fillId="15" borderId="0" xfId="0" applyNumberForma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4" fillId="3" borderId="28" xfId="0" applyFont="1" applyFill="1" applyBorder="1" applyAlignment="1">
      <alignment horizontal="left" vertical="top" wrapText="1"/>
    </xf>
    <xf numFmtId="0" fontId="84" fillId="3" borderId="13" xfId="0" applyFont="1" applyFill="1" applyBorder="1" applyAlignment="1">
      <alignment horizontal="left" vertical="top" wrapText="1"/>
    </xf>
    <xf numFmtId="0" fontId="84" fillId="3" borderId="22" xfId="0" applyFont="1" applyFill="1" applyBorder="1" applyAlignment="1">
      <alignment horizontal="left" vertical="top" wrapText="1"/>
    </xf>
    <xf numFmtId="0" fontId="84" fillId="3" borderId="23" xfId="0" applyFont="1" applyFill="1" applyBorder="1" applyAlignment="1">
      <alignment horizontal="left" vertical="top" wrapText="1"/>
    </xf>
    <xf numFmtId="0" fontId="84" fillId="3" borderId="0" xfId="0" applyFont="1" applyFill="1" applyBorder="1" applyAlignment="1">
      <alignment horizontal="left" vertical="top" wrapText="1"/>
    </xf>
    <xf numFmtId="0" fontId="84" fillId="3" borderId="24" xfId="0" applyFont="1" applyFill="1" applyBorder="1" applyAlignment="1">
      <alignment horizontal="left" vertical="top" wrapText="1"/>
    </xf>
    <xf numFmtId="0" fontId="84" fillId="3" borderId="25" xfId="0" applyFont="1" applyFill="1" applyBorder="1" applyAlignment="1">
      <alignment horizontal="left" vertical="top" wrapText="1"/>
    </xf>
    <xf numFmtId="0" fontId="84" fillId="3" borderId="26" xfId="0" applyFont="1" applyFill="1" applyBorder="1" applyAlignment="1">
      <alignment horizontal="left" vertical="top" wrapText="1"/>
    </xf>
    <xf numFmtId="0" fontId="84" fillId="3" borderId="27" xfId="0" applyFont="1" applyFill="1" applyBorder="1" applyAlignment="1">
      <alignment horizontal="left" vertical="top" wrapText="1"/>
    </xf>
    <xf numFmtId="0" fontId="1" fillId="15" borderId="0" xfId="0" applyFont="1" applyFill="1" applyBorder="1"/>
    <xf numFmtId="0" fontId="1" fillId="15" borderId="0" xfId="0" applyFont="1" applyFill="1" applyBorder="1" applyAlignment="1">
      <alignment horizontal="left"/>
    </xf>
    <xf numFmtId="0" fontId="86" fillId="11" borderId="14" xfId="2" applyFont="1" applyFill="1" applyBorder="1" applyAlignment="1" applyProtection="1"/>
    <xf numFmtId="0" fontId="86" fillId="11" borderId="15" xfId="2" applyFont="1" applyFill="1" applyBorder="1" applyAlignment="1" applyProtection="1"/>
    <xf numFmtId="0" fontId="79" fillId="11" borderId="16" xfId="0" applyFont="1" applyFill="1" applyBorder="1" applyAlignment="1">
      <alignment horizontal="right"/>
    </xf>
    <xf numFmtId="167" fontId="9" fillId="5" borderId="9" xfId="0" applyNumberFormat="1" applyFont="1" applyFill="1" applyBorder="1" applyAlignment="1">
      <alignment horizontal="center"/>
    </xf>
    <xf numFmtId="196"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1" fillId="11" borderId="18" xfId="0" applyFont="1" applyFill="1" applyBorder="1"/>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86" fillId="15" borderId="14" xfId="2" applyFont="1" applyFill="1" applyBorder="1" applyAlignment="1" applyProtection="1"/>
    <xf numFmtId="0" fontId="86" fillId="15" borderId="15" xfId="2" applyFont="1" applyFill="1" applyBorder="1" applyAlignment="1" applyProtection="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5" fillId="28" borderId="49" xfId="0" applyFont="1" applyFill="1" applyBorder="1" applyAlignment="1">
      <alignment horizontal="center"/>
    </xf>
    <xf numFmtId="0" fontId="85" fillId="28" borderId="34" xfId="0" applyFont="1" applyFill="1" applyBorder="1" applyAlignment="1"/>
    <xf numFmtId="0" fontId="85"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2" fontId="16" fillId="6" borderId="9" xfId="0" applyNumberFormat="1" applyFont="1" applyFill="1" applyBorder="1" applyAlignment="1">
      <alignment horizontal="center"/>
    </xf>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86</xdr:row>
      <xdr:rowOff>0</xdr:rowOff>
    </xdr:from>
    <xdr:to>
      <xdr:col>10</xdr:col>
      <xdr:colOff>394335</xdr:colOff>
      <xdr:row>88</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90</xdr:row>
      <xdr:rowOff>0</xdr:rowOff>
    </xdr:from>
    <xdr:to>
      <xdr:col>6</xdr:col>
      <xdr:colOff>419100</xdr:colOff>
      <xdr:row>91</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52</xdr:row>
      <xdr:rowOff>95250</xdr:rowOff>
    </xdr:from>
    <xdr:to>
      <xdr:col>18</xdr:col>
      <xdr:colOff>887307</xdr:colOff>
      <xdr:row>52</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46</xdr:row>
      <xdr:rowOff>50800</xdr:rowOff>
    </xdr:from>
    <xdr:to>
      <xdr:col>21</xdr:col>
      <xdr:colOff>152400</xdr:colOff>
      <xdr:row>48</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55</xdr:row>
      <xdr:rowOff>83608</xdr:rowOff>
    </xdr:from>
    <xdr:to>
      <xdr:col>18</xdr:col>
      <xdr:colOff>833332</xdr:colOff>
      <xdr:row>55</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152400</xdr:rowOff>
    </xdr:from>
    <xdr:to>
      <xdr:col>13</xdr:col>
      <xdr:colOff>568314</xdr:colOff>
      <xdr:row>56</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88906" y="7264400"/>
          <a:ext cx="426508" cy="1906058"/>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196850</xdr:colOff>
      <xdr:row>54</xdr:row>
      <xdr:rowOff>50556</xdr:rowOff>
    </xdr:from>
    <xdr:to>
      <xdr:col>13</xdr:col>
      <xdr:colOff>141807</xdr:colOff>
      <xdr:row>63</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96100" y="8756406"/>
          <a:ext cx="1792807" cy="1493551"/>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59</xdr:row>
      <xdr:rowOff>26456</xdr:rowOff>
    </xdr:from>
    <xdr:to>
      <xdr:col>13</xdr:col>
      <xdr:colOff>531272</xdr:colOff>
      <xdr:row>73</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67</xdr:row>
      <xdr:rowOff>93358</xdr:rowOff>
    </xdr:from>
    <xdr:to>
      <xdr:col>13</xdr:col>
      <xdr:colOff>209538</xdr:colOff>
      <xdr:row>67</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86</xdr:row>
      <xdr:rowOff>0</xdr:rowOff>
    </xdr:from>
    <xdr:to>
      <xdr:col>10</xdr:col>
      <xdr:colOff>394335</xdr:colOff>
      <xdr:row>88</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90</xdr:row>
      <xdr:rowOff>0</xdr:rowOff>
    </xdr:from>
    <xdr:to>
      <xdr:col>6</xdr:col>
      <xdr:colOff>419100</xdr:colOff>
      <xdr:row>91</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113</xdr:row>
      <xdr:rowOff>153459</xdr:rowOff>
    </xdr:from>
    <xdr:to>
      <xdr:col>13</xdr:col>
      <xdr:colOff>576791</xdr:colOff>
      <xdr:row>136</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130</xdr:row>
      <xdr:rowOff>95250</xdr:rowOff>
    </xdr:from>
    <xdr:to>
      <xdr:col>13</xdr:col>
      <xdr:colOff>95249</xdr:colOff>
      <xdr:row>130</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122</xdr:row>
      <xdr:rowOff>82550</xdr:rowOff>
    </xdr:from>
    <xdr:to>
      <xdr:col>11</xdr:col>
      <xdr:colOff>196850</xdr:colOff>
      <xdr:row>122</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122</xdr:row>
      <xdr:rowOff>82550</xdr:rowOff>
    </xdr:from>
    <xdr:to>
      <xdr:col>11</xdr:col>
      <xdr:colOff>196850</xdr:colOff>
      <xdr:row>124</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124</xdr:row>
      <xdr:rowOff>82550</xdr:rowOff>
    </xdr:from>
    <xdr:to>
      <xdr:col>11</xdr:col>
      <xdr:colOff>209550</xdr:colOff>
      <xdr:row>124</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146</xdr:row>
      <xdr:rowOff>84667</xdr:rowOff>
    </xdr:from>
    <xdr:to>
      <xdr:col>13</xdr:col>
      <xdr:colOff>100542</xdr:colOff>
      <xdr:row>146</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112475</xdr:colOff>
      <xdr:row>82</xdr:row>
      <xdr:rowOff>89958</xdr:rowOff>
    </xdr:from>
    <xdr:to>
      <xdr:col>4</xdr:col>
      <xdr:colOff>55326</xdr:colOff>
      <xdr:row>85</xdr:row>
      <xdr:rowOff>33866</xdr:rowOff>
    </xdr:to>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60325" y="13056658"/>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3</xdr:col>
      <xdr:colOff>392645</xdr:colOff>
      <xdr:row>82</xdr:row>
      <xdr:rowOff>93133</xdr:rowOff>
    </xdr:from>
    <xdr:to>
      <xdr:col>3</xdr:col>
      <xdr:colOff>392645</xdr:colOff>
      <xdr:row>87</xdr:row>
      <xdr:rowOff>30903</xdr:rowOff>
    </xdr:to>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40495" y="1305983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385235</xdr:colOff>
      <xdr:row>87</xdr:row>
      <xdr:rowOff>22224</xdr:rowOff>
    </xdr:from>
    <xdr:to>
      <xdr:col>11</xdr:col>
      <xdr:colOff>233047</xdr:colOff>
      <xdr:row>87</xdr:row>
      <xdr:rowOff>22224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2233085" y="13782674"/>
          <a:ext cx="5315162"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42333</xdr:colOff>
      <xdr:row>84</xdr:row>
      <xdr:rowOff>102663</xdr:rowOff>
    </xdr:from>
    <xdr:to>
      <xdr:col>6</xdr:col>
      <xdr:colOff>174624</xdr:colOff>
      <xdr:row>89</xdr:row>
      <xdr:rowOff>100545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100388" y="13408558"/>
          <a:ext cx="791632" cy="74824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533403</xdr:colOff>
      <xdr:row>85</xdr:row>
      <xdr:rowOff>112184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2381253" y="135551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138</xdr:row>
      <xdr:rowOff>4234</xdr:rowOff>
    </xdr:from>
    <xdr:to>
      <xdr:col>13</xdr:col>
      <xdr:colOff>555625</xdr:colOff>
      <xdr:row>152</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516470</xdr:colOff>
      <xdr:row>85</xdr:row>
      <xdr:rowOff>65614</xdr:rowOff>
    </xdr:from>
    <xdr:to>
      <xdr:col>9</xdr:col>
      <xdr:colOff>169333</xdr:colOff>
      <xdr:row>88</xdr:row>
      <xdr:rowOff>100541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526620" y="13508564"/>
          <a:ext cx="643463"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9</xdr:col>
      <xdr:colOff>467786</xdr:colOff>
      <xdr:row>85</xdr:row>
      <xdr:rowOff>64556</xdr:rowOff>
    </xdr:from>
    <xdr:to>
      <xdr:col>10</xdr:col>
      <xdr:colOff>411691</xdr:colOff>
      <xdr:row>88</xdr:row>
      <xdr:rowOff>99483</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6468536" y="1350750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122769</xdr:colOff>
      <xdr:row>85</xdr:row>
      <xdr:rowOff>68790</xdr:rowOff>
    </xdr:from>
    <xdr:to>
      <xdr:col>12</xdr:col>
      <xdr:colOff>254000</xdr:colOff>
      <xdr:row>88</xdr:row>
      <xdr:rowOff>103717</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37969" y="13511740"/>
          <a:ext cx="74718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549277</xdr:colOff>
      <xdr:row>80</xdr:row>
      <xdr:rowOff>149224</xdr:rowOff>
    </xdr:from>
    <xdr:to>
      <xdr:col>7</xdr:col>
      <xdr:colOff>549277</xdr:colOff>
      <xdr:row>90</xdr:row>
      <xdr:rowOff>24764</xdr:rowOff>
    </xdr:to>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60927" y="1279842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527053</xdr:colOff>
      <xdr:row>80</xdr:row>
      <xdr:rowOff>121708</xdr:rowOff>
    </xdr:from>
    <xdr:ext cx="642997" cy="239809"/>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38703" y="1277090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428626</xdr:colOff>
      <xdr:row>81</xdr:row>
      <xdr:rowOff>89958</xdr:rowOff>
    </xdr:from>
    <xdr:to>
      <xdr:col>8</xdr:col>
      <xdr:colOff>977266</xdr:colOff>
      <xdr:row>81</xdr:row>
      <xdr:rowOff>89958</xdr:rowOff>
    </xdr:to>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38776" y="1289790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369361</xdr:colOff>
      <xdr:row>85</xdr:row>
      <xdr:rowOff>117476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4065061" y="135604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7</xdr:col>
      <xdr:colOff>603249</xdr:colOff>
      <xdr:row>85</xdr:row>
      <xdr:rowOff>5291</xdr:rowOff>
    </xdr:from>
    <xdr:to>
      <xdr:col>8</xdr:col>
      <xdr:colOff>185208</xdr:colOff>
      <xdr:row>89</xdr:row>
      <xdr:rowOff>97788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900082" y="137530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 sqref="F2"/>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51" t="s">
        <v>791</v>
      </c>
      <c r="B1" s="952"/>
      <c r="C1" s="951"/>
      <c r="D1" s="953"/>
      <c r="E1" s="952"/>
      <c r="F1" s="954" t="s">
        <v>657</v>
      </c>
      <c r="G1" s="987" t="s">
        <v>1009</v>
      </c>
      <c r="H1" s="988"/>
      <c r="I1" s="984" t="s">
        <v>1037</v>
      </c>
      <c r="J1" s="985"/>
      <c r="K1" s="985"/>
      <c r="L1" s="985"/>
      <c r="M1" s="986"/>
      <c r="N1" s="620"/>
      <c r="O1" s="127"/>
      <c r="P1" s="127"/>
    </row>
    <row r="2" spans="1:16" ht="25">
      <c r="A2" s="52"/>
      <c r="B2" s="57" t="s">
        <v>551</v>
      </c>
      <c r="C2" s="53"/>
      <c r="D2" s="53"/>
      <c r="E2" s="53"/>
      <c r="F2" s="56" t="s">
        <v>1020</v>
      </c>
      <c r="G2" s="54"/>
      <c r="H2" s="55"/>
      <c r="I2" s="55"/>
      <c r="J2" s="55"/>
      <c r="K2" s="55"/>
      <c r="L2" s="55"/>
      <c r="M2" s="55"/>
      <c r="N2" s="44"/>
      <c r="O2" s="44"/>
      <c r="P2" s="44"/>
    </row>
    <row r="3" spans="1:16" ht="25">
      <c r="A3" s="52"/>
      <c r="B3" s="57" t="s">
        <v>909</v>
      </c>
      <c r="C3" s="53"/>
      <c r="D3" s="53"/>
      <c r="E3" s="53"/>
      <c r="F3" s="56" t="s">
        <v>1019</v>
      </c>
      <c r="G3" s="54"/>
      <c r="H3" s="55"/>
      <c r="I3" s="55"/>
      <c r="J3" s="55"/>
      <c r="K3" s="55"/>
      <c r="L3" s="55"/>
      <c r="M3" s="55"/>
      <c r="N3" s="44"/>
      <c r="O3" s="44"/>
      <c r="P3" s="44"/>
    </row>
    <row r="4" spans="1:16" ht="13">
      <c r="A4" s="1" t="s">
        <v>1012</v>
      </c>
      <c r="B4" s="2"/>
      <c r="C4" s="2"/>
      <c r="D4" s="2"/>
      <c r="E4" s="2"/>
      <c r="F4" s="2"/>
      <c r="G4" s="2"/>
      <c r="H4" s="2"/>
      <c r="I4" s="2"/>
      <c r="J4" s="2"/>
      <c r="K4" s="2"/>
      <c r="L4" s="2"/>
      <c r="M4" s="2"/>
      <c r="N4" s="2"/>
      <c r="O4" s="2"/>
      <c r="P4" s="2"/>
    </row>
    <row r="5" spans="1:16" ht="13">
      <c r="A5" s="3"/>
      <c r="B5" s="3"/>
      <c r="C5" s="3"/>
      <c r="D5" s="3"/>
      <c r="E5" s="3"/>
      <c r="F5" s="3"/>
      <c r="G5" s="621" t="s">
        <v>658</v>
      </c>
      <c r="H5" s="621"/>
      <c r="I5" s="4" t="s">
        <v>791</v>
      </c>
      <c r="J5" s="3"/>
      <c r="K5" s="3"/>
      <c r="L5" s="3"/>
      <c r="M5" s="3"/>
      <c r="N5" s="3"/>
      <c r="O5" s="3"/>
      <c r="P5" s="3"/>
    </row>
    <row r="6" spans="1:16" ht="13" thickBot="1">
      <c r="A6" s="3"/>
      <c r="B6" s="615" t="s">
        <v>651</v>
      </c>
      <c r="C6" s="3"/>
      <c r="D6" s="3"/>
      <c r="E6" s="3"/>
      <c r="F6" s="3" t="s">
        <v>786</v>
      </c>
      <c r="G6" s="3"/>
      <c r="H6" s="3"/>
      <c r="I6" s="3"/>
      <c r="J6" s="3"/>
      <c r="K6" s="346" t="s">
        <v>665</v>
      </c>
      <c r="L6" s="3"/>
      <c r="M6" s="3"/>
      <c r="N6" s="3"/>
      <c r="O6" s="3"/>
      <c r="P6" s="3"/>
    </row>
    <row r="7" spans="1:16" ht="16" thickBot="1">
      <c r="A7" s="3"/>
      <c r="B7" s="3"/>
      <c r="C7" s="3"/>
      <c r="D7" s="4" t="s">
        <v>904</v>
      </c>
      <c r="E7" s="3"/>
      <c r="F7" s="965" t="s">
        <v>1017</v>
      </c>
      <c r="G7" s="3"/>
      <c r="H7" s="3"/>
      <c r="I7" s="35"/>
      <c r="J7" s="3"/>
      <c r="K7" s="3" t="s">
        <v>659</v>
      </c>
      <c r="L7" s="3"/>
      <c r="M7" s="3"/>
      <c r="N7" s="3"/>
      <c r="O7" s="3"/>
      <c r="P7" s="3"/>
    </row>
    <row r="8" spans="1:16" ht="15.5">
      <c r="A8" s="3"/>
      <c r="B8" s="3"/>
      <c r="C8" s="3"/>
      <c r="D8" s="3"/>
      <c r="E8" s="3"/>
      <c r="F8" s="6"/>
      <c r="G8" s="3"/>
      <c r="H8" s="3"/>
      <c r="I8" s="3"/>
      <c r="J8" s="3"/>
      <c r="K8" s="3"/>
      <c r="L8" s="3"/>
      <c r="M8" s="3"/>
      <c r="N8" s="3"/>
      <c r="O8" s="3"/>
      <c r="P8" s="3"/>
    </row>
    <row r="9" spans="1:16" ht="13" thickBot="1">
      <c r="A9" s="3"/>
      <c r="B9" s="346" t="s">
        <v>652</v>
      </c>
      <c r="C9" s="3"/>
      <c r="D9" s="3"/>
      <c r="E9" s="3"/>
      <c r="F9" s="12" t="s">
        <v>787</v>
      </c>
      <c r="G9" s="3"/>
      <c r="H9" s="3"/>
      <c r="I9" s="3"/>
      <c r="J9" s="3"/>
      <c r="K9" s="3"/>
      <c r="L9" s="3"/>
      <c r="M9" s="3"/>
      <c r="N9" s="3"/>
      <c r="O9" s="3"/>
      <c r="P9" s="3"/>
    </row>
    <row r="10" spans="1:16" ht="16" thickBot="1">
      <c r="A10" s="3"/>
      <c r="B10" s="3"/>
      <c r="C10" s="3"/>
      <c r="D10" s="4" t="s">
        <v>905</v>
      </c>
      <c r="E10" s="3"/>
      <c r="F10" s="964" t="s">
        <v>1016</v>
      </c>
      <c r="G10" s="3"/>
      <c r="H10" s="3"/>
      <c r="I10" s="35"/>
      <c r="J10" s="3"/>
      <c r="K10" s="617" t="s">
        <v>660</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18" t="s">
        <v>791</v>
      </c>
      <c r="O12" s="102"/>
      <c r="P12" s="101"/>
    </row>
    <row r="13" spans="1:16" ht="15.5">
      <c r="A13" s="3"/>
      <c r="B13" s="346" t="s">
        <v>653</v>
      </c>
      <c r="C13" s="3"/>
      <c r="D13" s="4" t="s">
        <v>788</v>
      </c>
      <c r="E13" s="3"/>
      <c r="F13" s="960" t="s">
        <v>1014</v>
      </c>
      <c r="G13" s="3"/>
      <c r="H13" s="3"/>
      <c r="I13" s="3"/>
      <c r="J13" s="3"/>
      <c r="K13" s="3"/>
      <c r="L13" s="3"/>
      <c r="M13" s="3"/>
      <c r="N13" s="101" t="s">
        <v>791</v>
      </c>
      <c r="O13" s="3"/>
      <c r="P13" s="3"/>
    </row>
    <row r="14" spans="1:16" ht="16" thickBot="1">
      <c r="A14" s="3"/>
      <c r="B14" s="3"/>
      <c r="C14" s="3"/>
      <c r="D14" s="3"/>
      <c r="E14" s="3"/>
      <c r="F14" s="961" t="s">
        <v>595</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16" t="s">
        <v>654</v>
      </c>
      <c r="C16" s="3"/>
      <c r="D16" s="4" t="s">
        <v>907</v>
      </c>
      <c r="E16" s="3"/>
      <c r="F16" s="962" t="s">
        <v>1015</v>
      </c>
      <c r="G16" s="3"/>
      <c r="H16" s="3"/>
      <c r="I16" s="3"/>
      <c r="J16" s="3"/>
      <c r="K16" s="3"/>
      <c r="L16" s="3"/>
      <c r="M16" s="3"/>
      <c r="N16" s="3"/>
      <c r="O16" s="3"/>
      <c r="P16" s="3"/>
    </row>
    <row r="17" spans="1:16" ht="16" thickBot="1">
      <c r="A17" s="3"/>
      <c r="B17" s="3"/>
      <c r="C17" s="3"/>
      <c r="D17" s="4" t="s">
        <v>906</v>
      </c>
      <c r="E17" s="3"/>
      <c r="F17" s="963" t="s">
        <v>1018</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6" t="s">
        <v>655</v>
      </c>
      <c r="C20" s="3"/>
      <c r="D20" s="4" t="s">
        <v>789</v>
      </c>
      <c r="E20" s="3"/>
      <c r="F20" s="5" t="s">
        <v>1107</v>
      </c>
      <c r="G20" s="3"/>
      <c r="H20" s="3"/>
      <c r="I20" s="35" t="s">
        <v>791</v>
      </c>
      <c r="J20" s="3"/>
      <c r="K20" s="3" t="s">
        <v>664</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790</v>
      </c>
      <c r="E23" s="3"/>
      <c r="F23" s="965" t="s">
        <v>1069</v>
      </c>
      <c r="G23" s="3" t="s">
        <v>791</v>
      </c>
      <c r="H23" s="3"/>
      <c r="I23" s="619"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09" t="s">
        <v>667</v>
      </c>
      <c r="J24" s="3"/>
      <c r="K24" s="3"/>
      <c r="L24" s="3"/>
      <c r="M24" s="3"/>
      <c r="N24" s="3"/>
      <c r="O24" s="3"/>
      <c r="P24" s="3"/>
    </row>
    <row r="25" spans="1:16" ht="13" thickBot="1">
      <c r="A25" s="3"/>
      <c r="B25" s="346" t="s">
        <v>656</v>
      </c>
      <c r="C25" s="3"/>
      <c r="D25" s="3"/>
      <c r="E25" s="3"/>
      <c r="F25" s="8"/>
      <c r="G25" s="3"/>
      <c r="H25" s="3"/>
      <c r="I25" s="709" t="s">
        <v>666</v>
      </c>
      <c r="J25" s="3"/>
      <c r="K25" s="3"/>
      <c r="L25" s="3"/>
      <c r="M25" s="3"/>
      <c r="N25" s="3"/>
      <c r="O25" s="3"/>
      <c r="P25" s="3"/>
    </row>
    <row r="26" spans="1:16" ht="16" thickBot="1">
      <c r="A26" s="3"/>
      <c r="B26" s="3"/>
      <c r="C26" s="3"/>
      <c r="D26" s="4" t="s">
        <v>914</v>
      </c>
      <c r="E26" s="3"/>
      <c r="F26" s="965" t="s">
        <v>1054</v>
      </c>
      <c r="G26" s="3"/>
      <c r="H26" s="3"/>
      <c r="I26" s="3"/>
      <c r="J26" s="528"/>
      <c r="K26" s="346" t="s">
        <v>681</v>
      </c>
      <c r="L26" s="3"/>
      <c r="M26" s="3"/>
      <c r="N26" s="3"/>
      <c r="O26" s="3"/>
      <c r="P26" s="3"/>
    </row>
    <row r="27" spans="1:16" ht="13">
      <c r="A27" s="3"/>
      <c r="B27" s="3"/>
      <c r="C27" s="3"/>
      <c r="D27" s="4" t="s">
        <v>908</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791</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78" t="str">
        <f>'Title Page'!F3</f>
        <v>OreSat - CS0</v>
      </c>
      <c r="I1" s="127"/>
      <c r="J1" s="127"/>
      <c r="K1" s="127"/>
      <c r="L1" s="127"/>
      <c r="M1" s="675" t="str">
        <f>'Title Page'!F23</f>
        <v>2019 May 5</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11" t="s">
        <v>10</v>
      </c>
      <c r="C3" s="412"/>
      <c r="D3" s="412"/>
      <c r="E3" s="413"/>
      <c r="F3" s="234"/>
      <c r="G3" s="234"/>
      <c r="H3" s="395" t="s">
        <v>290</v>
      </c>
      <c r="I3" s="395"/>
      <c r="J3" s="395"/>
      <c r="K3" s="395"/>
      <c r="L3" s="395"/>
      <c r="M3" s="395"/>
      <c r="N3" s="395"/>
      <c r="O3" s="395"/>
      <c r="P3" s="234"/>
      <c r="Q3" s="234"/>
    </row>
    <row r="4" spans="1:20">
      <c r="A4" s="234"/>
      <c r="B4" s="644" t="s">
        <v>283</v>
      </c>
      <c r="C4" s="645"/>
      <c r="D4" s="101"/>
      <c r="E4" s="239"/>
      <c r="F4" s="234"/>
      <c r="G4" s="234"/>
      <c r="H4" s="234"/>
      <c r="I4" s="234"/>
      <c r="J4" s="234"/>
      <c r="K4" s="234"/>
      <c r="L4" s="234"/>
      <c r="M4" s="234"/>
      <c r="N4" s="234"/>
      <c r="O4" s="234"/>
      <c r="P4" s="234"/>
      <c r="Q4" s="234"/>
    </row>
    <row r="5" spans="1:20" ht="13">
      <c r="A5" s="234"/>
      <c r="B5" s="646" t="s">
        <v>2</v>
      </c>
      <c r="C5" s="647"/>
      <c r="D5" s="648" t="s">
        <v>3</v>
      </c>
      <c r="E5" s="649" t="s">
        <v>794</v>
      </c>
      <c r="F5" s="234"/>
      <c r="G5" s="234"/>
      <c r="H5" s="234"/>
      <c r="I5" s="234"/>
      <c r="J5" s="234"/>
      <c r="K5" s="234"/>
      <c r="L5" s="234"/>
      <c r="M5" s="234"/>
      <c r="N5" s="234"/>
      <c r="O5" s="234"/>
      <c r="P5" s="234"/>
      <c r="Q5" s="234"/>
    </row>
    <row r="6" spans="1:20">
      <c r="A6" s="234"/>
      <c r="B6" s="406">
        <v>0</v>
      </c>
      <c r="C6" s="101" t="s">
        <v>4</v>
      </c>
      <c r="D6" s="31">
        <v>10.199999999999999</v>
      </c>
      <c r="E6" s="239" t="s">
        <v>833</v>
      </c>
      <c r="F6" s="234"/>
      <c r="G6" s="234" t="s">
        <v>5</v>
      </c>
      <c r="H6" s="234"/>
      <c r="I6" s="234"/>
      <c r="J6" s="234"/>
      <c r="K6" s="234"/>
      <c r="L6" s="234"/>
      <c r="M6" s="234"/>
      <c r="N6" s="234"/>
      <c r="O6" s="234"/>
      <c r="P6" s="234"/>
      <c r="Q6" s="234"/>
    </row>
    <row r="7" spans="1:20">
      <c r="A7" s="234"/>
      <c r="B7" s="406"/>
      <c r="C7" s="101"/>
      <c r="D7" s="31"/>
      <c r="E7" s="239"/>
      <c r="F7" s="234"/>
      <c r="G7" s="234" t="s">
        <v>6</v>
      </c>
      <c r="H7" s="234"/>
      <c r="I7" s="234"/>
      <c r="J7" s="234"/>
      <c r="K7" s="234"/>
      <c r="L7" s="234"/>
      <c r="M7" s="234"/>
      <c r="N7" s="234"/>
      <c r="O7" s="234"/>
      <c r="P7" s="234"/>
      <c r="Q7" s="234"/>
    </row>
    <row r="8" spans="1:20">
      <c r="A8" s="234"/>
      <c r="B8" s="406">
        <v>2.5</v>
      </c>
      <c r="C8" s="101" t="s">
        <v>4</v>
      </c>
      <c r="D8" s="31">
        <v>4.5999999999999996</v>
      </c>
      <c r="E8" s="239" t="s">
        <v>833</v>
      </c>
      <c r="F8" s="234"/>
      <c r="G8" s="234" t="s">
        <v>34</v>
      </c>
      <c r="H8" s="234"/>
      <c r="I8" s="234"/>
      <c r="J8" s="234"/>
      <c r="K8" s="234"/>
      <c r="L8" s="234"/>
      <c r="M8" s="234"/>
      <c r="N8" s="234"/>
      <c r="O8" s="234"/>
      <c r="P8" s="234"/>
      <c r="Q8" s="234"/>
    </row>
    <row r="9" spans="1:20">
      <c r="A9" s="234"/>
      <c r="B9" s="406"/>
      <c r="C9" s="101"/>
      <c r="D9" s="31"/>
      <c r="E9" s="239"/>
      <c r="F9" s="234"/>
      <c r="G9" s="234" t="s">
        <v>7</v>
      </c>
      <c r="H9" s="234"/>
      <c r="I9" s="234"/>
      <c r="J9" s="234"/>
      <c r="K9" s="234"/>
      <c r="L9" s="234"/>
      <c r="M9" s="234"/>
      <c r="N9" s="234"/>
      <c r="O9" s="234"/>
      <c r="P9" s="234"/>
      <c r="Q9" s="234"/>
    </row>
    <row r="10" spans="1:20">
      <c r="A10" s="234"/>
      <c r="B10" s="406">
        <v>5</v>
      </c>
      <c r="C10" s="101" t="s">
        <v>4</v>
      </c>
      <c r="D10" s="31">
        <v>2.1</v>
      </c>
      <c r="E10" s="239" t="s">
        <v>833</v>
      </c>
      <c r="F10" s="234"/>
      <c r="G10" s="234" t="s">
        <v>8</v>
      </c>
      <c r="H10" s="234"/>
      <c r="I10" s="234"/>
      <c r="J10" s="234"/>
      <c r="K10" s="234"/>
      <c r="L10" s="234"/>
      <c r="M10" s="234"/>
      <c r="N10" s="234"/>
      <c r="O10" s="234"/>
      <c r="P10" s="234"/>
      <c r="Q10" s="234"/>
    </row>
    <row r="11" spans="1:20">
      <c r="A11" s="234"/>
      <c r="B11" s="406"/>
      <c r="C11" s="101"/>
      <c r="D11" s="31"/>
      <c r="E11" s="239"/>
      <c r="F11" s="234"/>
      <c r="G11" s="234"/>
      <c r="H11" s="234"/>
      <c r="I11" s="234"/>
      <c r="J11" s="234"/>
      <c r="K11" s="234"/>
      <c r="L11" s="234"/>
      <c r="M11" s="234"/>
      <c r="N11" s="234"/>
      <c r="O11" s="234"/>
      <c r="P11" s="234"/>
      <c r="Q11" s="234"/>
    </row>
    <row r="12" spans="1:20">
      <c r="A12" s="234"/>
      <c r="B12" s="406">
        <v>10</v>
      </c>
      <c r="C12" s="101" t="s">
        <v>4</v>
      </c>
      <c r="D12" s="31">
        <v>1.1000000000000001</v>
      </c>
      <c r="E12" s="239" t="s">
        <v>833</v>
      </c>
      <c r="F12" s="234"/>
      <c r="G12" s="234" t="s">
        <v>9</v>
      </c>
      <c r="H12" s="234"/>
      <c r="I12" s="234"/>
      <c r="J12" s="234"/>
      <c r="K12" s="234"/>
      <c r="L12" s="234"/>
      <c r="M12" s="234"/>
      <c r="N12" s="234"/>
      <c r="O12" s="234"/>
      <c r="P12" s="234"/>
      <c r="Q12" s="234"/>
    </row>
    <row r="13" spans="1:20">
      <c r="A13" s="234"/>
      <c r="B13" s="406"/>
      <c r="C13" s="101"/>
      <c r="D13" s="31"/>
      <c r="E13" s="239"/>
      <c r="F13" s="234"/>
      <c r="G13" s="234" t="s">
        <v>358</v>
      </c>
      <c r="H13" s="234"/>
      <c r="I13" s="234"/>
      <c r="J13" s="234"/>
      <c r="K13" s="234"/>
      <c r="L13" s="234"/>
      <c r="M13" s="234"/>
      <c r="N13" s="234"/>
      <c r="O13" s="234"/>
      <c r="P13" s="234"/>
      <c r="Q13" s="234"/>
    </row>
    <row r="14" spans="1:20">
      <c r="A14" s="234"/>
      <c r="B14" s="406">
        <v>30</v>
      </c>
      <c r="C14" s="101" t="s">
        <v>4</v>
      </c>
      <c r="D14" s="31">
        <v>0.4</v>
      </c>
      <c r="E14" s="239" t="s">
        <v>833</v>
      </c>
      <c r="F14" s="234"/>
      <c r="G14" s="234" t="s">
        <v>296</v>
      </c>
      <c r="H14" s="234"/>
      <c r="I14" s="234"/>
      <c r="J14" s="234"/>
      <c r="K14" s="234"/>
      <c r="L14" s="234"/>
      <c r="M14" s="234"/>
      <c r="N14" s="234"/>
      <c r="O14" s="234"/>
      <c r="P14" s="234"/>
      <c r="Q14" s="234"/>
    </row>
    <row r="15" spans="1:20">
      <c r="A15" s="234"/>
      <c r="B15" s="406"/>
      <c r="C15" s="101"/>
      <c r="D15" s="31"/>
      <c r="E15" s="239"/>
      <c r="F15" s="234"/>
      <c r="G15" s="234"/>
      <c r="H15" s="234"/>
      <c r="I15" s="234"/>
      <c r="J15" s="234"/>
      <c r="K15" s="234"/>
      <c r="L15" s="234"/>
      <c r="M15" s="234"/>
      <c r="N15" s="234"/>
      <c r="O15" s="234"/>
      <c r="P15" s="234"/>
      <c r="Q15" s="234"/>
    </row>
    <row r="16" spans="1:20" ht="13">
      <c r="A16" s="234"/>
      <c r="B16" s="406">
        <v>45</v>
      </c>
      <c r="C16" s="101" t="s">
        <v>4</v>
      </c>
      <c r="D16" s="31">
        <v>0.3</v>
      </c>
      <c r="E16" s="239" t="s">
        <v>833</v>
      </c>
      <c r="F16" s="234"/>
      <c r="G16" s="234" t="s">
        <v>35</v>
      </c>
      <c r="H16" s="234"/>
      <c r="I16" s="234"/>
      <c r="J16" s="234"/>
      <c r="K16" s="234"/>
      <c r="L16" s="234"/>
      <c r="M16" s="234"/>
      <c r="N16" s="234"/>
      <c r="O16" s="234"/>
      <c r="P16" s="234"/>
      <c r="Q16" s="234"/>
    </row>
    <row r="17" spans="1:17">
      <c r="A17" s="234"/>
      <c r="B17" s="406"/>
      <c r="C17" s="101"/>
      <c r="D17" s="31"/>
      <c r="E17" s="239"/>
      <c r="F17" s="234"/>
      <c r="G17" s="234" t="s">
        <v>19</v>
      </c>
      <c r="H17" s="234"/>
      <c r="I17" s="234"/>
      <c r="J17" s="234"/>
      <c r="K17" s="234"/>
      <c r="L17" s="234"/>
      <c r="M17" s="234"/>
      <c r="N17" s="234"/>
      <c r="O17" s="234"/>
      <c r="P17" s="234"/>
      <c r="Q17" s="234"/>
    </row>
    <row r="18" spans="1:17">
      <c r="A18" s="234"/>
      <c r="B18" s="406">
        <v>90</v>
      </c>
      <c r="C18" s="101" t="s">
        <v>4</v>
      </c>
      <c r="D18" s="409">
        <v>0</v>
      </c>
      <c r="E18" s="239" t="s">
        <v>833</v>
      </c>
      <c r="F18" s="234"/>
      <c r="G18" s="234"/>
      <c r="H18" s="234"/>
      <c r="I18" s="234"/>
      <c r="J18" s="234"/>
      <c r="K18" s="234"/>
      <c r="L18" s="234"/>
      <c r="M18" s="234"/>
      <c r="N18" s="234"/>
      <c r="O18" s="234"/>
      <c r="P18" s="234"/>
      <c r="Q18" s="234"/>
    </row>
    <row r="19" spans="1:17">
      <c r="A19" s="234"/>
      <c r="B19" s="406"/>
      <c r="C19" s="101"/>
      <c r="D19" s="101"/>
      <c r="E19" s="239"/>
      <c r="F19" s="234"/>
      <c r="G19" s="234" t="s">
        <v>16</v>
      </c>
      <c r="H19" s="234"/>
      <c r="I19" s="234"/>
      <c r="J19" s="234"/>
      <c r="K19" s="234"/>
      <c r="L19" s="234"/>
      <c r="M19" s="234"/>
      <c r="N19" s="234"/>
      <c r="O19" s="234"/>
      <c r="P19" s="234"/>
      <c r="Q19" s="234"/>
    </row>
    <row r="20" spans="1:17" ht="13" thickBot="1">
      <c r="A20" s="234"/>
      <c r="B20" s="406"/>
      <c r="C20" s="101"/>
      <c r="D20" s="101"/>
      <c r="E20" s="239"/>
      <c r="F20" s="234"/>
      <c r="G20" s="234" t="s">
        <v>17</v>
      </c>
      <c r="H20" s="234"/>
      <c r="I20" s="234"/>
      <c r="J20" s="234"/>
      <c r="K20" s="234"/>
      <c r="L20" s="234"/>
      <c r="M20" s="234"/>
      <c r="N20" s="234"/>
      <c r="O20" s="234"/>
      <c r="P20" s="234"/>
      <c r="Q20" s="234"/>
    </row>
    <row r="21" spans="1:17" ht="13.5" thickBot="1">
      <c r="A21" s="234"/>
      <c r="B21" s="406" t="s">
        <v>11</v>
      </c>
      <c r="C21" s="101"/>
      <c r="D21" s="905">
        <v>10</v>
      </c>
      <c r="E21" s="101" t="s">
        <v>12</v>
      </c>
      <c r="F21" s="904" t="s">
        <v>140</v>
      </c>
      <c r="G21" s="234"/>
      <c r="H21" s="234"/>
      <c r="I21" s="234"/>
      <c r="J21" s="234"/>
      <c r="K21" s="234"/>
      <c r="L21" s="234"/>
      <c r="M21" s="234"/>
      <c r="N21" s="234"/>
      <c r="O21" s="234"/>
      <c r="P21" s="234"/>
      <c r="Q21" s="234"/>
    </row>
    <row r="22" spans="1:17">
      <c r="A22" s="234"/>
      <c r="B22" s="406"/>
      <c r="C22" s="101"/>
      <c r="D22" s="101"/>
      <c r="E22" s="239"/>
      <c r="F22" s="234"/>
      <c r="G22" s="234" t="s">
        <v>168</v>
      </c>
      <c r="H22" s="234"/>
      <c r="I22" s="234"/>
      <c r="J22" s="234"/>
      <c r="K22" s="234"/>
      <c r="L22" s="234"/>
      <c r="M22" s="234"/>
      <c r="N22" s="234"/>
      <c r="O22" s="234"/>
      <c r="P22" s="234"/>
      <c r="Q22" s="234"/>
    </row>
    <row r="23" spans="1:17">
      <c r="A23" s="234"/>
      <c r="B23" s="406" t="s">
        <v>13</v>
      </c>
      <c r="C23" s="101"/>
      <c r="D23" s="132">
        <f>IF(D21&lt;B8,4.6,INDEX(D6:D18,MATCH(D21,B6:B18,1),1))</f>
        <v>1.1000000000000001</v>
      </c>
      <c r="E23" s="239" t="s">
        <v>833</v>
      </c>
      <c r="F23" s="234"/>
      <c r="G23" s="234" t="s">
        <v>169</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395" t="s">
        <v>291</v>
      </c>
      <c r="I26" s="234"/>
      <c r="J26" s="234"/>
      <c r="K26" s="234"/>
      <c r="L26" s="234"/>
      <c r="M26" s="234"/>
      <c r="N26" s="234"/>
      <c r="O26" s="234"/>
      <c r="P26" s="234"/>
      <c r="Q26" s="234"/>
    </row>
    <row r="27" spans="1:17">
      <c r="A27" s="234"/>
      <c r="B27" s="234"/>
      <c r="C27" s="234"/>
      <c r="D27" s="234" t="s">
        <v>791</v>
      </c>
      <c r="E27" s="234"/>
      <c r="F27" s="234"/>
      <c r="G27" s="234"/>
      <c r="H27" s="234"/>
      <c r="I27" s="234"/>
      <c r="J27" s="234"/>
      <c r="K27" s="234"/>
      <c r="L27" s="234"/>
      <c r="M27" s="234"/>
      <c r="N27" s="234"/>
      <c r="O27" s="234"/>
      <c r="P27" s="234"/>
      <c r="Q27" s="234"/>
    </row>
    <row r="28" spans="1:17" ht="13">
      <c r="A28" s="234"/>
      <c r="B28" s="411" t="s">
        <v>18</v>
      </c>
      <c r="C28" s="414"/>
      <c r="D28" s="414"/>
      <c r="E28" s="413"/>
      <c r="F28" s="234"/>
      <c r="G28" s="234" t="s">
        <v>148</v>
      </c>
      <c r="H28" s="234"/>
      <c r="I28" s="234"/>
      <c r="J28" s="234"/>
      <c r="K28" s="234"/>
      <c r="L28" s="234"/>
      <c r="M28" s="234"/>
      <c r="N28" s="234"/>
      <c r="O28" s="234"/>
      <c r="P28" s="234"/>
      <c r="Q28" s="234"/>
    </row>
    <row r="29" spans="1:17">
      <c r="A29" s="234"/>
      <c r="B29" s="653" t="s">
        <v>834</v>
      </c>
      <c r="C29" s="101" t="s">
        <v>288</v>
      </c>
      <c r="D29" s="101"/>
      <c r="E29" s="650">
        <f>'Uplink Budget'!B17</f>
        <v>0.2</v>
      </c>
      <c r="F29" s="234"/>
      <c r="G29" s="235" t="s">
        <v>20</v>
      </c>
      <c r="H29" s="234"/>
      <c r="I29" s="234"/>
      <c r="J29" s="234"/>
      <c r="K29" s="234"/>
      <c r="L29" s="234"/>
      <c r="M29" s="234"/>
      <c r="N29" s="234"/>
      <c r="O29" s="234"/>
      <c r="P29" s="234"/>
      <c r="Q29" s="234"/>
    </row>
    <row r="30" spans="1:17" ht="13">
      <c r="A30" s="86"/>
      <c r="B30" s="652" t="s">
        <v>829</v>
      </c>
      <c r="C30" s="648" t="s">
        <v>794</v>
      </c>
      <c r="D30" s="648" t="s">
        <v>3</v>
      </c>
      <c r="E30" s="649" t="s">
        <v>794</v>
      </c>
      <c r="F30" s="234"/>
      <c r="G30" s="234" t="s">
        <v>21</v>
      </c>
      <c r="H30" s="234"/>
      <c r="I30" s="234"/>
      <c r="J30" s="234"/>
      <c r="K30" s="234"/>
      <c r="L30" s="234"/>
      <c r="M30" s="234"/>
      <c r="N30" s="234"/>
      <c r="O30" s="234"/>
      <c r="P30" s="234"/>
      <c r="Q30" s="234"/>
    </row>
    <row r="31" spans="1:17">
      <c r="A31" s="234"/>
      <c r="B31" s="406"/>
      <c r="C31" s="101"/>
      <c r="D31" s="101"/>
      <c r="E31" s="239"/>
      <c r="F31" s="234"/>
      <c r="G31" s="234" t="s">
        <v>24</v>
      </c>
      <c r="H31" s="234"/>
      <c r="I31" s="234"/>
      <c r="J31" s="234"/>
      <c r="K31" s="234"/>
      <c r="L31" s="234"/>
      <c r="M31" s="234"/>
      <c r="N31" s="234"/>
      <c r="O31" s="234"/>
      <c r="P31" s="234"/>
      <c r="Q31" s="234"/>
    </row>
    <row r="32" spans="1:17">
      <c r="A32" s="234"/>
      <c r="B32" s="122">
        <v>146</v>
      </c>
      <c r="C32" s="123" t="s">
        <v>830</v>
      </c>
      <c r="D32" s="405">
        <v>0.7</v>
      </c>
      <c r="E32" s="124" t="s">
        <v>833</v>
      </c>
      <c r="F32" s="234"/>
      <c r="G32" s="234" t="s">
        <v>25</v>
      </c>
      <c r="H32" s="234"/>
      <c r="I32" s="234"/>
      <c r="J32" s="234"/>
      <c r="K32" s="234"/>
      <c r="L32" s="234"/>
      <c r="M32" s="234"/>
      <c r="N32" s="234"/>
      <c r="O32" s="234"/>
      <c r="P32" s="234"/>
      <c r="Q32" s="234"/>
    </row>
    <row r="33" spans="1:17">
      <c r="A33" s="234"/>
      <c r="B33" s="122">
        <v>438</v>
      </c>
      <c r="C33" s="123" t="s">
        <v>830</v>
      </c>
      <c r="D33" s="405">
        <v>0.4</v>
      </c>
      <c r="E33" s="124" t="s">
        <v>833</v>
      </c>
      <c r="F33" s="234"/>
      <c r="G33" s="234"/>
      <c r="H33" s="234"/>
      <c r="I33" s="234"/>
      <c r="J33" s="234"/>
      <c r="K33" s="234"/>
      <c r="L33" s="234"/>
      <c r="M33" s="234"/>
      <c r="N33" s="234"/>
      <c r="O33" s="234"/>
      <c r="P33" s="234"/>
      <c r="Q33" s="234"/>
    </row>
    <row r="34" spans="1:17" ht="13" thickBot="1">
      <c r="A34" s="234"/>
      <c r="B34" s="122">
        <v>2410</v>
      </c>
      <c r="C34" s="123" t="s">
        <v>830</v>
      </c>
      <c r="D34" s="902">
        <v>0.1</v>
      </c>
      <c r="E34" s="124" t="s">
        <v>833</v>
      </c>
      <c r="F34" s="234"/>
      <c r="G34" s="234" t="s">
        <v>198</v>
      </c>
      <c r="H34" s="234"/>
      <c r="I34" s="234"/>
      <c r="J34" s="234"/>
      <c r="K34" s="234"/>
      <c r="L34" s="234"/>
      <c r="M34" s="234"/>
      <c r="N34" s="234"/>
      <c r="O34" s="234"/>
      <c r="P34" s="234"/>
      <c r="Q34" s="234"/>
    </row>
    <row r="35" spans="1:17" ht="13" thickBot="1">
      <c r="A35" s="234"/>
      <c r="B35" s="416">
        <f>Frequency!C13</f>
        <v>436.5</v>
      </c>
      <c r="C35" s="417" t="s">
        <v>830</v>
      </c>
      <c r="D35" s="903">
        <v>0.2</v>
      </c>
      <c r="E35" s="124" t="s">
        <v>833</v>
      </c>
      <c r="F35" s="234"/>
      <c r="G35" s="234" t="s">
        <v>199</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297</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249</v>
      </c>
      <c r="H40" s="234"/>
      <c r="I40" s="234"/>
      <c r="J40" s="234"/>
      <c r="K40" s="234"/>
      <c r="L40" s="234"/>
      <c r="M40" s="234"/>
      <c r="N40" s="234"/>
      <c r="O40" s="234"/>
      <c r="P40" s="234"/>
      <c r="Q40" s="234"/>
    </row>
    <row r="41" spans="1:17" ht="13">
      <c r="A41" s="234"/>
      <c r="B41" s="411" t="s">
        <v>18</v>
      </c>
      <c r="C41" s="414"/>
      <c r="D41" s="414"/>
      <c r="E41" s="413"/>
      <c r="F41" s="234"/>
      <c r="G41" s="234" t="s">
        <v>32</v>
      </c>
      <c r="H41" s="234"/>
      <c r="I41" s="234"/>
      <c r="J41" s="234"/>
      <c r="K41" s="234"/>
      <c r="L41" s="234"/>
      <c r="M41" s="234"/>
      <c r="N41" s="234"/>
      <c r="O41" s="234"/>
      <c r="P41" s="234"/>
      <c r="Q41" s="234"/>
    </row>
    <row r="42" spans="1:17">
      <c r="A42" s="234"/>
      <c r="B42" s="404" t="s">
        <v>835</v>
      </c>
      <c r="C42" s="101" t="s">
        <v>286</v>
      </c>
      <c r="D42" s="101"/>
      <c r="E42" s="415">
        <f>'Downlink Budget'!B17</f>
        <v>0.4</v>
      </c>
      <c r="F42" s="234"/>
      <c r="G42" s="234" t="s">
        <v>31</v>
      </c>
      <c r="H42" s="234"/>
      <c r="I42" s="234"/>
      <c r="J42" s="234"/>
      <c r="K42" s="234"/>
      <c r="L42" s="234"/>
      <c r="M42" s="234"/>
      <c r="N42" s="234"/>
      <c r="O42" s="234"/>
      <c r="P42" s="234"/>
      <c r="Q42" s="234"/>
    </row>
    <row r="43" spans="1:17" ht="13">
      <c r="A43" s="234"/>
      <c r="B43" s="133" t="s">
        <v>829</v>
      </c>
      <c r="C43" s="130" t="s">
        <v>794</v>
      </c>
      <c r="D43" s="130" t="s">
        <v>3</v>
      </c>
      <c r="E43" s="131" t="s">
        <v>794</v>
      </c>
      <c r="F43" s="234"/>
      <c r="G43" s="234" t="s">
        <v>33</v>
      </c>
      <c r="H43" s="234"/>
      <c r="I43" s="234"/>
      <c r="J43" s="234"/>
      <c r="K43" s="234"/>
      <c r="L43" s="234"/>
      <c r="M43" s="234"/>
      <c r="N43" s="234"/>
      <c r="O43" s="234"/>
      <c r="P43" s="234"/>
      <c r="Q43" s="234"/>
    </row>
    <row r="44" spans="1:17">
      <c r="A44" s="234"/>
      <c r="B44" s="406"/>
      <c r="C44" s="101"/>
      <c r="D44" s="101"/>
      <c r="E44" s="239"/>
      <c r="F44" s="234"/>
      <c r="G44" s="234"/>
      <c r="H44" s="234"/>
      <c r="I44" s="234"/>
      <c r="J44" s="234"/>
      <c r="K44" s="234"/>
      <c r="L44" s="234"/>
      <c r="M44" s="234"/>
      <c r="N44" s="234"/>
      <c r="O44" s="234"/>
      <c r="P44" s="234"/>
      <c r="Q44" s="234"/>
    </row>
    <row r="45" spans="1:17">
      <c r="A45" s="234"/>
      <c r="B45" s="122">
        <v>146</v>
      </c>
      <c r="C45" s="123" t="s">
        <v>830</v>
      </c>
      <c r="D45" s="407">
        <v>0.7</v>
      </c>
      <c r="E45" s="124" t="s">
        <v>833</v>
      </c>
      <c r="F45" s="234"/>
      <c r="G45" s="234" t="s">
        <v>285</v>
      </c>
      <c r="H45" s="234"/>
      <c r="I45" s="234"/>
      <c r="J45" s="234"/>
      <c r="K45" s="234"/>
      <c r="L45" s="234"/>
      <c r="M45" s="234"/>
      <c r="N45" s="234"/>
      <c r="O45" s="234"/>
      <c r="P45" s="234"/>
      <c r="Q45" s="234"/>
    </row>
    <row r="46" spans="1:17">
      <c r="A46" s="234"/>
      <c r="B46" s="122">
        <v>438</v>
      </c>
      <c r="C46" s="123" t="s">
        <v>830</v>
      </c>
      <c r="D46" s="407">
        <v>0.4</v>
      </c>
      <c r="E46" s="124" t="s">
        <v>833</v>
      </c>
      <c r="F46" s="234"/>
      <c r="G46" s="234" t="s">
        <v>359</v>
      </c>
      <c r="H46" s="234"/>
      <c r="I46" s="234"/>
      <c r="J46" s="234"/>
      <c r="K46" s="234"/>
      <c r="L46" s="234"/>
      <c r="M46" s="234"/>
      <c r="N46" s="234"/>
      <c r="O46" s="234"/>
      <c r="P46" s="234"/>
      <c r="Q46" s="234"/>
    </row>
    <row r="47" spans="1:17">
      <c r="A47" s="234"/>
      <c r="B47" s="122">
        <v>2410</v>
      </c>
      <c r="C47" s="123" t="s">
        <v>830</v>
      </c>
      <c r="D47" s="407">
        <v>0.1</v>
      </c>
      <c r="E47" s="124" t="s">
        <v>833</v>
      </c>
      <c r="F47" s="234"/>
      <c r="G47" s="234" t="s">
        <v>287</v>
      </c>
      <c r="H47" s="234"/>
      <c r="I47" s="234"/>
      <c r="J47" s="234"/>
      <c r="K47" s="234"/>
      <c r="L47" s="234"/>
      <c r="M47" s="234"/>
      <c r="N47" s="234"/>
      <c r="O47" s="234"/>
      <c r="P47" s="234"/>
      <c r="Q47" s="234"/>
    </row>
    <row r="48" spans="1:17">
      <c r="A48" s="234"/>
      <c r="B48" s="416">
        <f>Frequency!C19</f>
        <v>436.5</v>
      </c>
      <c r="C48" s="417" t="s">
        <v>830</v>
      </c>
      <c r="D48" s="408">
        <v>0.4</v>
      </c>
      <c r="E48" s="124" t="s">
        <v>833</v>
      </c>
      <c r="F48" s="234"/>
      <c r="G48" s="234" t="s">
        <v>289</v>
      </c>
      <c r="H48" s="234"/>
      <c r="I48" s="234"/>
      <c r="J48" s="234"/>
      <c r="K48" s="234"/>
      <c r="L48" s="234"/>
      <c r="M48" s="234"/>
      <c r="N48" s="234"/>
      <c r="O48" s="234"/>
      <c r="P48" s="234"/>
      <c r="Q48" s="234"/>
    </row>
    <row r="49" spans="1:18">
      <c r="A49" s="234"/>
      <c r="B49" s="122"/>
      <c r="C49" s="123"/>
      <c r="D49" s="123"/>
      <c r="E49" s="124"/>
      <c r="F49" s="234"/>
      <c r="G49" s="234"/>
      <c r="H49" s="234" t="s">
        <v>791</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297</v>
      </c>
      <c r="C51" s="234"/>
      <c r="D51" s="234"/>
      <c r="E51" s="234"/>
      <c r="F51" s="234"/>
      <c r="G51" s="234" t="s">
        <v>674</v>
      </c>
      <c r="H51" s="234"/>
      <c r="I51" s="234"/>
      <c r="J51" s="234"/>
      <c r="K51" s="234"/>
      <c r="L51" s="234"/>
      <c r="M51" s="234"/>
      <c r="N51" s="234"/>
      <c r="O51" s="234"/>
      <c r="P51" s="234"/>
      <c r="Q51" s="234"/>
    </row>
    <row r="52" spans="1:18">
      <c r="A52" s="234"/>
      <c r="B52" s="234" t="s">
        <v>675</v>
      </c>
      <c r="C52" s="234"/>
      <c r="D52" s="234"/>
      <c r="E52" s="234"/>
      <c r="F52" s="234"/>
      <c r="G52" s="234"/>
      <c r="H52" s="234"/>
      <c r="I52" s="234"/>
      <c r="J52" s="234"/>
      <c r="K52" s="234"/>
      <c r="L52" s="234"/>
      <c r="M52" s="234"/>
      <c r="N52" s="234"/>
      <c r="O52" s="234"/>
      <c r="P52" s="234"/>
      <c r="Q52" s="234"/>
      <c r="R52" s="234"/>
    </row>
    <row r="53" spans="1:18">
      <c r="A53" s="234"/>
      <c r="B53" s="234" t="s">
        <v>676</v>
      </c>
      <c r="C53" s="234"/>
      <c r="D53" s="234"/>
      <c r="E53" s="234"/>
      <c r="F53" s="234"/>
      <c r="G53" s="234"/>
      <c r="H53" s="234"/>
      <c r="I53" s="234"/>
      <c r="J53" s="234"/>
      <c r="K53" s="234"/>
      <c r="L53" s="234"/>
      <c r="M53" s="234"/>
      <c r="N53" s="234"/>
      <c r="O53" s="234"/>
      <c r="P53" s="234"/>
      <c r="Q53" s="234"/>
      <c r="R53" s="234"/>
    </row>
    <row r="54" spans="1:18">
      <c r="A54" s="234"/>
      <c r="B54" s="234" t="s">
        <v>677</v>
      </c>
      <c r="C54" s="234"/>
      <c r="D54" s="234"/>
      <c r="E54" s="234"/>
      <c r="F54" s="234"/>
      <c r="G54" s="234"/>
      <c r="H54" s="234"/>
      <c r="I54" s="234"/>
      <c r="J54" s="234"/>
      <c r="K54" s="234"/>
      <c r="L54" s="234"/>
      <c r="M54" s="234"/>
      <c r="N54" s="234"/>
      <c r="O54" s="234"/>
      <c r="P54" s="234"/>
      <c r="Q54" s="234"/>
      <c r="R54" s="234"/>
    </row>
    <row r="55" spans="1:18">
      <c r="A55" s="234"/>
      <c r="B55" s="234" t="s">
        <v>678</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01"/>
      <c r="C75" s="901"/>
      <c r="D75" s="901"/>
      <c r="E75" s="901"/>
      <c r="F75" s="234"/>
      <c r="G75" s="234"/>
      <c r="H75" s="234"/>
      <c r="I75" s="234"/>
      <c r="J75" s="234"/>
      <c r="K75" s="234"/>
      <c r="L75" s="234"/>
      <c r="M75" s="234"/>
      <c r="N75" s="234"/>
      <c r="O75" s="234"/>
      <c r="P75" s="234"/>
      <c r="Q75" s="234"/>
      <c r="R75" s="234"/>
    </row>
    <row r="76" spans="1:18">
      <c r="A76" s="234"/>
      <c r="B76" s="901"/>
      <c r="C76" s="901"/>
      <c r="D76" s="901"/>
      <c r="E76" s="901"/>
      <c r="F76" s="234"/>
      <c r="G76" s="234"/>
      <c r="H76" s="234"/>
      <c r="I76" s="234"/>
      <c r="J76" s="234"/>
      <c r="K76" s="234"/>
      <c r="L76" s="234"/>
      <c r="M76" s="234"/>
      <c r="N76" s="234"/>
      <c r="O76" s="234"/>
      <c r="P76" s="234"/>
      <c r="Q76" s="234"/>
      <c r="R76" s="234"/>
    </row>
    <row r="77" spans="1:18">
      <c r="A77" s="234"/>
      <c r="B77" s="901"/>
      <c r="C77" s="901"/>
      <c r="D77" s="901"/>
      <c r="E77" s="901"/>
      <c r="F77" s="234"/>
      <c r="G77" s="234"/>
      <c r="H77" s="234"/>
      <c r="I77" s="234"/>
      <c r="J77" s="234"/>
      <c r="K77" s="234"/>
      <c r="L77" s="234"/>
      <c r="M77" s="234"/>
      <c r="N77" s="234"/>
      <c r="O77" s="234"/>
      <c r="P77" s="234"/>
      <c r="Q77" s="234"/>
      <c r="R77" s="234"/>
    </row>
    <row r="78" spans="1:18">
      <c r="A78" s="234"/>
      <c r="B78" s="901"/>
      <c r="C78" s="901"/>
      <c r="D78" s="901"/>
      <c r="E78" s="901"/>
      <c r="F78" s="234"/>
      <c r="G78" s="234"/>
      <c r="H78" s="234"/>
      <c r="I78" s="234"/>
      <c r="J78" s="234"/>
      <c r="K78" s="234"/>
      <c r="L78" s="234"/>
      <c r="M78" s="234"/>
      <c r="N78" s="234"/>
      <c r="O78" s="234"/>
      <c r="P78" s="234"/>
      <c r="Q78" s="234"/>
      <c r="R78" s="234"/>
    </row>
    <row r="79" spans="1:18">
      <c r="A79" s="234"/>
      <c r="B79" s="901"/>
      <c r="C79" s="901"/>
      <c r="D79" s="901"/>
      <c r="E79" s="901"/>
      <c r="F79" s="234"/>
      <c r="G79" s="234"/>
      <c r="H79" s="234"/>
      <c r="I79" s="234"/>
      <c r="J79" s="234"/>
      <c r="K79" s="234"/>
      <c r="L79" s="234"/>
      <c r="M79" s="234"/>
      <c r="N79" s="234"/>
      <c r="O79" s="234"/>
      <c r="P79" s="234"/>
      <c r="Q79" s="234"/>
      <c r="R79" s="234"/>
    </row>
    <row r="80" spans="1:18">
      <c r="A80" s="234"/>
      <c r="B80" s="901"/>
      <c r="C80" s="901"/>
      <c r="D80" s="901"/>
      <c r="E80" s="901"/>
      <c r="F80" s="234"/>
      <c r="G80" s="234"/>
      <c r="H80" s="234"/>
      <c r="I80" s="234"/>
      <c r="J80" s="234"/>
      <c r="K80" s="234"/>
      <c r="L80" s="234"/>
      <c r="M80" s="234"/>
      <c r="N80" s="234"/>
      <c r="O80" s="234"/>
      <c r="P80" s="234"/>
      <c r="Q80" s="234"/>
      <c r="R80" s="234"/>
    </row>
    <row r="81" spans="1:18">
      <c r="A81" s="234"/>
      <c r="B81" s="901"/>
      <c r="C81" s="901"/>
      <c r="D81" s="901"/>
      <c r="E81" s="901"/>
      <c r="F81" s="234"/>
      <c r="G81" s="234"/>
      <c r="H81" s="234"/>
      <c r="I81" s="234"/>
      <c r="J81" s="234"/>
      <c r="K81" s="234"/>
      <c r="L81" s="234"/>
      <c r="M81" s="234"/>
      <c r="N81" s="234"/>
      <c r="O81" s="234"/>
      <c r="P81" s="234"/>
      <c r="Q81" s="234"/>
      <c r="R81" s="234"/>
    </row>
    <row r="82" spans="1:18">
      <c r="A82" s="234"/>
      <c r="B82" s="901"/>
      <c r="C82" s="901"/>
      <c r="D82" s="901"/>
      <c r="E82" s="901"/>
      <c r="F82" s="234"/>
      <c r="G82" s="234"/>
      <c r="H82" s="234"/>
      <c r="I82" s="234"/>
      <c r="J82" s="234"/>
      <c r="K82" s="234"/>
      <c r="L82" s="234"/>
      <c r="M82" s="234"/>
      <c r="N82" s="234"/>
      <c r="O82" s="234"/>
      <c r="P82" s="234"/>
      <c r="Q82" s="234"/>
      <c r="R82" s="234"/>
    </row>
    <row r="83" spans="1:18">
      <c r="A83" s="234"/>
      <c r="B83" s="901"/>
      <c r="C83" s="901"/>
      <c r="D83" s="901"/>
      <c r="E83" s="901"/>
      <c r="F83" s="234"/>
      <c r="G83" s="234"/>
      <c r="H83" s="234"/>
      <c r="I83" s="234"/>
      <c r="J83" s="234"/>
      <c r="K83" s="234"/>
      <c r="L83" s="234"/>
      <c r="M83" s="234"/>
      <c r="N83" s="234"/>
      <c r="O83" s="234"/>
      <c r="P83" s="234"/>
      <c r="Q83" s="234"/>
      <c r="R83" s="234"/>
    </row>
    <row r="84" spans="1:18">
      <c r="A84" s="234"/>
      <c r="B84" s="901"/>
      <c r="C84" s="901"/>
      <c r="D84" s="901"/>
      <c r="E84" s="901"/>
      <c r="F84" s="234"/>
      <c r="G84" s="234"/>
      <c r="H84" s="234"/>
      <c r="I84" s="234"/>
      <c r="J84" s="234"/>
      <c r="K84" s="234"/>
      <c r="L84" s="234"/>
      <c r="M84" s="234"/>
      <c r="N84" s="234"/>
      <c r="O84" s="234"/>
      <c r="P84" s="234"/>
      <c r="Q84" s="234"/>
      <c r="R84" s="234"/>
    </row>
    <row r="85" spans="1:18">
      <c r="A85" s="901"/>
      <c r="B85" s="901"/>
      <c r="C85" s="901"/>
      <c r="D85" s="901"/>
      <c r="E85" s="901"/>
      <c r="F85" s="901"/>
      <c r="G85" s="901"/>
      <c r="H85" s="901"/>
      <c r="I85" s="901"/>
      <c r="J85" s="901"/>
      <c r="K85" s="901"/>
      <c r="L85" s="901"/>
      <c r="M85" s="901"/>
      <c r="N85" s="901"/>
      <c r="O85" s="901"/>
      <c r="P85" s="901"/>
      <c r="Q85" s="901"/>
      <c r="R85" s="901"/>
    </row>
    <row r="86" spans="1:18">
      <c r="A86" s="901"/>
      <c r="B86" s="901"/>
      <c r="C86" s="901"/>
      <c r="D86" s="901"/>
      <c r="E86" s="901"/>
      <c r="F86" s="901"/>
      <c r="G86" s="901"/>
      <c r="H86" s="901"/>
      <c r="I86" s="901"/>
      <c r="J86" s="901"/>
      <c r="K86" s="901"/>
      <c r="L86" s="901"/>
      <c r="M86" s="901"/>
      <c r="N86" s="901"/>
      <c r="O86" s="901"/>
      <c r="P86" s="901"/>
      <c r="Q86" s="901"/>
      <c r="R86" s="901"/>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250</v>
      </c>
      <c r="B1" s="127"/>
      <c r="C1" s="127"/>
      <c r="D1" s="127"/>
      <c r="E1" s="678" t="str">
        <f>'Title Page'!F3</f>
        <v>OreSat - CS0</v>
      </c>
      <c r="F1" s="127"/>
      <c r="G1" s="675" t="str">
        <f>'Title Page'!F23</f>
        <v>2019 May 5</v>
      </c>
      <c r="H1" s="127"/>
      <c r="I1" s="127"/>
      <c r="J1" s="127"/>
      <c r="K1" s="127"/>
      <c r="L1" s="127"/>
      <c r="M1" s="127"/>
      <c r="N1" s="127"/>
      <c r="O1" s="127"/>
      <c r="P1" s="127"/>
      <c r="Q1" s="127"/>
      <c r="R1" s="127"/>
      <c r="S1" s="127"/>
      <c r="T1" s="127"/>
      <c r="U1" s="127"/>
    </row>
    <row r="2" spans="1:21" ht="13" thickBot="1">
      <c r="A2" s="679" t="s">
        <v>673</v>
      </c>
      <c r="B2" s="680"/>
      <c r="C2" s="681" t="s">
        <v>791</v>
      </c>
      <c r="D2" s="3"/>
      <c r="E2" s="233" t="s">
        <v>934</v>
      </c>
      <c r="F2" s="3" t="s">
        <v>935</v>
      </c>
      <c r="G2" s="234" t="s">
        <v>126</v>
      </c>
      <c r="H2" s="234"/>
      <c r="I2" s="234"/>
      <c r="J2" s="234"/>
      <c r="K2" s="234"/>
      <c r="L2" s="234"/>
      <c r="M2" s="234"/>
      <c r="N2" s="234"/>
      <c r="O2" s="234"/>
      <c r="P2" s="234"/>
      <c r="Q2" s="234"/>
      <c r="R2" s="234"/>
      <c r="S2" s="234"/>
      <c r="T2" s="234"/>
      <c r="U2" s="234"/>
    </row>
    <row r="3" spans="1:21" ht="16" thickBot="1">
      <c r="A3" s="633" t="s">
        <v>127</v>
      </c>
      <c r="B3" s="634"/>
      <c r="C3" s="655" t="s">
        <v>932</v>
      </c>
      <c r="D3" s="656"/>
      <c r="E3" s="654">
        <v>11</v>
      </c>
      <c r="F3" s="718" t="str">
        <f>INDEX(C6:C24,E3,1)</f>
        <v>GMSK w/ BT=0.3</v>
      </c>
      <c r="G3" s="234"/>
      <c r="H3" s="72" t="s">
        <v>334</v>
      </c>
      <c r="I3" s="234"/>
      <c r="J3" s="234"/>
      <c r="K3" s="234"/>
      <c r="L3" s="234"/>
      <c r="M3" s="234"/>
      <c r="N3" s="234"/>
      <c r="O3" s="234"/>
      <c r="P3" s="234"/>
      <c r="Q3" s="234"/>
      <c r="R3" s="234"/>
      <c r="S3" s="234"/>
      <c r="T3" s="234"/>
      <c r="U3" s="234"/>
    </row>
    <row r="4" spans="1:21" ht="13.5" thickBot="1">
      <c r="A4" s="702" t="s">
        <v>669</v>
      </c>
      <c r="B4" s="3"/>
      <c r="C4" s="3"/>
      <c r="D4" s="3"/>
      <c r="E4" s="3"/>
      <c r="F4" s="3"/>
      <c r="G4" s="234"/>
      <c r="H4" s="73" t="s">
        <v>335</v>
      </c>
      <c r="I4" s="234"/>
      <c r="J4" s="234"/>
      <c r="K4" s="234"/>
      <c r="L4" s="234"/>
      <c r="M4" s="234"/>
      <c r="N4" s="234"/>
      <c r="O4" s="234"/>
      <c r="P4" s="234"/>
      <c r="Q4" s="234"/>
      <c r="R4" s="234"/>
      <c r="S4" s="234"/>
      <c r="T4" s="234"/>
      <c r="U4" s="234"/>
    </row>
    <row r="5" spans="1:21" ht="15.5">
      <c r="A5" s="234"/>
      <c r="B5" s="66" t="s">
        <v>918</v>
      </c>
      <c r="C5" s="66" t="s">
        <v>917</v>
      </c>
      <c r="D5" s="66" t="s">
        <v>919</v>
      </c>
      <c r="E5" s="66" t="s">
        <v>920</v>
      </c>
      <c r="F5" s="66" t="s">
        <v>921</v>
      </c>
      <c r="G5" s="234"/>
      <c r="H5" s="75">
        <f>INDEX(F6:F24,E3,1)+E26</f>
        <v>10.9</v>
      </c>
      <c r="I5" s="234"/>
      <c r="J5" s="234"/>
      <c r="K5" s="234"/>
      <c r="L5" s="234"/>
      <c r="M5" s="234"/>
      <c r="N5" s="234"/>
      <c r="O5" s="234"/>
      <c r="P5" s="234"/>
      <c r="Q5" s="234"/>
      <c r="R5" s="234"/>
      <c r="S5" s="234"/>
      <c r="T5" s="234"/>
      <c r="U5" s="234"/>
    </row>
    <row r="6" spans="1:21" ht="16" thickBot="1">
      <c r="A6" s="234"/>
      <c r="B6" s="70">
        <v>1</v>
      </c>
      <c r="C6" s="67" t="s">
        <v>922</v>
      </c>
      <c r="D6" s="67" t="s">
        <v>923</v>
      </c>
      <c r="E6" s="68">
        <v>1E-4</v>
      </c>
      <c r="F6" s="76">
        <v>21</v>
      </c>
      <c r="G6" s="234"/>
      <c r="H6" s="74" t="s">
        <v>833</v>
      </c>
      <c r="I6" s="234"/>
      <c r="J6" s="234"/>
      <c r="K6" s="234"/>
      <c r="L6" s="234"/>
      <c r="M6" s="234"/>
      <c r="N6" s="234"/>
      <c r="O6" s="234"/>
      <c r="P6" s="234"/>
      <c r="Q6" s="234"/>
      <c r="R6" s="234"/>
      <c r="S6" s="234"/>
      <c r="T6" s="234"/>
      <c r="U6" s="234"/>
    </row>
    <row r="7" spans="1:21" ht="15.5">
      <c r="A7" s="234"/>
      <c r="B7" s="70">
        <v>2</v>
      </c>
      <c r="C7" s="67" t="s">
        <v>922</v>
      </c>
      <c r="D7" s="67" t="s">
        <v>923</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924</v>
      </c>
      <c r="D8" s="67" t="s">
        <v>923</v>
      </c>
      <c r="E8" s="68">
        <v>1E-4</v>
      </c>
      <c r="F8" s="76">
        <v>16.7</v>
      </c>
      <c r="G8" s="234"/>
      <c r="H8" s="234"/>
      <c r="I8" s="234"/>
      <c r="J8" s="234"/>
      <c r="K8" s="234"/>
      <c r="L8" s="234"/>
      <c r="M8" s="234"/>
      <c r="N8" s="234"/>
      <c r="O8" s="234"/>
      <c r="P8" s="234"/>
      <c r="Q8" s="234"/>
      <c r="R8" s="234"/>
      <c r="S8" s="234"/>
      <c r="T8" s="234"/>
      <c r="U8" s="234"/>
    </row>
    <row r="9" spans="1:21" ht="15.5">
      <c r="A9" s="234"/>
      <c r="B9" s="70">
        <v>4</v>
      </c>
      <c r="C9" s="67" t="s">
        <v>924</v>
      </c>
      <c r="D9" s="67" t="s">
        <v>923</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925</v>
      </c>
      <c r="D10" s="67" t="s">
        <v>923</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925</v>
      </c>
      <c r="D11" s="67" t="s">
        <v>923</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926</v>
      </c>
      <c r="D12" s="67" t="s">
        <v>923</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926</v>
      </c>
      <c r="D13" s="67" t="s">
        <v>923</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1067</v>
      </c>
      <c r="D14" s="67" t="s">
        <v>923</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1067</v>
      </c>
      <c r="D15" s="67" t="s">
        <v>923</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1068</v>
      </c>
      <c r="D16" s="67" t="s">
        <v>923</v>
      </c>
      <c r="E16" s="68">
        <v>1.0000000000000001E-5</v>
      </c>
      <c r="F16" s="76">
        <v>10.4</v>
      </c>
      <c r="G16" s="234"/>
      <c r="H16" s="234"/>
      <c r="I16" s="234"/>
      <c r="J16" s="234"/>
      <c r="K16" s="234"/>
      <c r="L16" s="234"/>
      <c r="M16" s="234"/>
      <c r="N16" s="234"/>
      <c r="O16" s="234"/>
      <c r="P16" s="234"/>
      <c r="Q16" s="234"/>
      <c r="R16" s="234"/>
      <c r="S16" s="234"/>
      <c r="T16" s="234"/>
      <c r="U16" s="234"/>
    </row>
    <row r="17" spans="1:21" ht="15.5">
      <c r="A17" s="234"/>
      <c r="B17" s="70">
        <v>12</v>
      </c>
      <c r="C17" s="67" t="s">
        <v>927</v>
      </c>
      <c r="D17" s="67" t="s">
        <v>923</v>
      </c>
      <c r="E17" s="68">
        <v>1.0000000000000001E-5</v>
      </c>
      <c r="F17" s="76">
        <v>9.6</v>
      </c>
      <c r="G17" s="234"/>
      <c r="H17" s="234"/>
      <c r="I17" s="234"/>
      <c r="J17" s="234"/>
      <c r="K17" s="234"/>
      <c r="L17" s="234"/>
      <c r="M17" s="234"/>
      <c r="N17" s="234"/>
      <c r="O17" s="234"/>
      <c r="P17" s="234"/>
      <c r="Q17" s="234"/>
      <c r="R17" s="234"/>
      <c r="S17" s="234"/>
      <c r="T17" s="234"/>
      <c r="U17" s="234"/>
    </row>
    <row r="18" spans="1:21" ht="15.5">
      <c r="A18" s="234"/>
      <c r="B18" s="70">
        <v>13</v>
      </c>
      <c r="C18" s="67" t="s">
        <v>927</v>
      </c>
      <c r="D18" s="67" t="s">
        <v>923</v>
      </c>
      <c r="E18" s="68">
        <v>9.9999999999999995E-7</v>
      </c>
      <c r="F18" s="76">
        <v>10.5</v>
      </c>
      <c r="G18" s="234"/>
      <c r="H18" s="234"/>
      <c r="I18" s="234"/>
      <c r="J18" s="234"/>
      <c r="K18" s="234"/>
      <c r="L18" s="234"/>
      <c r="M18" s="234"/>
      <c r="N18" s="234"/>
      <c r="O18" s="234"/>
      <c r="P18" s="234"/>
      <c r="Q18" s="234"/>
      <c r="R18" s="234"/>
      <c r="S18" s="234"/>
      <c r="T18" s="234"/>
      <c r="U18" s="234"/>
    </row>
    <row r="19" spans="1:21" ht="15.5">
      <c r="A19" s="234"/>
      <c r="B19" s="70">
        <v>14</v>
      </c>
      <c r="C19" s="67" t="s">
        <v>928</v>
      </c>
      <c r="D19" s="67" t="s">
        <v>923</v>
      </c>
      <c r="E19" s="68">
        <v>1.0000000000000001E-5</v>
      </c>
      <c r="F19" s="76">
        <v>9.6</v>
      </c>
      <c r="G19" s="234"/>
      <c r="H19" s="234"/>
      <c r="I19" s="234"/>
      <c r="J19" s="234"/>
      <c r="K19" s="234"/>
      <c r="L19" s="234"/>
      <c r="M19" s="234"/>
      <c r="N19" s="234"/>
      <c r="O19" s="234"/>
      <c r="P19" s="234"/>
      <c r="Q19" s="234"/>
      <c r="R19" s="234"/>
      <c r="S19" s="234"/>
      <c r="T19" s="234"/>
      <c r="U19" s="234"/>
    </row>
    <row r="20" spans="1:21" ht="15.5">
      <c r="A20" s="234"/>
      <c r="B20" s="70">
        <v>15</v>
      </c>
      <c r="C20" s="67" t="s">
        <v>928</v>
      </c>
      <c r="D20" s="67" t="s">
        <v>923</v>
      </c>
      <c r="E20" s="68">
        <v>9.9999999999999995E-7</v>
      </c>
      <c r="F20" s="76">
        <v>10.5</v>
      </c>
      <c r="G20" s="234"/>
      <c r="H20" s="234"/>
      <c r="I20" s="234"/>
      <c r="J20" s="234"/>
      <c r="K20" s="234"/>
      <c r="L20" s="234"/>
      <c r="M20" s="234"/>
      <c r="N20" s="234"/>
      <c r="O20" s="234"/>
      <c r="P20" s="234"/>
      <c r="Q20" s="234"/>
      <c r="R20" s="234"/>
      <c r="S20" s="234"/>
      <c r="T20" s="234"/>
      <c r="U20" s="234"/>
    </row>
    <row r="21" spans="1:21" ht="15.5">
      <c r="A21" s="234"/>
      <c r="B21" s="70">
        <v>16</v>
      </c>
      <c r="C21" s="67" t="s">
        <v>927</v>
      </c>
      <c r="D21" s="67" t="s">
        <v>929</v>
      </c>
      <c r="E21" s="68">
        <v>9.9999999999999995E-7</v>
      </c>
      <c r="F21" s="76">
        <v>4.8</v>
      </c>
      <c r="G21" s="234"/>
      <c r="H21" s="234"/>
      <c r="I21" s="234"/>
      <c r="J21" s="234"/>
      <c r="K21" s="234"/>
      <c r="L21" s="234"/>
      <c r="M21" s="234"/>
      <c r="N21" s="234"/>
      <c r="O21" s="234"/>
      <c r="P21" s="234"/>
      <c r="Q21" s="234"/>
      <c r="R21" s="234"/>
      <c r="S21" s="234"/>
      <c r="T21" s="234"/>
      <c r="U21" s="234"/>
    </row>
    <row r="22" spans="1:21" ht="15.5">
      <c r="A22" s="234"/>
      <c r="B22" s="70">
        <v>17</v>
      </c>
      <c r="C22" s="67" t="s">
        <v>927</v>
      </c>
      <c r="D22" s="67" t="s">
        <v>930</v>
      </c>
      <c r="E22" s="68">
        <v>9.9999999999999995E-7</v>
      </c>
      <c r="F22" s="76">
        <v>2.5</v>
      </c>
      <c r="G22" s="234"/>
      <c r="H22" s="234"/>
      <c r="I22" s="234"/>
      <c r="J22" s="234"/>
      <c r="K22" s="234"/>
      <c r="L22" s="234"/>
      <c r="M22" s="234"/>
      <c r="N22" s="234"/>
      <c r="O22" s="234"/>
      <c r="P22" s="234"/>
      <c r="Q22" s="234"/>
      <c r="R22" s="234"/>
      <c r="S22" s="234"/>
      <c r="T22" s="234"/>
      <c r="U22" s="234"/>
    </row>
    <row r="23" spans="1:21" ht="15.5">
      <c r="A23" s="234"/>
      <c r="B23" s="70">
        <v>18</v>
      </c>
      <c r="C23" s="67" t="s">
        <v>927</v>
      </c>
      <c r="D23" s="67" t="s">
        <v>931</v>
      </c>
      <c r="E23" s="68">
        <v>9.9999999999999995E-8</v>
      </c>
      <c r="F23" s="76">
        <v>0.8</v>
      </c>
      <c r="G23" s="234"/>
      <c r="H23" s="234"/>
      <c r="I23" s="234"/>
      <c r="J23" s="234"/>
      <c r="K23" s="234"/>
      <c r="L23" s="234"/>
      <c r="M23" s="234"/>
      <c r="N23" s="234"/>
      <c r="O23" s="234"/>
      <c r="P23" s="234"/>
      <c r="Q23" s="234"/>
      <c r="R23" s="234"/>
      <c r="S23" s="234"/>
      <c r="T23" s="234"/>
      <c r="U23" s="234"/>
    </row>
    <row r="24" spans="1:21" ht="15.5">
      <c r="A24" s="234"/>
      <c r="B24" s="70">
        <v>19</v>
      </c>
      <c r="C24" s="69" t="s">
        <v>1068</v>
      </c>
      <c r="D24" s="69" t="s">
        <v>929</v>
      </c>
      <c r="E24" s="78">
        <v>1.0000000000000001E-5</v>
      </c>
      <c r="F24" s="77">
        <v>5.6</v>
      </c>
      <c r="G24" s="234"/>
      <c r="H24" s="234"/>
      <c r="I24" s="234"/>
      <c r="J24" s="234"/>
      <c r="K24" s="234"/>
      <c r="L24" s="234"/>
      <c r="M24" s="234"/>
      <c r="N24" s="234"/>
      <c r="O24" s="234"/>
      <c r="P24" s="234"/>
      <c r="Q24" s="234"/>
      <c r="R24" s="234"/>
      <c r="S24" s="234"/>
      <c r="T24" s="234"/>
      <c r="U24" s="234"/>
    </row>
    <row r="25" spans="1:21" ht="13" thickBot="1">
      <c r="A25" s="234"/>
      <c r="B25" s="234"/>
      <c r="C25" s="234"/>
      <c r="D25" s="247" t="s">
        <v>333</v>
      </c>
      <c r="E25" s="234"/>
      <c r="F25" s="246"/>
      <c r="G25" s="234"/>
      <c r="H25" s="234"/>
      <c r="I25" s="234"/>
      <c r="J25" s="234"/>
      <c r="K25" s="234"/>
      <c r="L25" s="234"/>
      <c r="M25" s="234"/>
      <c r="N25" s="234"/>
      <c r="O25" s="234"/>
      <c r="P25" s="234"/>
      <c r="Q25" s="234"/>
      <c r="R25" s="234"/>
      <c r="S25" s="234"/>
      <c r="T25" s="234"/>
      <c r="U25" s="234"/>
    </row>
    <row r="26" spans="1:21" ht="16" thickBot="1">
      <c r="A26" s="234"/>
      <c r="B26" s="346" t="s">
        <v>140</v>
      </c>
      <c r="C26" s="234"/>
      <c r="D26" s="703" t="s">
        <v>933</v>
      </c>
      <c r="E26" s="704">
        <v>0.5</v>
      </c>
      <c r="F26" s="71" t="s">
        <v>833</v>
      </c>
      <c r="G26" s="234"/>
      <c r="H26" s="234"/>
      <c r="I26" s="234"/>
      <c r="J26" s="234"/>
      <c r="K26" s="234"/>
      <c r="L26" s="234"/>
      <c r="M26" s="234"/>
      <c r="N26" s="234"/>
      <c r="O26" s="234"/>
      <c r="P26" s="234"/>
      <c r="Q26" s="234"/>
      <c r="R26" s="234"/>
      <c r="S26" s="234"/>
      <c r="T26" s="234"/>
      <c r="U26" s="234"/>
    </row>
    <row r="27" spans="1:21" ht="13" thickBot="1">
      <c r="A27" s="234"/>
      <c r="B27" s="234"/>
      <c r="C27" s="234"/>
      <c r="D27" s="234"/>
      <c r="E27" s="234"/>
      <c r="F27" s="234"/>
      <c r="G27" s="234"/>
      <c r="H27" s="234"/>
      <c r="I27" s="234"/>
      <c r="J27" s="234"/>
      <c r="K27" s="234"/>
      <c r="L27" s="234"/>
      <c r="M27" s="234"/>
      <c r="N27" s="234"/>
      <c r="O27" s="234"/>
      <c r="P27" s="234"/>
      <c r="Q27" s="234"/>
      <c r="R27" s="234"/>
      <c r="S27" s="234"/>
      <c r="T27" s="234"/>
      <c r="U27" s="234"/>
    </row>
    <row r="28" spans="1:21" ht="13.5" thickBot="1">
      <c r="A28" s="250"/>
      <c r="B28" s="24"/>
      <c r="C28" s="251" t="s">
        <v>119</v>
      </c>
      <c r="D28" s="24" t="s">
        <v>791</v>
      </c>
      <c r="E28" s="251" t="s">
        <v>122</v>
      </c>
      <c r="F28" s="24"/>
      <c r="G28" s="24"/>
      <c r="H28" s="24"/>
      <c r="I28" s="24"/>
      <c r="J28" s="24"/>
      <c r="K28" s="24"/>
      <c r="L28" s="24"/>
      <c r="M28" s="24"/>
      <c r="N28" s="24"/>
      <c r="O28" s="24"/>
      <c r="P28" s="24"/>
      <c r="Q28" s="24"/>
      <c r="R28" s="24"/>
      <c r="S28" s="24"/>
      <c r="T28" s="24"/>
      <c r="U28" s="25"/>
    </row>
    <row r="29" spans="1:21">
      <c r="A29" s="3"/>
      <c r="B29" s="3"/>
      <c r="C29" s="3"/>
      <c r="D29" s="3"/>
      <c r="E29" s="3"/>
      <c r="F29" s="3"/>
      <c r="G29" s="234"/>
      <c r="H29" s="234"/>
      <c r="I29" s="234"/>
      <c r="J29" s="234"/>
      <c r="K29" s="234"/>
      <c r="L29" s="234"/>
      <c r="M29" s="234"/>
      <c r="N29" s="234"/>
      <c r="O29" s="234"/>
      <c r="P29" s="234"/>
      <c r="Q29" s="234"/>
      <c r="R29" s="234"/>
      <c r="S29" s="234"/>
      <c r="T29" s="234"/>
      <c r="U29" s="234"/>
    </row>
    <row r="30" spans="1:21" ht="13" thickBot="1">
      <c r="A30" s="3"/>
      <c r="B30" s="3"/>
      <c r="C30" s="3"/>
      <c r="D30" s="3"/>
      <c r="E30" s="233" t="s">
        <v>934</v>
      </c>
      <c r="F30" s="3" t="s">
        <v>935</v>
      </c>
      <c r="G30" s="234" t="s">
        <v>126</v>
      </c>
      <c r="H30" s="234"/>
      <c r="I30" s="234"/>
      <c r="J30" s="234"/>
      <c r="K30" s="234"/>
      <c r="L30" s="234"/>
      <c r="M30" s="234"/>
      <c r="N30" s="234"/>
      <c r="O30" s="234"/>
      <c r="P30" s="234"/>
      <c r="Q30" s="234"/>
      <c r="R30" s="234"/>
      <c r="S30" s="234"/>
      <c r="T30" s="234"/>
      <c r="U30" s="234"/>
    </row>
    <row r="31" spans="1:21" ht="16" thickBot="1">
      <c r="A31" s="248" t="s">
        <v>128</v>
      </c>
      <c r="B31" s="249"/>
      <c r="C31" s="701" t="s">
        <v>932</v>
      </c>
      <c r="D31" s="656"/>
      <c r="E31" s="654">
        <v>11</v>
      </c>
      <c r="F31" s="718" t="str">
        <f>INDEX(C34:C53,E31,1)</f>
        <v>GMSK w/ BT=0.3</v>
      </c>
      <c r="G31" s="234"/>
      <c r="H31" s="72" t="s">
        <v>334</v>
      </c>
      <c r="I31" s="234"/>
      <c r="J31" s="234"/>
      <c r="K31" s="234"/>
      <c r="L31" s="234"/>
      <c r="M31" s="234"/>
      <c r="N31" s="234"/>
      <c r="O31" s="234"/>
      <c r="P31" s="234"/>
      <c r="Q31" s="234"/>
      <c r="R31" s="234"/>
      <c r="S31" s="234"/>
      <c r="T31" s="234"/>
      <c r="U31" s="234"/>
    </row>
    <row r="32" spans="1:21" ht="13.5" thickBot="1">
      <c r="A32" s="702" t="s">
        <v>670</v>
      </c>
      <c r="B32" s="3"/>
      <c r="C32" s="3"/>
      <c r="D32" s="3"/>
      <c r="E32" s="3"/>
      <c r="F32" s="3"/>
      <c r="G32" s="234"/>
      <c r="H32" s="73" t="s">
        <v>335</v>
      </c>
      <c r="I32" s="234"/>
      <c r="J32" s="234"/>
      <c r="K32" s="234"/>
      <c r="L32" s="234"/>
      <c r="M32" s="234"/>
      <c r="N32" s="234"/>
      <c r="O32" s="234"/>
      <c r="P32" s="234"/>
      <c r="Q32" s="234"/>
      <c r="R32" s="234"/>
      <c r="S32" s="234"/>
      <c r="T32" s="234"/>
      <c r="U32" s="234"/>
    </row>
    <row r="33" spans="1:21" ht="15.5">
      <c r="A33" s="234"/>
      <c r="B33" s="66" t="s">
        <v>918</v>
      </c>
      <c r="C33" s="66" t="s">
        <v>917</v>
      </c>
      <c r="D33" s="66" t="s">
        <v>919</v>
      </c>
      <c r="E33" s="66" t="s">
        <v>920</v>
      </c>
      <c r="F33" s="66" t="s">
        <v>921</v>
      </c>
      <c r="G33" s="234"/>
      <c r="H33" s="75">
        <f>INDEX(F34:F53,E31,1)+E55</f>
        <v>10.9</v>
      </c>
      <c r="I33" s="234"/>
      <c r="J33" s="234"/>
      <c r="K33" s="234"/>
      <c r="L33" s="234"/>
      <c r="M33" s="234"/>
      <c r="N33" s="234"/>
      <c r="O33" s="234"/>
      <c r="P33" s="234"/>
      <c r="Q33" s="234"/>
      <c r="R33" s="234"/>
      <c r="S33" s="234"/>
      <c r="T33" s="234"/>
      <c r="U33" s="234"/>
    </row>
    <row r="34" spans="1:21" ht="16" thickBot="1">
      <c r="A34" s="234"/>
      <c r="B34" s="70">
        <v>1</v>
      </c>
      <c r="C34" s="67" t="s">
        <v>922</v>
      </c>
      <c r="D34" s="67" t="s">
        <v>923</v>
      </c>
      <c r="E34" s="68">
        <v>1E-4</v>
      </c>
      <c r="F34" s="76">
        <v>21</v>
      </c>
      <c r="G34" s="234"/>
      <c r="H34" s="74" t="s">
        <v>833</v>
      </c>
      <c r="I34" s="234"/>
      <c r="J34" s="234"/>
      <c r="K34" s="234"/>
      <c r="L34" s="234"/>
      <c r="M34" s="234"/>
      <c r="N34" s="234"/>
      <c r="O34" s="234"/>
      <c r="P34" s="234"/>
      <c r="Q34" s="234"/>
      <c r="R34" s="234"/>
      <c r="S34" s="234"/>
      <c r="T34" s="234"/>
      <c r="U34" s="234"/>
    </row>
    <row r="35" spans="1:21" ht="15.5">
      <c r="A35" s="234"/>
      <c r="B35" s="70">
        <v>2</v>
      </c>
      <c r="C35" s="67" t="s">
        <v>922</v>
      </c>
      <c r="D35" s="67" t="s">
        <v>923</v>
      </c>
      <c r="E35" s="68">
        <v>1.0000000000000001E-5</v>
      </c>
      <c r="F35" s="76">
        <v>23.2</v>
      </c>
      <c r="G35" s="234"/>
      <c r="H35" s="234"/>
      <c r="I35" s="234"/>
      <c r="J35" s="234"/>
      <c r="K35" s="234"/>
      <c r="L35" s="234"/>
      <c r="M35" s="234"/>
      <c r="N35" s="234"/>
      <c r="O35" s="234"/>
      <c r="P35" s="234"/>
      <c r="Q35" s="234"/>
      <c r="R35" s="234"/>
      <c r="S35" s="234"/>
      <c r="T35" s="234"/>
      <c r="U35" s="234"/>
    </row>
    <row r="36" spans="1:21" ht="15.5">
      <c r="A36" s="234"/>
      <c r="B36" s="70">
        <v>3</v>
      </c>
      <c r="C36" s="67" t="s">
        <v>924</v>
      </c>
      <c r="D36" s="67" t="s">
        <v>923</v>
      </c>
      <c r="E36" s="68">
        <v>1E-4</v>
      </c>
      <c r="F36" s="76">
        <v>16.7</v>
      </c>
      <c r="G36" s="234"/>
      <c r="H36" s="234"/>
      <c r="I36" s="234"/>
      <c r="J36" s="234"/>
      <c r="K36" s="234"/>
      <c r="L36" s="234"/>
      <c r="M36" s="234"/>
      <c r="N36" s="234"/>
      <c r="O36" s="234"/>
      <c r="P36" s="234"/>
      <c r="Q36" s="234"/>
      <c r="R36" s="234"/>
      <c r="S36" s="234"/>
      <c r="T36" s="234"/>
      <c r="U36" s="234"/>
    </row>
    <row r="37" spans="1:21" ht="15.5">
      <c r="A37" s="234"/>
      <c r="B37" s="70">
        <v>4</v>
      </c>
      <c r="C37" s="67" t="s">
        <v>924</v>
      </c>
      <c r="D37" s="67" t="s">
        <v>923</v>
      </c>
      <c r="E37" s="68">
        <v>1.0000000000000001E-5</v>
      </c>
      <c r="F37" s="76">
        <v>18</v>
      </c>
      <c r="G37" s="234"/>
      <c r="H37" s="234"/>
      <c r="I37" s="234"/>
      <c r="J37" s="234"/>
      <c r="K37" s="234"/>
      <c r="L37" s="234"/>
      <c r="M37" s="234"/>
      <c r="N37" s="234"/>
      <c r="O37" s="234"/>
      <c r="P37" s="234"/>
      <c r="Q37" s="234"/>
      <c r="R37" s="234"/>
      <c r="S37" s="234"/>
      <c r="T37" s="234"/>
      <c r="U37" s="234"/>
    </row>
    <row r="38" spans="1:21" ht="15.5">
      <c r="A38" s="234"/>
      <c r="B38" s="70">
        <v>5</v>
      </c>
      <c r="C38" s="67" t="s">
        <v>925</v>
      </c>
      <c r="D38" s="67" t="s">
        <v>923</v>
      </c>
      <c r="E38" s="68">
        <v>1E-4</v>
      </c>
      <c r="F38" s="76">
        <v>13.4</v>
      </c>
      <c r="G38" s="234"/>
      <c r="H38" s="234"/>
      <c r="I38" s="234"/>
      <c r="J38" s="234"/>
      <c r="K38" s="234"/>
      <c r="L38" s="234"/>
      <c r="M38" s="234"/>
      <c r="N38" s="234"/>
      <c r="O38" s="234"/>
      <c r="P38" s="234"/>
      <c r="Q38" s="234"/>
      <c r="R38" s="234"/>
      <c r="S38" s="234"/>
      <c r="T38" s="234"/>
      <c r="U38" s="234"/>
    </row>
    <row r="39" spans="1:21" ht="15.5">
      <c r="A39" s="234"/>
      <c r="B39" s="70">
        <v>6</v>
      </c>
      <c r="C39" s="67" t="s">
        <v>925</v>
      </c>
      <c r="D39" s="67" t="s">
        <v>923</v>
      </c>
      <c r="E39" s="68">
        <v>1.0000000000000001E-5</v>
      </c>
      <c r="F39" s="76">
        <v>13.8</v>
      </c>
      <c r="G39" s="234"/>
      <c r="H39" s="234"/>
      <c r="I39" s="234"/>
      <c r="J39" s="234"/>
      <c r="K39" s="234"/>
      <c r="L39" s="234"/>
      <c r="M39" s="234"/>
      <c r="N39" s="234"/>
      <c r="O39" s="234"/>
      <c r="P39" s="234"/>
      <c r="Q39" s="234"/>
      <c r="R39" s="234"/>
      <c r="S39" s="234"/>
      <c r="T39" s="234"/>
      <c r="U39" s="234"/>
    </row>
    <row r="40" spans="1:21" ht="15.5">
      <c r="A40" s="234"/>
      <c r="B40" s="70">
        <v>7</v>
      </c>
      <c r="C40" s="67" t="s">
        <v>926</v>
      </c>
      <c r="D40" s="67" t="s">
        <v>923</v>
      </c>
      <c r="E40" s="68">
        <v>1E-4</v>
      </c>
      <c r="F40" s="76">
        <v>10.5</v>
      </c>
      <c r="G40" s="234"/>
      <c r="H40" s="234"/>
      <c r="I40" s="234"/>
      <c r="J40" s="234"/>
      <c r="K40" s="234"/>
      <c r="L40" s="234"/>
      <c r="M40" s="234"/>
      <c r="N40" s="234"/>
      <c r="O40" s="234"/>
      <c r="P40" s="234"/>
      <c r="Q40" s="234"/>
      <c r="R40" s="234"/>
      <c r="S40" s="234"/>
      <c r="T40" s="234"/>
      <c r="U40" s="234"/>
    </row>
    <row r="41" spans="1:21" ht="15.5">
      <c r="A41" s="234"/>
      <c r="B41" s="70">
        <v>8</v>
      </c>
      <c r="C41" s="67" t="s">
        <v>926</v>
      </c>
      <c r="D41" s="67" t="s">
        <v>923</v>
      </c>
      <c r="E41" s="68">
        <v>1.0000000000000001E-5</v>
      </c>
      <c r="F41" s="76">
        <v>11.9</v>
      </c>
      <c r="G41" s="234"/>
      <c r="H41" s="234"/>
      <c r="I41" s="234"/>
      <c r="J41" s="234"/>
      <c r="K41" s="234"/>
      <c r="L41" s="234"/>
      <c r="M41" s="234"/>
      <c r="N41" s="234"/>
      <c r="O41" s="234"/>
      <c r="P41" s="234"/>
      <c r="Q41" s="234"/>
      <c r="R41" s="234"/>
      <c r="S41" s="234"/>
      <c r="T41" s="234"/>
      <c r="U41" s="234"/>
    </row>
    <row r="42" spans="1:21" ht="15.5">
      <c r="A42" s="234"/>
      <c r="B42" s="70">
        <v>9</v>
      </c>
      <c r="C42" s="67" t="s">
        <v>1067</v>
      </c>
      <c r="D42" s="67" t="s">
        <v>923</v>
      </c>
      <c r="E42" s="68">
        <v>1E-4</v>
      </c>
      <c r="F42" s="76">
        <v>8.4</v>
      </c>
      <c r="G42" s="234"/>
      <c r="H42" s="234"/>
      <c r="I42" s="234"/>
      <c r="J42" s="234"/>
      <c r="K42" s="234"/>
      <c r="L42" s="234"/>
      <c r="M42" s="234"/>
      <c r="N42" s="234"/>
      <c r="O42" s="234"/>
      <c r="P42" s="234"/>
      <c r="Q42" s="234"/>
      <c r="R42" s="234"/>
      <c r="S42" s="234"/>
      <c r="T42" s="234"/>
      <c r="U42" s="234"/>
    </row>
    <row r="43" spans="1:21" ht="15.5">
      <c r="A43" s="234"/>
      <c r="B43" s="70">
        <v>10</v>
      </c>
      <c r="C43" s="67" t="s">
        <v>1067</v>
      </c>
      <c r="D43" s="67" t="s">
        <v>923</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11</v>
      </c>
      <c r="C44" s="67" t="s">
        <v>1068</v>
      </c>
      <c r="D44" s="67" t="s">
        <v>923</v>
      </c>
      <c r="E44" s="68">
        <v>1.0000000000000001E-5</v>
      </c>
      <c r="F44" s="76">
        <v>10.4</v>
      </c>
      <c r="G44" s="234"/>
      <c r="H44" s="234"/>
      <c r="I44" s="234"/>
      <c r="J44" s="234"/>
      <c r="K44" s="234"/>
      <c r="L44" s="234"/>
      <c r="M44" s="234"/>
      <c r="N44" s="234"/>
      <c r="O44" s="234"/>
      <c r="P44" s="234"/>
      <c r="Q44" s="234"/>
      <c r="R44" s="234"/>
      <c r="S44" s="234"/>
      <c r="T44" s="234"/>
      <c r="U44" s="234"/>
    </row>
    <row r="45" spans="1:21" ht="15.5">
      <c r="A45" s="234"/>
      <c r="B45" s="70">
        <v>12</v>
      </c>
      <c r="C45" s="67" t="s">
        <v>927</v>
      </c>
      <c r="D45" s="67" t="s">
        <v>923</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13</v>
      </c>
      <c r="C46" s="67" t="s">
        <v>927</v>
      </c>
      <c r="D46" s="67" t="s">
        <v>923</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14</v>
      </c>
      <c r="C47" s="67" t="s">
        <v>928</v>
      </c>
      <c r="D47" s="67" t="s">
        <v>923</v>
      </c>
      <c r="E47" s="68">
        <v>1.0000000000000001E-5</v>
      </c>
      <c r="F47" s="76">
        <v>9.6</v>
      </c>
      <c r="G47" s="234"/>
      <c r="H47" s="234"/>
      <c r="I47" s="234"/>
      <c r="J47" s="234"/>
      <c r="K47" s="234"/>
      <c r="L47" s="234"/>
      <c r="M47" s="234"/>
      <c r="N47" s="234"/>
      <c r="O47" s="234"/>
      <c r="P47" s="234"/>
      <c r="Q47" s="234"/>
      <c r="R47" s="234"/>
      <c r="S47" s="234"/>
      <c r="T47" s="234"/>
      <c r="U47" s="234"/>
    </row>
    <row r="48" spans="1:21" ht="15.5">
      <c r="A48" s="234"/>
      <c r="B48" s="70">
        <v>15</v>
      </c>
      <c r="C48" s="67" t="s">
        <v>928</v>
      </c>
      <c r="D48" s="67" t="s">
        <v>923</v>
      </c>
      <c r="E48" s="68">
        <v>9.9999999999999995E-7</v>
      </c>
      <c r="F48" s="76">
        <v>10.5</v>
      </c>
      <c r="G48" s="234"/>
      <c r="H48" s="234"/>
      <c r="I48" s="234"/>
      <c r="J48" s="234"/>
      <c r="K48" s="234"/>
      <c r="L48" s="234"/>
      <c r="M48" s="234"/>
      <c r="N48" s="234"/>
      <c r="O48" s="234"/>
      <c r="P48" s="234"/>
      <c r="Q48" s="234"/>
      <c r="R48" s="234"/>
      <c r="S48" s="234"/>
      <c r="T48" s="234"/>
      <c r="U48" s="234"/>
    </row>
    <row r="49" spans="1:21" ht="15.5">
      <c r="A49" s="234"/>
      <c r="B49" s="70">
        <v>16</v>
      </c>
      <c r="C49" s="67" t="s">
        <v>927</v>
      </c>
      <c r="D49" s="67" t="s">
        <v>929</v>
      </c>
      <c r="E49" s="68">
        <v>9.9999999999999995E-7</v>
      </c>
      <c r="F49" s="76">
        <v>4.8</v>
      </c>
      <c r="G49" s="234"/>
      <c r="H49" s="234"/>
      <c r="I49" s="234"/>
      <c r="J49" s="234"/>
      <c r="K49" s="234"/>
      <c r="L49" s="234"/>
      <c r="M49" s="234"/>
      <c r="N49" s="234"/>
      <c r="O49" s="234"/>
      <c r="P49" s="234"/>
      <c r="Q49" s="234"/>
      <c r="R49" s="234"/>
      <c r="S49" s="234"/>
      <c r="T49" s="234"/>
      <c r="U49" s="234"/>
    </row>
    <row r="50" spans="1:21" ht="15.5">
      <c r="A50" s="234"/>
      <c r="B50" s="70">
        <v>17</v>
      </c>
      <c r="C50" s="67" t="s">
        <v>927</v>
      </c>
      <c r="D50" s="67" t="s">
        <v>930</v>
      </c>
      <c r="E50" s="68">
        <v>9.9999999999999995E-7</v>
      </c>
      <c r="F50" s="76">
        <v>2.5</v>
      </c>
      <c r="G50" s="234"/>
      <c r="H50" s="234"/>
      <c r="I50" s="234"/>
      <c r="J50" s="234"/>
      <c r="K50" s="234"/>
      <c r="L50" s="234"/>
      <c r="M50" s="234"/>
      <c r="N50" s="234"/>
      <c r="O50" s="234"/>
      <c r="P50" s="234"/>
      <c r="Q50" s="234"/>
      <c r="R50" s="234"/>
      <c r="S50" s="234"/>
      <c r="T50" s="234"/>
      <c r="U50" s="234"/>
    </row>
    <row r="51" spans="1:21" ht="15.5">
      <c r="A51" s="234"/>
      <c r="B51" s="70">
        <v>18</v>
      </c>
      <c r="C51" s="67" t="s">
        <v>927</v>
      </c>
      <c r="D51" s="67" t="s">
        <v>931</v>
      </c>
      <c r="E51" s="68">
        <v>9.9999999999999995E-8</v>
      </c>
      <c r="F51" s="76">
        <v>0.8</v>
      </c>
      <c r="G51" s="234"/>
      <c r="H51" s="234"/>
      <c r="I51" s="234"/>
      <c r="J51" s="234"/>
      <c r="K51" s="234"/>
      <c r="L51" s="234"/>
      <c r="M51" s="234"/>
      <c r="N51" s="234"/>
      <c r="O51" s="234"/>
      <c r="P51" s="234"/>
      <c r="Q51" s="234"/>
      <c r="R51" s="234"/>
      <c r="S51" s="234"/>
      <c r="T51" s="234"/>
      <c r="U51" s="234"/>
    </row>
    <row r="52" spans="1:21" ht="15.5">
      <c r="A52" s="234"/>
      <c r="B52" s="70">
        <v>19</v>
      </c>
      <c r="C52" s="67" t="s">
        <v>927</v>
      </c>
      <c r="D52" s="67" t="s">
        <v>615</v>
      </c>
      <c r="E52" s="68">
        <v>9.9999999999999995E-7</v>
      </c>
      <c r="F52" s="716">
        <v>0.75</v>
      </c>
      <c r="G52" s="234"/>
      <c r="H52" s="234"/>
      <c r="I52" s="234"/>
      <c r="J52" s="234"/>
      <c r="K52" s="234"/>
      <c r="L52" s="234"/>
      <c r="M52" s="234"/>
      <c r="N52" s="234"/>
      <c r="O52" s="234"/>
      <c r="P52" s="234"/>
      <c r="Q52" s="234"/>
      <c r="R52" s="234"/>
      <c r="S52" s="234"/>
      <c r="T52" s="234"/>
      <c r="U52" s="234"/>
    </row>
    <row r="53" spans="1:21" ht="15.5">
      <c r="A53" s="234"/>
      <c r="B53" s="70">
        <v>20</v>
      </c>
      <c r="C53" s="69" t="s">
        <v>1068</v>
      </c>
      <c r="D53" s="69" t="s">
        <v>929</v>
      </c>
      <c r="E53" s="78">
        <v>1.0000000000000001E-5</v>
      </c>
      <c r="F53" s="77">
        <v>5.6</v>
      </c>
      <c r="G53" s="234"/>
      <c r="H53" s="234"/>
      <c r="I53" s="234"/>
      <c r="J53" s="234"/>
      <c r="K53" s="234"/>
      <c r="L53" s="234"/>
      <c r="M53" s="234"/>
      <c r="N53" s="234"/>
      <c r="O53" s="234"/>
      <c r="P53" s="234"/>
      <c r="Q53" s="234"/>
      <c r="R53" s="234"/>
      <c r="S53" s="234"/>
      <c r="T53" s="234"/>
      <c r="U53" s="234"/>
    </row>
    <row r="54" spans="1:21" ht="13" thickBot="1">
      <c r="A54" s="234"/>
      <c r="B54" s="234"/>
      <c r="C54" s="234"/>
      <c r="D54" s="247" t="s">
        <v>333</v>
      </c>
      <c r="E54" s="234"/>
      <c r="F54" s="246"/>
      <c r="G54" s="234"/>
      <c r="H54" s="234"/>
      <c r="I54" s="234"/>
      <c r="J54" s="234"/>
      <c r="K54" s="234"/>
      <c r="L54" s="234"/>
      <c r="M54" s="234"/>
      <c r="N54" s="234"/>
      <c r="O54" s="234"/>
      <c r="P54" s="234"/>
      <c r="Q54" s="234"/>
      <c r="R54" s="234"/>
      <c r="S54" s="234"/>
      <c r="T54" s="234"/>
      <c r="U54" s="234"/>
    </row>
    <row r="55" spans="1:21" ht="16" thickBot="1">
      <c r="A55" s="234"/>
      <c r="B55" s="234"/>
      <c r="C55" s="234"/>
      <c r="D55" s="703" t="s">
        <v>933</v>
      </c>
      <c r="E55" s="704">
        <v>0.5</v>
      </c>
      <c r="F55" s="71" t="s">
        <v>833</v>
      </c>
      <c r="G55" s="234"/>
      <c r="H55" s="234"/>
      <c r="I55" s="234"/>
      <c r="J55" s="234"/>
      <c r="K55" s="234"/>
      <c r="L55" s="234"/>
      <c r="M55" s="234"/>
      <c r="N55" s="234"/>
      <c r="O55" s="234"/>
      <c r="P55" s="234"/>
      <c r="Q55" s="234"/>
      <c r="R55" s="234"/>
      <c r="S55" s="234"/>
      <c r="T55" s="234"/>
      <c r="U55" s="234"/>
    </row>
    <row r="56" spans="1:21">
      <c r="A56" s="234"/>
      <c r="B56" s="346" t="s">
        <v>140</v>
      </c>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t="s">
        <v>791</v>
      </c>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c r="I67" s="234"/>
      <c r="J67" s="234"/>
      <c r="K67" s="234"/>
      <c r="L67" s="234"/>
      <c r="M67" s="234"/>
      <c r="N67" s="234"/>
      <c r="O67" s="234"/>
      <c r="P67" s="234"/>
      <c r="Q67" s="234"/>
      <c r="R67" s="234"/>
      <c r="S67" s="234"/>
      <c r="T67" s="234"/>
      <c r="U67" s="234"/>
    </row>
    <row r="68" spans="1:21">
      <c r="A68" s="234"/>
      <c r="B68" s="234"/>
      <c r="C68" s="234"/>
      <c r="D68" s="234"/>
      <c r="E68" s="234"/>
      <c r="F68" s="234"/>
      <c r="G68" s="234"/>
      <c r="H68" s="234"/>
      <c r="I68" s="234"/>
      <c r="J68" s="234"/>
      <c r="K68" s="234"/>
      <c r="L68" s="234"/>
      <c r="M68" s="234"/>
      <c r="N68" s="234"/>
      <c r="O68" s="234"/>
      <c r="P68" s="234"/>
      <c r="Q68" s="234"/>
      <c r="R68" s="234"/>
      <c r="S68" s="234"/>
      <c r="T68" s="234"/>
      <c r="U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row r="108" spans="1:8">
      <c r="A108" s="234"/>
      <c r="B108" s="234"/>
      <c r="C108" s="234"/>
      <c r="D108" s="234"/>
      <c r="E108" s="234"/>
      <c r="F108" s="234"/>
      <c r="G108" s="234"/>
      <c r="H108" s="234"/>
    </row>
    <row r="109" spans="1:8">
      <c r="A109" s="234"/>
      <c r="B109" s="234"/>
      <c r="C109" s="234"/>
      <c r="D109" s="234"/>
      <c r="E109" s="234"/>
      <c r="F109" s="234"/>
      <c r="G109" s="234"/>
      <c r="H109"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51" t="s">
        <v>140</v>
      </c>
      <c r="C1" s="44"/>
      <c r="D1" s="682" t="str">
        <f>'Title Page'!F3</f>
        <v>OreSat - CS0</v>
      </c>
      <c r="E1" s="58" t="s">
        <v>791</v>
      </c>
      <c r="F1" s="58" t="s">
        <v>790</v>
      </c>
      <c r="G1" s="58"/>
      <c r="H1" s="58"/>
      <c r="I1" s="44"/>
      <c r="J1" s="44"/>
      <c r="K1" s="44"/>
      <c r="L1" s="44"/>
      <c r="M1" s="44"/>
      <c r="N1" s="44"/>
      <c r="O1" s="44"/>
      <c r="P1" s="44"/>
      <c r="Q1" s="44"/>
      <c r="R1" s="44"/>
    </row>
    <row r="2" spans="1:18" ht="20">
      <c r="A2" s="45" t="s">
        <v>877</v>
      </c>
      <c r="B2" s="44"/>
      <c r="C2" s="44"/>
      <c r="D2" s="58" t="str">
        <f>'Title Page'!G1</f>
        <v xml:space="preserve"> Version: 2.5.5</v>
      </c>
      <c r="E2" s="58"/>
      <c r="F2" s="58" t="str">
        <f>'Title Page'!F23</f>
        <v>2019 May 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792</v>
      </c>
      <c r="B4" s="29" t="s">
        <v>793</v>
      </c>
      <c r="C4" s="29" t="s">
        <v>839</v>
      </c>
      <c r="D4" s="29" t="s">
        <v>840</v>
      </c>
      <c r="E4" s="37"/>
      <c r="F4" s="37"/>
      <c r="G4" s="37"/>
      <c r="H4" s="37"/>
      <c r="I4" s="37"/>
      <c r="J4" s="37"/>
      <c r="K4" s="37"/>
      <c r="L4" s="37"/>
      <c r="M4" s="37"/>
      <c r="N4" s="37"/>
      <c r="O4" s="37"/>
      <c r="P4" s="37"/>
      <c r="Q4" s="37"/>
      <c r="R4" s="37"/>
    </row>
    <row r="5" spans="1:18" ht="13">
      <c r="A5" s="63" t="s">
        <v>849</v>
      </c>
      <c r="B5" s="23"/>
      <c r="C5" s="23"/>
      <c r="D5" s="23"/>
      <c r="E5" s="23"/>
      <c r="F5" s="23"/>
      <c r="G5" s="23"/>
      <c r="H5" s="23"/>
      <c r="I5" s="23"/>
      <c r="J5" s="23"/>
      <c r="K5" s="23"/>
      <c r="L5" s="23"/>
      <c r="M5" s="23"/>
      <c r="N5" s="23"/>
      <c r="O5" s="23"/>
      <c r="P5" s="23"/>
      <c r="Q5" s="23"/>
      <c r="R5" s="23"/>
    </row>
    <row r="6" spans="1:18">
      <c r="A6" s="91" t="s">
        <v>385</v>
      </c>
      <c r="B6" s="430">
        <f>Transmitters!E16</f>
        <v>2.5</v>
      </c>
      <c r="C6" s="91" t="s">
        <v>857</v>
      </c>
      <c r="D6" s="422" t="s">
        <v>388</v>
      </c>
      <c r="E6" s="422"/>
      <c r="F6" s="422"/>
      <c r="G6" s="422"/>
      <c r="H6" s="422"/>
      <c r="I6" s="422"/>
      <c r="J6" s="423" t="s">
        <v>417</v>
      </c>
      <c r="K6" s="414"/>
      <c r="L6" s="413"/>
      <c r="M6" s="91"/>
      <c r="N6" s="91"/>
      <c r="O6" s="91"/>
      <c r="P6" s="91"/>
      <c r="Q6" s="91"/>
      <c r="R6" s="91"/>
    </row>
    <row r="7" spans="1:18">
      <c r="A7" s="427" t="s">
        <v>863</v>
      </c>
      <c r="B7" s="132">
        <f>10*LOG10(B6)</f>
        <v>3.9794000867203758</v>
      </c>
      <c r="C7" s="91" t="s">
        <v>858</v>
      </c>
      <c r="D7" s="422" t="s">
        <v>379</v>
      </c>
      <c r="E7" s="422"/>
      <c r="F7" s="422"/>
      <c r="G7" s="422"/>
      <c r="H7" s="422"/>
      <c r="I7" s="422"/>
      <c r="J7" s="91"/>
      <c r="K7" s="91"/>
      <c r="L7" s="91"/>
      <c r="M7" s="91"/>
      <c r="N7" s="91"/>
      <c r="O7" s="91"/>
      <c r="P7" s="91"/>
      <c r="Q7" s="91"/>
      <c r="R7" s="91"/>
    </row>
    <row r="8" spans="1:18">
      <c r="A8" s="427" t="s">
        <v>864</v>
      </c>
      <c r="B8" s="348">
        <f>B7+30</f>
        <v>33.979400086720375</v>
      </c>
      <c r="C8" s="91" t="s">
        <v>859</v>
      </c>
      <c r="D8" s="422" t="s">
        <v>380</v>
      </c>
      <c r="E8" s="422"/>
      <c r="F8" s="422"/>
      <c r="G8" s="422"/>
      <c r="H8" s="422"/>
      <c r="I8" s="422"/>
      <c r="J8" s="91"/>
      <c r="K8" s="91"/>
      <c r="L8" s="91"/>
      <c r="M8" s="91"/>
      <c r="N8" s="91"/>
      <c r="O8" s="91"/>
      <c r="P8" s="91"/>
      <c r="Q8" s="91"/>
      <c r="R8" s="91"/>
    </row>
    <row r="9" spans="1:18">
      <c r="A9" s="91" t="s">
        <v>386</v>
      </c>
      <c r="B9" s="431">
        <f>Transmitters!I43</f>
        <v>2.2558340000000006</v>
      </c>
      <c r="C9" s="91" t="s">
        <v>833</v>
      </c>
      <c r="D9" s="422" t="s">
        <v>381</v>
      </c>
      <c r="E9" s="422"/>
      <c r="F9" s="422"/>
      <c r="G9" s="422"/>
      <c r="H9" s="422"/>
      <c r="I9" s="422"/>
      <c r="J9" s="91"/>
      <c r="K9" s="91"/>
      <c r="L9" s="91"/>
      <c r="M9" s="91"/>
      <c r="N9" s="91"/>
      <c r="O9" s="91"/>
      <c r="P9" s="91"/>
      <c r="Q9" s="91"/>
      <c r="R9" s="91"/>
    </row>
    <row r="10" spans="1:18">
      <c r="A10" s="91" t="s">
        <v>842</v>
      </c>
      <c r="B10" s="431">
        <f>INDEX('Antenna Gain'!N13:N16,'Antenna Gain'!E11,1)</f>
        <v>15.5</v>
      </c>
      <c r="C10" s="91" t="s">
        <v>36</v>
      </c>
      <c r="D10" s="422" t="s">
        <v>726</v>
      </c>
      <c r="E10" s="422"/>
      <c r="F10" s="422"/>
      <c r="G10" s="422"/>
      <c r="H10" s="422"/>
      <c r="I10" s="422"/>
      <c r="J10" s="91"/>
      <c r="K10" s="91"/>
      <c r="L10" s="91"/>
      <c r="M10" s="91"/>
      <c r="N10" s="91"/>
      <c r="O10" s="91"/>
      <c r="P10" s="91"/>
      <c r="Q10" s="91"/>
      <c r="R10" s="91"/>
    </row>
    <row r="11" spans="1:18">
      <c r="A11" s="91" t="s">
        <v>880</v>
      </c>
      <c r="B11" s="39">
        <f>B7-B9+B10</f>
        <v>17.223566086720375</v>
      </c>
      <c r="C11" s="91" t="s">
        <v>858</v>
      </c>
      <c r="D11" s="422" t="s">
        <v>879</v>
      </c>
      <c r="E11" s="422"/>
      <c r="F11" s="422"/>
      <c r="G11" s="422"/>
      <c r="H11" s="422"/>
      <c r="I11" s="422"/>
      <c r="J11" s="91"/>
      <c r="K11" s="91"/>
      <c r="L11" s="91"/>
      <c r="M11" s="91"/>
      <c r="N11" s="91"/>
      <c r="O11" s="91"/>
      <c r="P11" s="91"/>
      <c r="Q11" s="91"/>
      <c r="R11" s="91"/>
    </row>
    <row r="12" spans="1:18" ht="13">
      <c r="A12" s="63" t="s">
        <v>878</v>
      </c>
      <c r="B12" s="64"/>
      <c r="C12" s="23"/>
      <c r="D12" s="23"/>
      <c r="E12" s="23"/>
      <c r="F12" s="23"/>
      <c r="G12" s="23"/>
      <c r="H12" s="23"/>
      <c r="I12" s="23"/>
      <c r="J12" s="23"/>
      <c r="K12" s="23"/>
      <c r="L12" s="23"/>
      <c r="M12" s="23"/>
      <c r="N12" s="23"/>
      <c r="O12" s="23"/>
      <c r="P12" s="23"/>
      <c r="Q12" s="23"/>
      <c r="R12" s="23"/>
    </row>
    <row r="13" spans="1:18">
      <c r="A13" s="91" t="s">
        <v>870</v>
      </c>
      <c r="B13" s="431">
        <f>'Antenna Pointing Losses'!K43</f>
        <v>0.31396976431536944</v>
      </c>
      <c r="C13" s="91" t="s">
        <v>833</v>
      </c>
      <c r="D13" s="422" t="s">
        <v>727</v>
      </c>
      <c r="E13" s="422"/>
      <c r="F13" s="422"/>
      <c r="G13" s="422"/>
      <c r="H13" s="422"/>
      <c r="I13" s="422"/>
      <c r="J13" s="91"/>
      <c r="K13" s="91"/>
      <c r="L13" s="91"/>
      <c r="M13" s="91"/>
      <c r="N13" s="91"/>
      <c r="O13" s="91"/>
      <c r="P13" s="91"/>
      <c r="Q13" s="91"/>
      <c r="R13" s="91"/>
    </row>
    <row r="14" spans="1:18">
      <c r="A14" s="91" t="s">
        <v>390</v>
      </c>
      <c r="B14" s="430">
        <f>'Antenna Polarization Loss'!F40</f>
        <v>5.7437907597720189E-2</v>
      </c>
      <c r="C14" s="91" t="s">
        <v>833</v>
      </c>
      <c r="D14" s="422" t="s">
        <v>398</v>
      </c>
      <c r="E14" s="422"/>
      <c r="F14" s="422"/>
      <c r="G14" s="422"/>
      <c r="H14" s="422"/>
      <c r="I14" s="422"/>
      <c r="J14" s="91"/>
      <c r="K14" s="91"/>
      <c r="L14" s="91"/>
      <c r="M14" s="91"/>
      <c r="N14" s="91"/>
      <c r="O14" s="91"/>
      <c r="P14" s="91"/>
      <c r="Q14" s="91"/>
      <c r="R14" s="91"/>
    </row>
    <row r="15" spans="1:18">
      <c r="A15" s="91" t="s">
        <v>832</v>
      </c>
      <c r="B15" s="432">
        <f>Frequency!M12</f>
        <v>148.5169324637277</v>
      </c>
      <c r="C15" s="91" t="s">
        <v>833</v>
      </c>
      <c r="D15" s="422" t="s">
        <v>360</v>
      </c>
      <c r="E15" s="422"/>
      <c r="F15" s="422"/>
      <c r="G15" s="422"/>
      <c r="H15" s="422"/>
      <c r="I15" s="422"/>
      <c r="J15" s="91"/>
      <c r="K15" s="91"/>
      <c r="L15" s="91"/>
      <c r="M15" s="91"/>
      <c r="N15" s="91"/>
      <c r="O15" s="91"/>
      <c r="P15" s="91"/>
      <c r="Q15" s="91"/>
      <c r="R15" s="91"/>
    </row>
    <row r="16" spans="1:18">
      <c r="A16" s="91" t="s">
        <v>845</v>
      </c>
      <c r="B16" s="431">
        <f>'Atmos. &amp; Ionos. Losses'!D23</f>
        <v>1.1000000000000001</v>
      </c>
      <c r="C16" s="91" t="s">
        <v>833</v>
      </c>
      <c r="D16" s="422" t="s">
        <v>282</v>
      </c>
      <c r="E16" s="422"/>
      <c r="F16" s="422"/>
      <c r="G16" s="422"/>
      <c r="H16" s="422"/>
      <c r="I16" s="422"/>
      <c r="J16" s="91"/>
      <c r="K16" s="91"/>
      <c r="L16" s="91"/>
      <c r="M16" s="91"/>
      <c r="N16" s="91"/>
      <c r="O16" s="91"/>
      <c r="P16" s="91"/>
      <c r="Q16" s="91"/>
      <c r="R16" s="91"/>
    </row>
    <row r="17" spans="1:18">
      <c r="A17" s="91" t="s">
        <v>846</v>
      </c>
      <c r="B17" s="431">
        <f>INDEX('Atmos. &amp; Ionos. Losses'!D32:D35,Frequency!L10,1)</f>
        <v>0.2</v>
      </c>
      <c r="C17" s="91" t="s">
        <v>833</v>
      </c>
      <c r="D17" s="422" t="s">
        <v>284</v>
      </c>
      <c r="E17" s="422"/>
      <c r="F17" s="422"/>
      <c r="G17" s="422"/>
      <c r="H17" s="422"/>
      <c r="I17" s="422"/>
      <c r="J17" s="91"/>
      <c r="K17" s="91"/>
      <c r="L17" s="91"/>
      <c r="M17" s="91"/>
      <c r="N17" s="91"/>
      <c r="O17" s="91"/>
      <c r="P17" s="91"/>
      <c r="Q17" s="91"/>
      <c r="R17" s="91"/>
    </row>
    <row r="18" spans="1:18">
      <c r="A18" s="91" t="s">
        <v>847</v>
      </c>
      <c r="B18" s="434">
        <v>0</v>
      </c>
      <c r="C18" s="91" t="s">
        <v>833</v>
      </c>
      <c r="D18" s="422" t="s">
        <v>292</v>
      </c>
      <c r="E18" s="422"/>
      <c r="F18" s="422"/>
      <c r="G18" s="422"/>
      <c r="H18" s="422"/>
      <c r="I18" s="422"/>
      <c r="J18" s="91"/>
      <c r="K18" s="91"/>
      <c r="L18" s="91"/>
      <c r="M18" s="91"/>
      <c r="N18" s="91"/>
      <c r="O18" s="91"/>
      <c r="P18" s="91"/>
      <c r="Q18" s="91"/>
      <c r="R18" s="91"/>
    </row>
    <row r="19" spans="1:18">
      <c r="A19" s="91" t="s">
        <v>544</v>
      </c>
      <c r="B19" s="39">
        <f>B11-SUM(B13:B18)</f>
        <v>-132.96477404892039</v>
      </c>
      <c r="C19" s="91" t="s">
        <v>858</v>
      </c>
      <c r="D19" s="422" t="s">
        <v>545</v>
      </c>
      <c r="E19" s="422"/>
      <c r="F19" s="422"/>
      <c r="G19" s="422"/>
      <c r="H19" s="422"/>
      <c r="I19" s="422"/>
      <c r="J19" s="91"/>
      <c r="K19" s="91"/>
      <c r="L19" s="91"/>
      <c r="M19" s="91"/>
      <c r="N19" s="91"/>
      <c r="O19" s="91"/>
      <c r="P19" s="91"/>
      <c r="Q19" s="91"/>
      <c r="R19" s="91"/>
    </row>
    <row r="20" spans="1:18" ht="13">
      <c r="A20" s="63" t="s">
        <v>416</v>
      </c>
      <c r="B20" s="23"/>
      <c r="C20" s="23"/>
      <c r="D20" s="23"/>
      <c r="E20" s="23"/>
      <c r="F20" s="23"/>
      <c r="G20" s="23"/>
      <c r="H20" s="23"/>
      <c r="I20" s="23"/>
      <c r="J20" s="36"/>
      <c r="K20" s="42"/>
      <c r="L20" s="42"/>
      <c r="M20" s="42"/>
      <c r="N20" s="46"/>
      <c r="O20" s="47"/>
      <c r="P20" s="47"/>
      <c r="Q20" s="47"/>
      <c r="R20" s="23"/>
    </row>
    <row r="21" spans="1:18" ht="13" outlineLevel="1">
      <c r="A21" s="63" t="s">
        <v>911</v>
      </c>
      <c r="B21" s="23"/>
      <c r="C21" s="23"/>
      <c r="D21" s="23"/>
      <c r="E21" s="23"/>
      <c r="F21" s="23"/>
      <c r="G21" s="23"/>
      <c r="H21" s="23"/>
      <c r="I21" s="23"/>
      <c r="J21" s="36"/>
      <c r="K21" s="42"/>
      <c r="L21" s="42"/>
      <c r="M21" s="42"/>
      <c r="N21" s="46"/>
      <c r="O21" s="47"/>
      <c r="P21" s="47"/>
      <c r="Q21" s="47"/>
      <c r="R21" s="23"/>
    </row>
    <row r="22" spans="1:18" outlineLevel="1">
      <c r="A22" s="429" t="s">
        <v>881</v>
      </c>
      <c r="B22" s="431">
        <f>'Antenna Pointing Losses'!K63</f>
        <v>0</v>
      </c>
      <c r="C22" s="91" t="s">
        <v>833</v>
      </c>
      <c r="D22" s="422" t="s">
        <v>949</v>
      </c>
      <c r="E22" s="422"/>
      <c r="F22" s="422"/>
      <c r="G22" s="422"/>
      <c r="H22" s="422"/>
      <c r="I22" s="422"/>
      <c r="J22" s="91"/>
      <c r="K22" s="432"/>
      <c r="L22" s="91"/>
      <c r="M22" s="91"/>
      <c r="N22" s="91"/>
      <c r="O22" s="91"/>
      <c r="P22" s="91"/>
      <c r="Q22" s="91"/>
      <c r="R22" s="91"/>
    </row>
    <row r="23" spans="1:18" outlineLevel="1">
      <c r="A23" s="91" t="s">
        <v>889</v>
      </c>
      <c r="B23" s="432">
        <f>INDEX('Antenna Gain'!H26:H32,'Antenna Gain'!E24,1)</f>
        <v>1</v>
      </c>
      <c r="C23" s="91" t="s">
        <v>36</v>
      </c>
      <c r="D23" s="422" t="s">
        <v>725</v>
      </c>
      <c r="E23" s="422"/>
      <c r="F23" s="422"/>
      <c r="G23" s="422"/>
      <c r="H23" s="422"/>
      <c r="I23" s="422"/>
      <c r="J23" s="91"/>
      <c r="K23" s="432"/>
      <c r="L23" s="91"/>
      <c r="M23" s="91"/>
      <c r="N23" s="91"/>
      <c r="O23" s="91"/>
      <c r="P23" s="91"/>
      <c r="Q23" s="91"/>
      <c r="R23" s="91"/>
    </row>
    <row r="24" spans="1:18" outlineLevel="1">
      <c r="A24" s="91" t="s">
        <v>280</v>
      </c>
      <c r="B24" s="431">
        <f>Receivers!J56</f>
        <v>1.1675600000000002</v>
      </c>
      <c r="C24" s="91" t="s">
        <v>833</v>
      </c>
      <c r="D24" s="422" t="s">
        <v>402</v>
      </c>
      <c r="E24" s="422"/>
      <c r="F24" s="422"/>
      <c r="G24" s="422"/>
      <c r="H24" s="422"/>
      <c r="I24" s="422"/>
      <c r="J24" s="91"/>
      <c r="K24" s="91"/>
      <c r="L24" s="91"/>
      <c r="M24" s="91"/>
      <c r="N24" s="91"/>
      <c r="O24" s="91"/>
      <c r="P24" s="91"/>
      <c r="Q24" s="91"/>
      <c r="R24" s="91"/>
    </row>
    <row r="25" spans="1:18" outlineLevel="1">
      <c r="A25" s="91" t="s">
        <v>890</v>
      </c>
      <c r="B25" s="435">
        <f>Receivers!J71</f>
        <v>208.32438747163673</v>
      </c>
      <c r="C25" s="91" t="s">
        <v>861</v>
      </c>
      <c r="D25" s="422" t="s">
        <v>401</v>
      </c>
      <c r="E25" s="422"/>
      <c r="F25" s="422"/>
      <c r="G25" s="422"/>
      <c r="H25" s="422"/>
      <c r="I25" s="422"/>
      <c r="J25" s="91"/>
      <c r="K25" s="435"/>
      <c r="L25" s="91"/>
      <c r="M25" s="91"/>
      <c r="N25" s="91"/>
      <c r="O25" s="91"/>
      <c r="P25" s="91"/>
      <c r="Q25" s="91"/>
      <c r="R25" s="91"/>
    </row>
    <row r="26" spans="1:18" outlineLevel="1">
      <c r="A26" s="91" t="s">
        <v>891</v>
      </c>
      <c r="B26" s="432">
        <f>B23-B24-10*LOG10(B25)</f>
        <v>-23.354961135598341</v>
      </c>
      <c r="C26" s="91" t="s">
        <v>862</v>
      </c>
      <c r="D26" s="141" t="s">
        <v>373</v>
      </c>
      <c r="E26" s="422"/>
      <c r="F26" s="422"/>
      <c r="G26" s="422"/>
      <c r="H26" s="422"/>
      <c r="I26" s="422"/>
      <c r="J26" s="91"/>
      <c r="K26" s="432"/>
      <c r="L26" s="91"/>
      <c r="M26" s="91"/>
      <c r="N26" s="91"/>
      <c r="O26" s="91"/>
      <c r="P26" s="91"/>
      <c r="Q26" s="91"/>
      <c r="R26" s="91"/>
    </row>
    <row r="27" spans="1:18" outlineLevel="1">
      <c r="A27" s="91" t="s">
        <v>892</v>
      </c>
      <c r="B27" s="418">
        <f>B19-B22-F27+B26</f>
        <v>72.28026481548126</v>
      </c>
      <c r="C27" s="91" t="s">
        <v>867</v>
      </c>
      <c r="D27" s="440" t="s">
        <v>865</v>
      </c>
      <c r="E27" s="441"/>
      <c r="F27" s="441">
        <v>-228.6</v>
      </c>
      <c r="G27" s="442" t="s">
        <v>866</v>
      </c>
      <c r="H27" s="422"/>
      <c r="I27" s="422"/>
      <c r="J27" s="91"/>
      <c r="K27" s="302"/>
      <c r="L27" s="91"/>
      <c r="M27" s="91"/>
      <c r="N27" s="91"/>
      <c r="O27" s="91"/>
      <c r="P27" s="91"/>
      <c r="Q27" s="91"/>
      <c r="R27" s="91"/>
    </row>
    <row r="28" spans="1:18" outlineLevel="1">
      <c r="A28" s="91" t="s">
        <v>854</v>
      </c>
      <c r="B28" s="381">
        <v>100000</v>
      </c>
      <c r="C28" s="91" t="s">
        <v>868</v>
      </c>
      <c r="D28" s="422" t="s">
        <v>302</v>
      </c>
      <c r="E28" s="422"/>
      <c r="F28" s="422"/>
      <c r="G28" s="422"/>
      <c r="H28" s="422"/>
      <c r="I28" s="422"/>
      <c r="J28" s="91"/>
      <c r="K28" s="447"/>
      <c r="L28" s="91"/>
      <c r="M28" s="91"/>
      <c r="N28" s="91"/>
      <c r="O28" s="91"/>
      <c r="P28" s="91"/>
      <c r="Q28" s="91"/>
      <c r="R28" s="91"/>
    </row>
    <row r="29" spans="1:18" outlineLevel="1">
      <c r="A29" s="427" t="s">
        <v>869</v>
      </c>
      <c r="B29" s="443">
        <f>10*LOG10(B28)</f>
        <v>50</v>
      </c>
      <c r="C29" s="91" t="s">
        <v>867</v>
      </c>
      <c r="D29" s="422" t="s">
        <v>303</v>
      </c>
      <c r="E29" s="422"/>
      <c r="F29" s="422"/>
      <c r="G29" s="422"/>
      <c r="H29" s="422"/>
      <c r="I29" s="422"/>
      <c r="J29" s="91"/>
      <c r="K29" s="302"/>
      <c r="L29" s="91"/>
      <c r="M29" s="91"/>
      <c r="N29" s="91"/>
      <c r="O29" s="91"/>
      <c r="P29" s="91"/>
      <c r="Q29" s="91"/>
      <c r="R29" s="91"/>
    </row>
    <row r="30" spans="1:18" outlineLevel="1">
      <c r="A30" s="91" t="s">
        <v>418</v>
      </c>
      <c r="B30" s="418">
        <f>B27-B29</f>
        <v>22.28026481548126</v>
      </c>
      <c r="C30" s="91" t="s">
        <v>833</v>
      </c>
      <c r="D30" s="422" t="s">
        <v>791</v>
      </c>
      <c r="E30" s="422"/>
      <c r="F30" s="422"/>
      <c r="G30" s="422"/>
      <c r="H30" s="422"/>
      <c r="I30" s="422"/>
      <c r="J30" s="91"/>
      <c r="K30" s="302"/>
      <c r="L30" s="91"/>
      <c r="M30" s="91"/>
      <c r="N30" s="91"/>
      <c r="O30" s="91"/>
      <c r="P30" s="91"/>
      <c r="Q30" s="91"/>
      <c r="R30" s="91"/>
    </row>
    <row r="31" spans="1:18" outlineLevel="1">
      <c r="A31" s="91"/>
      <c r="B31" s="454"/>
      <c r="C31" s="91"/>
      <c r="D31" s="422"/>
      <c r="E31" s="422"/>
      <c r="F31" s="422"/>
      <c r="G31" s="422"/>
      <c r="H31" s="422"/>
      <c r="I31" s="422"/>
      <c r="J31" s="91"/>
      <c r="K31" s="302"/>
      <c r="L31" s="91"/>
      <c r="M31" s="91"/>
      <c r="N31" s="91"/>
      <c r="O31" s="91"/>
      <c r="P31" s="91"/>
      <c r="Q31" s="91"/>
      <c r="R31" s="91"/>
    </row>
    <row r="32" spans="1:18" outlineLevel="1">
      <c r="A32" s="91" t="s">
        <v>403</v>
      </c>
      <c r="B32" s="450" t="str">
        <f>INDEX('Modulation-Demodulation Method'!C6:C24,'Modulation-Demodulation Method'!E3,1)</f>
        <v>GMSK w/ BT=0.3</v>
      </c>
      <c r="C32" s="428" t="s">
        <v>791</v>
      </c>
      <c r="D32" s="453" t="s">
        <v>406</v>
      </c>
      <c r="E32" s="422"/>
      <c r="F32" s="422"/>
      <c r="G32" s="422"/>
      <c r="H32" s="422"/>
      <c r="I32" s="422"/>
      <c r="J32" s="91"/>
      <c r="K32" s="302"/>
      <c r="L32" s="91"/>
      <c r="M32" s="91"/>
      <c r="N32" s="91"/>
      <c r="O32" s="91"/>
      <c r="P32" s="91"/>
      <c r="Q32" s="91"/>
      <c r="R32" s="91"/>
    </row>
    <row r="33" spans="1:18" outlineLevel="1">
      <c r="A33" s="91" t="s">
        <v>400</v>
      </c>
      <c r="B33" s="452" t="str">
        <f>INDEX('Modulation-Demodulation Method'!D6:D24,'Modulation-Demodulation Method'!E3,1)</f>
        <v>None</v>
      </c>
      <c r="C33" s="451"/>
      <c r="D33" s="426" t="s">
        <v>407</v>
      </c>
      <c r="E33" s="422"/>
      <c r="F33" s="422"/>
      <c r="G33" s="422"/>
      <c r="H33" s="422"/>
      <c r="I33" s="422"/>
      <c r="J33" s="91"/>
      <c r="K33" s="302"/>
      <c r="L33" s="91"/>
      <c r="M33" s="91"/>
      <c r="N33" s="91"/>
      <c r="O33" s="91"/>
      <c r="P33" s="91"/>
      <c r="Q33" s="91"/>
      <c r="R33" s="91"/>
    </row>
    <row r="34" spans="1:18" outlineLevel="1">
      <c r="A34" s="91"/>
      <c r="B34" s="454"/>
      <c r="C34" s="91"/>
      <c r="D34" s="422"/>
      <c r="E34" s="422"/>
      <c r="F34" s="422"/>
      <c r="G34" s="422"/>
      <c r="H34" s="422"/>
      <c r="I34" s="422"/>
      <c r="J34" s="91"/>
      <c r="K34" s="302"/>
      <c r="L34" s="91"/>
      <c r="M34" s="91"/>
      <c r="N34" s="91"/>
      <c r="O34" s="91"/>
      <c r="P34" s="91"/>
      <c r="Q34" s="91"/>
      <c r="R34" s="91"/>
    </row>
    <row r="35" spans="1:18" outlineLevel="1">
      <c r="A35" s="91" t="s">
        <v>305</v>
      </c>
      <c r="B35" s="419">
        <f>INDEX('Modulation-Demodulation Method'!E6:E24,'Modulation-Demodulation Method'!E3,1)</f>
        <v>1.0000000000000001E-5</v>
      </c>
      <c r="C35" s="428"/>
      <c r="D35" s="426" t="s">
        <v>408</v>
      </c>
      <c r="E35" s="422"/>
      <c r="F35" s="422"/>
      <c r="G35" s="422"/>
      <c r="H35" s="422"/>
      <c r="I35" s="422"/>
      <c r="J35" s="91"/>
      <c r="K35" s="91"/>
      <c r="L35" s="91"/>
      <c r="M35" s="91"/>
      <c r="N35" s="91"/>
      <c r="O35" s="91"/>
      <c r="P35" s="91"/>
      <c r="Q35" s="91"/>
      <c r="R35" s="91"/>
    </row>
    <row r="36" spans="1:18" outlineLevel="1">
      <c r="A36" s="91"/>
      <c r="B36" s="455"/>
      <c r="C36" s="428"/>
      <c r="D36" s="426"/>
      <c r="E36" s="422"/>
      <c r="F36" s="422"/>
      <c r="G36" s="422"/>
      <c r="H36" s="422"/>
      <c r="I36" s="422"/>
      <c r="J36" s="91"/>
      <c r="K36" s="91"/>
      <c r="L36" s="91"/>
      <c r="M36" s="91"/>
      <c r="N36" s="91"/>
      <c r="O36" s="91"/>
      <c r="P36" s="91"/>
      <c r="Q36" s="91"/>
      <c r="R36" s="91"/>
    </row>
    <row r="37" spans="1:18" outlineLevel="1">
      <c r="A37" s="91" t="s">
        <v>336</v>
      </c>
      <c r="B37" s="456">
        <f>'Modulation-Demodulation Method'!E26</f>
        <v>0.5</v>
      </c>
      <c r="C37" s="91" t="s">
        <v>833</v>
      </c>
      <c r="D37" s="422" t="s">
        <v>410</v>
      </c>
      <c r="E37" s="422"/>
      <c r="F37" s="422"/>
      <c r="G37" s="422"/>
      <c r="H37" s="422"/>
      <c r="I37" s="422"/>
      <c r="J37" s="91"/>
      <c r="K37" s="91"/>
      <c r="L37" s="91"/>
      <c r="M37" s="91"/>
      <c r="N37" s="91"/>
      <c r="O37" s="91"/>
      <c r="P37" s="91"/>
      <c r="Q37" s="91"/>
      <c r="R37" s="91"/>
    </row>
    <row r="38" spans="1:18" outlineLevel="1">
      <c r="A38" s="91"/>
      <c r="B38" s="456"/>
      <c r="C38" s="91"/>
      <c r="D38" s="422"/>
      <c r="E38" s="422"/>
      <c r="F38" s="422"/>
      <c r="G38" s="422"/>
      <c r="H38" s="422"/>
      <c r="I38" s="422"/>
      <c r="J38" s="91"/>
      <c r="K38" s="91"/>
      <c r="L38" s="91"/>
      <c r="M38" s="91"/>
      <c r="N38" s="91"/>
      <c r="O38" s="91"/>
      <c r="P38" s="91"/>
      <c r="Q38" s="91"/>
      <c r="R38" s="91"/>
    </row>
    <row r="39" spans="1:18" outlineLevel="1">
      <c r="A39" s="91" t="s">
        <v>855</v>
      </c>
      <c r="B39" s="457">
        <f>INDEX('Modulation-Demodulation Method'!F6:F24,'Modulation-Demodulation Method'!E3,1)</f>
        <v>10.4</v>
      </c>
      <c r="C39" s="91" t="s">
        <v>833</v>
      </c>
      <c r="D39" s="422" t="s">
        <v>411</v>
      </c>
      <c r="E39" s="422"/>
      <c r="F39" s="422"/>
      <c r="G39" s="422"/>
      <c r="H39" s="422"/>
      <c r="I39" s="422"/>
      <c r="J39" s="91"/>
      <c r="K39" s="432"/>
      <c r="L39" s="91"/>
      <c r="M39" s="91"/>
      <c r="N39" s="91"/>
      <c r="O39" s="91"/>
      <c r="P39" s="91"/>
      <c r="Q39" s="91"/>
      <c r="R39" s="91"/>
    </row>
    <row r="40" spans="1:18" outlineLevel="1">
      <c r="A40" s="91"/>
      <c r="B40" s="457"/>
      <c r="C40" s="91"/>
      <c r="D40" s="422"/>
      <c r="E40" s="422"/>
      <c r="F40" s="422"/>
      <c r="G40" s="422"/>
      <c r="H40" s="422"/>
      <c r="I40" s="422"/>
      <c r="J40" s="91"/>
      <c r="K40" s="432"/>
      <c r="L40" s="91"/>
      <c r="M40" s="91"/>
      <c r="N40" s="91"/>
      <c r="O40" s="91"/>
      <c r="P40" s="91"/>
      <c r="Q40" s="91"/>
      <c r="R40" s="91"/>
    </row>
    <row r="41" spans="1:18" outlineLevel="1">
      <c r="A41" s="91" t="s">
        <v>337</v>
      </c>
      <c r="B41" s="420">
        <f>'Modulation-Demodulation Method'!H5</f>
        <v>10.9</v>
      </c>
      <c r="C41" s="91" t="s">
        <v>833</v>
      </c>
      <c r="D41" s="422" t="s">
        <v>349</v>
      </c>
      <c r="E41" s="422"/>
      <c r="F41" s="422"/>
      <c r="G41" s="422"/>
      <c r="H41" s="422"/>
      <c r="I41" s="422"/>
      <c r="J41" s="91"/>
      <c r="K41" s="432"/>
      <c r="L41" s="91"/>
      <c r="M41" s="91"/>
      <c r="N41" s="91"/>
      <c r="O41" s="91"/>
      <c r="P41" s="91"/>
      <c r="Q41" s="91"/>
      <c r="R41" s="91"/>
    </row>
    <row r="42" spans="1:18" ht="13" outlineLevel="1" thickBot="1">
      <c r="A42" s="91"/>
      <c r="B42" s="457"/>
      <c r="C42" s="91"/>
      <c r="D42" s="422"/>
      <c r="E42" s="422"/>
      <c r="F42" s="422"/>
      <c r="G42" s="422"/>
      <c r="H42" s="422"/>
      <c r="I42" s="422"/>
      <c r="J42" s="91"/>
      <c r="K42" s="432"/>
      <c r="L42" s="91"/>
      <c r="M42" s="91"/>
      <c r="N42" s="91"/>
      <c r="O42" s="91"/>
      <c r="P42" s="91"/>
      <c r="Q42" s="91"/>
      <c r="R42" s="91"/>
    </row>
    <row r="43" spans="1:18" ht="13.5" outlineLevel="1" thickBot="1">
      <c r="A43" s="120" t="s">
        <v>856</v>
      </c>
      <c r="B43" s="40">
        <f>B30-B41</f>
        <v>11.38026481548126</v>
      </c>
      <c r="C43" s="91" t="s">
        <v>833</v>
      </c>
      <c r="D43" s="422"/>
      <c r="E43" s="422"/>
      <c r="F43" s="422"/>
      <c r="G43" s="422"/>
      <c r="H43" s="422"/>
      <c r="I43" s="422"/>
      <c r="J43" s="91"/>
      <c r="K43" s="432"/>
      <c r="L43" s="91"/>
      <c r="M43" s="91"/>
      <c r="N43" s="91"/>
      <c r="O43" s="91"/>
      <c r="P43" s="91"/>
      <c r="Q43" s="91"/>
      <c r="R43" s="91"/>
    </row>
    <row r="44" spans="1:18" ht="13" outlineLevel="1">
      <c r="A44" s="91"/>
      <c r="B44" s="91"/>
      <c r="C44" s="91"/>
      <c r="D44" s="422"/>
      <c r="E44" s="422"/>
      <c r="F44" s="422"/>
      <c r="G44" s="422"/>
      <c r="H44" s="422"/>
      <c r="I44" s="422"/>
      <c r="J44" s="91"/>
      <c r="K44" s="448"/>
      <c r="L44" s="91"/>
      <c r="M44" s="91"/>
      <c r="N44" s="91"/>
      <c r="O44" s="91"/>
      <c r="P44" s="91"/>
      <c r="Q44" s="91"/>
      <c r="R44" s="91"/>
    </row>
    <row r="45" spans="1:18" outlineLevel="1">
      <c r="A45" s="91"/>
      <c r="B45" s="91"/>
      <c r="C45" s="91"/>
      <c r="D45" s="422"/>
      <c r="E45" s="422"/>
      <c r="F45" s="422"/>
      <c r="G45" s="422"/>
      <c r="H45" s="422"/>
      <c r="I45" s="422"/>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6" t="s">
        <v>893</v>
      </c>
      <c r="B47" s="42"/>
      <c r="C47" s="42"/>
      <c r="D47" s="42"/>
      <c r="E47" s="388" t="s">
        <v>414</v>
      </c>
      <c r="F47" s="47"/>
      <c r="G47" s="47"/>
      <c r="H47" s="47"/>
      <c r="I47" s="23"/>
      <c r="J47" s="23"/>
      <c r="K47" s="23"/>
      <c r="L47" s="23"/>
      <c r="M47" s="23"/>
      <c r="N47" s="23"/>
      <c r="O47" s="23"/>
      <c r="P47" s="23"/>
      <c r="Q47" s="23"/>
      <c r="R47" s="23"/>
    </row>
    <row r="48" spans="1:18" ht="13" outlineLevel="1">
      <c r="A48" s="36" t="s">
        <v>912</v>
      </c>
      <c r="B48" s="42"/>
      <c r="C48" s="42"/>
      <c r="D48" s="42"/>
      <c r="E48" s="46"/>
      <c r="F48" s="47"/>
      <c r="G48" s="47"/>
      <c r="H48" s="47"/>
      <c r="I48" s="23"/>
      <c r="J48" s="23"/>
      <c r="K48" s="23"/>
      <c r="L48" s="23"/>
      <c r="M48" s="23"/>
      <c r="N48" s="23"/>
      <c r="O48" s="23"/>
      <c r="P48" s="23"/>
      <c r="Q48" s="23"/>
      <c r="R48" s="23"/>
    </row>
    <row r="49" spans="1:18" outlineLevel="1">
      <c r="A49" s="91" t="s">
        <v>881</v>
      </c>
      <c r="B49" s="432">
        <f>'Antenna Pointing Losses'!K63</f>
        <v>0</v>
      </c>
      <c r="C49" s="91" t="s">
        <v>833</v>
      </c>
      <c r="D49" s="422" t="s">
        <v>949</v>
      </c>
      <c r="E49" s="422"/>
      <c r="F49" s="422"/>
      <c r="G49" s="422"/>
      <c r="H49" s="422"/>
      <c r="I49" s="422"/>
      <c r="J49" s="91"/>
      <c r="K49" s="91"/>
      <c r="L49" s="91"/>
      <c r="M49" s="91"/>
      <c r="N49" s="91"/>
      <c r="O49" s="91"/>
      <c r="P49" s="91"/>
      <c r="Q49" s="91"/>
      <c r="R49" s="91"/>
    </row>
    <row r="50" spans="1:18" outlineLevel="1">
      <c r="A50" s="91" t="s">
        <v>889</v>
      </c>
      <c r="B50" s="432">
        <f>INDEX('Antenna Gain'!H26:H32,'Antenna Gain'!E24,1)</f>
        <v>1</v>
      </c>
      <c r="C50" s="91" t="s">
        <v>36</v>
      </c>
      <c r="D50" s="422" t="s">
        <v>725</v>
      </c>
      <c r="E50" s="422"/>
      <c r="F50" s="422"/>
      <c r="G50" s="422"/>
      <c r="H50" s="422"/>
      <c r="I50" s="422"/>
      <c r="J50" s="91"/>
      <c r="K50" s="91"/>
      <c r="L50" s="91"/>
      <c r="M50" s="91"/>
      <c r="N50" s="91"/>
      <c r="O50" s="91"/>
      <c r="P50" s="91"/>
      <c r="Q50" s="91"/>
      <c r="R50" s="91"/>
    </row>
    <row r="51" spans="1:18" outlineLevel="1">
      <c r="A51" s="91" t="s">
        <v>280</v>
      </c>
      <c r="B51" s="432">
        <f>Receivers!J56</f>
        <v>1.1675600000000002</v>
      </c>
      <c r="C51" s="91" t="s">
        <v>833</v>
      </c>
      <c r="D51" s="422" t="s">
        <v>402</v>
      </c>
      <c r="E51" s="422"/>
      <c r="F51" s="422"/>
      <c r="G51" s="422"/>
      <c r="H51" s="422"/>
      <c r="I51" s="422"/>
      <c r="J51" s="91"/>
      <c r="K51" s="91"/>
      <c r="L51" s="91"/>
      <c r="M51" s="91"/>
      <c r="N51" s="91"/>
      <c r="O51" s="91"/>
      <c r="P51" s="91"/>
      <c r="Q51" s="91"/>
      <c r="R51" s="91"/>
    </row>
    <row r="52" spans="1:18" outlineLevel="1">
      <c r="A52" s="91" t="s">
        <v>890</v>
      </c>
      <c r="B52" s="435">
        <f>Receivers!J71</f>
        <v>208.32438747163673</v>
      </c>
      <c r="C52" s="91" t="s">
        <v>861</v>
      </c>
      <c r="D52" s="422" t="s">
        <v>401</v>
      </c>
      <c r="E52" s="422"/>
      <c r="F52" s="422"/>
      <c r="G52" s="422"/>
      <c r="H52" s="422"/>
      <c r="I52" s="422"/>
      <c r="J52" s="91"/>
      <c r="K52" s="91"/>
      <c r="L52" s="91"/>
      <c r="M52" s="91"/>
      <c r="N52" s="91"/>
      <c r="O52" s="91"/>
      <c r="P52" s="91"/>
      <c r="Q52" s="91"/>
      <c r="R52" s="91"/>
    </row>
    <row r="53" spans="1:18" outlineLevel="1">
      <c r="A53" s="91" t="s">
        <v>891</v>
      </c>
      <c r="B53" s="432">
        <f>B50-B51-10*LOG10(B52)</f>
        <v>-23.354961135598341</v>
      </c>
      <c r="C53" s="91" t="s">
        <v>862</v>
      </c>
      <c r="D53" s="422" t="s">
        <v>374</v>
      </c>
      <c r="E53" s="422"/>
      <c r="F53" s="422"/>
      <c r="G53" s="422"/>
      <c r="H53" s="422"/>
      <c r="I53" s="422"/>
      <c r="J53" s="91"/>
      <c r="K53" s="91"/>
      <c r="L53" s="91"/>
      <c r="M53" s="91"/>
      <c r="N53" s="91"/>
      <c r="O53" s="91"/>
      <c r="P53" s="91"/>
      <c r="Q53" s="91"/>
      <c r="R53" s="91"/>
    </row>
    <row r="54" spans="1:18" outlineLevel="1">
      <c r="A54" s="91"/>
      <c r="B54" s="432"/>
      <c r="C54" s="91"/>
      <c r="D54" s="422"/>
      <c r="E54" s="422"/>
      <c r="F54" s="422"/>
      <c r="G54" s="422"/>
      <c r="H54" s="422"/>
      <c r="I54" s="422"/>
      <c r="J54" s="91"/>
      <c r="K54" s="91"/>
      <c r="L54" s="91"/>
      <c r="M54" s="91"/>
      <c r="N54" s="91"/>
      <c r="O54" s="91"/>
      <c r="P54" s="91"/>
      <c r="Q54" s="91"/>
      <c r="R54" s="91"/>
    </row>
    <row r="55" spans="1:18" outlineLevel="1">
      <c r="A55" s="91" t="s">
        <v>894</v>
      </c>
      <c r="B55" s="348">
        <f>B19-B49+B50-B51</f>
        <v>-133.1323340489204</v>
      </c>
      <c r="C55" s="91" t="s">
        <v>858</v>
      </c>
      <c r="D55" s="422" t="s">
        <v>375</v>
      </c>
      <c r="E55" s="422"/>
      <c r="F55" s="422"/>
      <c r="G55" s="422"/>
      <c r="H55" s="422"/>
      <c r="I55" s="422"/>
      <c r="J55" s="91"/>
      <c r="K55" s="91"/>
      <c r="L55" s="91"/>
      <c r="M55" s="91"/>
      <c r="N55" s="91"/>
      <c r="O55" s="91"/>
      <c r="P55" s="91"/>
      <c r="Q55" s="91"/>
      <c r="R55" s="91"/>
    </row>
    <row r="56" spans="1:18" outlineLevel="1">
      <c r="A56" s="91"/>
      <c r="B56" s="302"/>
      <c r="C56" s="91"/>
      <c r="D56" s="422"/>
      <c r="E56" s="422"/>
      <c r="F56" s="422"/>
      <c r="G56" s="422"/>
      <c r="H56" s="422"/>
      <c r="I56" s="422"/>
      <c r="J56" s="91"/>
      <c r="K56" s="91"/>
      <c r="L56" s="91"/>
      <c r="M56" s="91"/>
      <c r="N56" s="91"/>
      <c r="O56" s="91"/>
      <c r="P56" s="91"/>
      <c r="Q56" s="91"/>
      <c r="R56" s="91"/>
    </row>
    <row r="57" spans="1:18" ht="13" outlineLevel="1">
      <c r="A57" s="91" t="s">
        <v>895</v>
      </c>
      <c r="B57" s="381">
        <v>100000</v>
      </c>
      <c r="C57" s="91" t="s">
        <v>873</v>
      </c>
      <c r="D57" s="422" t="s">
        <v>412</v>
      </c>
      <c r="E57" s="422"/>
      <c r="F57" s="422"/>
      <c r="G57" s="422"/>
      <c r="H57" s="388" t="s">
        <v>140</v>
      </c>
      <c r="I57" s="422"/>
      <c r="J57" s="91"/>
      <c r="K57" s="91"/>
      <c r="L57" s="91"/>
      <c r="M57" s="91"/>
      <c r="N57" s="91"/>
      <c r="O57" s="91"/>
      <c r="P57" s="91"/>
      <c r="Q57" s="91"/>
      <c r="R57" s="91"/>
    </row>
    <row r="58" spans="1:18" outlineLevel="1">
      <c r="A58" s="91"/>
      <c r="B58" s="444"/>
      <c r="C58" s="91"/>
      <c r="D58" s="422"/>
      <c r="E58" s="422"/>
      <c r="F58" s="422"/>
      <c r="G58" s="422"/>
      <c r="H58" s="422"/>
      <c r="I58" s="422"/>
      <c r="J58" s="91"/>
      <c r="K58" s="91"/>
      <c r="L58" s="91"/>
      <c r="M58" s="91"/>
      <c r="N58" s="91"/>
      <c r="O58" s="91"/>
      <c r="P58" s="91"/>
      <c r="Q58" s="91"/>
      <c r="R58" s="91"/>
    </row>
    <row r="59" spans="1:18" outlineLevel="1">
      <c r="A59" s="91" t="s">
        <v>413</v>
      </c>
      <c r="B59" s="348">
        <f>F27+10*LOG10(B52)+10*LOG10(B57)</f>
        <v>-155.41259886440164</v>
      </c>
      <c r="C59" s="91" t="s">
        <v>858</v>
      </c>
      <c r="D59" s="422" t="s">
        <v>415</v>
      </c>
      <c r="E59" s="422"/>
      <c r="F59" s="422"/>
      <c r="G59" s="422"/>
      <c r="H59" s="422"/>
      <c r="I59" s="422"/>
      <c r="J59" s="91"/>
      <c r="K59" s="91"/>
      <c r="L59" s="91"/>
      <c r="M59" s="91"/>
      <c r="N59" s="91"/>
      <c r="O59" s="91"/>
      <c r="P59" s="91"/>
      <c r="Q59" s="91"/>
      <c r="R59" s="91"/>
    </row>
    <row r="60" spans="1:18" outlineLevel="1">
      <c r="A60" s="91"/>
      <c r="B60" s="445"/>
      <c r="C60" s="91"/>
      <c r="D60" s="422"/>
      <c r="E60" s="422"/>
      <c r="F60" s="422"/>
      <c r="G60" s="422"/>
      <c r="H60" s="422"/>
      <c r="I60" s="422"/>
      <c r="J60" s="91"/>
      <c r="K60" s="91"/>
      <c r="L60" s="91"/>
      <c r="M60" s="91"/>
      <c r="N60" s="91"/>
      <c r="O60" s="91"/>
      <c r="P60" s="91"/>
      <c r="Q60" s="91"/>
      <c r="R60" s="91"/>
    </row>
    <row r="61" spans="1:18" outlineLevel="1">
      <c r="A61" s="91" t="s">
        <v>875</v>
      </c>
      <c r="B61" s="418">
        <f>B55-B59</f>
        <v>22.280264815481246</v>
      </c>
      <c r="C61" s="91" t="s">
        <v>833</v>
      </c>
      <c r="D61" s="422" t="s">
        <v>377</v>
      </c>
      <c r="E61" s="422"/>
      <c r="F61" s="422"/>
      <c r="G61" s="422"/>
      <c r="H61" s="422"/>
      <c r="I61" s="422"/>
      <c r="J61" s="91"/>
      <c r="K61" s="91"/>
      <c r="L61" s="91"/>
      <c r="M61" s="91"/>
      <c r="N61" s="91"/>
      <c r="O61" s="91"/>
      <c r="P61" s="91"/>
      <c r="Q61" s="91"/>
      <c r="R61" s="91"/>
    </row>
    <row r="62" spans="1:18" outlineLevel="1">
      <c r="A62" s="91"/>
      <c r="B62" s="302"/>
      <c r="C62" s="91"/>
      <c r="D62" s="422"/>
      <c r="E62" s="422"/>
      <c r="F62" s="422"/>
      <c r="G62" s="422"/>
      <c r="H62" s="422"/>
      <c r="I62" s="422"/>
      <c r="J62" s="91"/>
      <c r="K62" s="91"/>
      <c r="L62" s="91"/>
      <c r="M62" s="91"/>
      <c r="N62" s="91"/>
      <c r="O62" s="91"/>
      <c r="P62" s="91"/>
      <c r="Q62" s="91"/>
      <c r="R62" s="91"/>
    </row>
    <row r="63" spans="1:18" outlineLevel="1">
      <c r="A63" s="91" t="s">
        <v>351</v>
      </c>
      <c r="B63" s="420">
        <f>'Modulation-Demodulation Method'!H5</f>
        <v>10.9</v>
      </c>
      <c r="C63" s="91" t="s">
        <v>833</v>
      </c>
      <c r="D63" s="422" t="s">
        <v>378</v>
      </c>
      <c r="E63" s="422"/>
      <c r="F63" s="422"/>
      <c r="G63" s="422"/>
      <c r="H63" s="422"/>
      <c r="I63" s="422"/>
      <c r="J63" s="91"/>
      <c r="K63" s="91"/>
      <c r="L63" s="91"/>
      <c r="M63" s="91"/>
      <c r="N63" s="91"/>
      <c r="O63" s="91"/>
      <c r="P63" s="91"/>
      <c r="Q63" s="91"/>
      <c r="R63" s="91"/>
    </row>
    <row r="64" spans="1:18" ht="13" outlineLevel="1" thickBot="1">
      <c r="A64" s="91"/>
      <c r="B64" s="302"/>
      <c r="C64" s="91"/>
      <c r="D64" s="422"/>
      <c r="E64" s="422"/>
      <c r="F64" s="422"/>
      <c r="G64" s="422"/>
      <c r="H64" s="422"/>
      <c r="I64" s="422"/>
      <c r="J64" s="91"/>
      <c r="K64" s="91"/>
      <c r="L64" s="91"/>
      <c r="M64" s="91"/>
      <c r="N64" s="91"/>
      <c r="O64" s="91"/>
      <c r="P64" s="91"/>
      <c r="Q64" s="91"/>
      <c r="R64" s="91"/>
    </row>
    <row r="65" spans="1:18" ht="13.5" outlineLevel="1" thickBot="1">
      <c r="A65" s="91" t="s">
        <v>372</v>
      </c>
      <c r="B65" s="40">
        <f>B61-B63</f>
        <v>11.380264815481246</v>
      </c>
      <c r="C65" s="91" t="s">
        <v>833</v>
      </c>
      <c r="D65" s="422"/>
      <c r="E65" s="422"/>
      <c r="F65" s="422"/>
      <c r="G65" s="422"/>
      <c r="H65" s="422"/>
      <c r="I65" s="422"/>
      <c r="J65" s="91"/>
      <c r="K65" s="91"/>
      <c r="L65" s="91"/>
      <c r="M65" s="91"/>
      <c r="N65" s="91"/>
      <c r="O65" s="91"/>
      <c r="P65" s="91"/>
      <c r="Q65" s="91"/>
      <c r="R65" s="91"/>
    </row>
    <row r="66" spans="1:18" outlineLevel="1">
      <c r="A66" s="98"/>
      <c r="B66" s="98"/>
      <c r="C66" s="98"/>
      <c r="D66" s="422"/>
      <c r="E66" s="422"/>
      <c r="F66" s="422"/>
      <c r="G66" s="422"/>
      <c r="H66" s="422"/>
      <c r="I66" s="422"/>
      <c r="J66" s="91"/>
      <c r="K66" s="91"/>
      <c r="L66" s="91"/>
      <c r="M66" s="91"/>
      <c r="N66" s="91"/>
      <c r="O66" s="91"/>
      <c r="P66" s="91"/>
      <c r="Q66" s="91"/>
      <c r="R66" s="91"/>
    </row>
    <row r="67" spans="1:18" outlineLevel="1">
      <c r="A67" s="91"/>
      <c r="B67" s="91"/>
      <c r="C67" s="91"/>
      <c r="D67" s="422"/>
      <c r="E67" s="422"/>
      <c r="F67" s="422"/>
      <c r="G67" s="422"/>
      <c r="H67" s="422"/>
      <c r="I67" s="422"/>
      <c r="J67" s="91"/>
      <c r="K67" s="91"/>
      <c r="L67" s="91"/>
      <c r="M67" s="91"/>
      <c r="N67" s="91"/>
      <c r="O67" s="91"/>
      <c r="P67" s="91"/>
      <c r="Q67" s="91"/>
      <c r="R67" s="91"/>
    </row>
    <row r="68" spans="1:18" outlineLevel="1">
      <c r="A68" s="91"/>
      <c r="B68" s="91"/>
      <c r="C68" s="91"/>
      <c r="D68" s="422"/>
      <c r="E68" s="422"/>
      <c r="F68" s="422"/>
      <c r="G68" s="422"/>
      <c r="H68" s="422"/>
      <c r="I68" s="422"/>
      <c r="J68" s="91"/>
      <c r="K68" s="91"/>
      <c r="L68" s="91"/>
      <c r="M68" s="91"/>
      <c r="N68" s="91"/>
      <c r="O68" s="91"/>
      <c r="P68" s="91"/>
      <c r="Q68" s="91"/>
      <c r="R68" s="91"/>
    </row>
    <row r="69" spans="1:18">
      <c r="B69" s="38" t="s">
        <v>791</v>
      </c>
      <c r="C69" t="s">
        <v>791</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51" t="s">
        <v>140</v>
      </c>
      <c r="C1" s="44" t="s">
        <v>791</v>
      </c>
      <c r="D1" s="682" t="str">
        <f>'Title Page'!F3</f>
        <v>OreSat - CS0</v>
      </c>
      <c r="E1" s="58" t="s">
        <v>791</v>
      </c>
      <c r="F1" s="58" t="str">
        <f>'Title Page'!D23</f>
        <v>Date Data Last Modified:</v>
      </c>
      <c r="G1" s="58"/>
      <c r="H1" s="44"/>
      <c r="I1" s="44"/>
      <c r="J1" s="44"/>
      <c r="K1" s="44"/>
      <c r="L1" s="44"/>
      <c r="M1" s="44"/>
      <c r="N1" s="44"/>
      <c r="O1" s="44"/>
      <c r="P1" s="44"/>
      <c r="Q1" s="44"/>
      <c r="R1" s="44"/>
    </row>
    <row r="2" spans="1:18" ht="20">
      <c r="A2" s="45" t="s">
        <v>838</v>
      </c>
      <c r="B2" s="44"/>
      <c r="C2" s="44"/>
      <c r="D2" s="58" t="str">
        <f>'Title Page'!G1</f>
        <v xml:space="preserve"> Version: 2.5.5</v>
      </c>
      <c r="E2" s="58"/>
      <c r="F2" s="59" t="str">
        <f>'Title Page'!F23</f>
        <v>2019 May 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792</v>
      </c>
      <c r="B4" s="29" t="s">
        <v>793</v>
      </c>
      <c r="C4" s="29" t="s">
        <v>839</v>
      </c>
      <c r="D4" s="29" t="s">
        <v>840</v>
      </c>
      <c r="E4" s="37"/>
      <c r="F4" s="37"/>
      <c r="G4" s="37"/>
      <c r="H4" s="37"/>
      <c r="I4" s="37"/>
      <c r="J4" s="37"/>
      <c r="K4" s="37"/>
      <c r="L4" s="37"/>
      <c r="M4" s="37"/>
      <c r="N4" s="37"/>
      <c r="O4" s="37"/>
      <c r="P4" s="37"/>
      <c r="Q4" s="37"/>
      <c r="R4" s="37"/>
    </row>
    <row r="5" spans="1:18" ht="13">
      <c r="A5" s="63" t="s">
        <v>841</v>
      </c>
      <c r="B5" s="23"/>
      <c r="C5" s="23"/>
      <c r="D5" s="23"/>
      <c r="E5" s="23"/>
      <c r="F5" s="23"/>
      <c r="G5" s="23"/>
      <c r="H5" s="23"/>
      <c r="I5" s="23"/>
      <c r="J5" s="23"/>
      <c r="K5" s="23"/>
      <c r="L5" s="23"/>
      <c r="M5" s="23"/>
      <c r="N5" s="23"/>
      <c r="O5" s="23"/>
      <c r="P5" s="23"/>
      <c r="Q5" s="23"/>
      <c r="R5" s="23"/>
    </row>
    <row r="6" spans="1:18">
      <c r="A6" s="91" t="s">
        <v>901</v>
      </c>
      <c r="B6" s="430">
        <f>Transmitters!E60</f>
        <v>0.25</v>
      </c>
      <c r="C6" s="91" t="s">
        <v>857</v>
      </c>
      <c r="D6" s="422" t="s">
        <v>387</v>
      </c>
      <c r="E6" s="422"/>
      <c r="F6" s="422"/>
      <c r="G6" s="422"/>
      <c r="H6" s="422"/>
      <c r="I6" s="422"/>
      <c r="J6" s="422"/>
      <c r="K6" s="91"/>
      <c r="L6" s="423" t="s">
        <v>383</v>
      </c>
      <c r="M6" s="414"/>
      <c r="N6" s="414"/>
      <c r="O6" s="414"/>
      <c r="P6" s="414"/>
      <c r="Q6" s="413"/>
      <c r="R6" s="91"/>
    </row>
    <row r="7" spans="1:18">
      <c r="A7" s="427" t="s">
        <v>863</v>
      </c>
      <c r="B7" s="132">
        <f>10*LOG10(B6)</f>
        <v>-6.0205999132796242</v>
      </c>
      <c r="C7" s="91" t="s">
        <v>858</v>
      </c>
      <c r="D7" s="422" t="s">
        <v>379</v>
      </c>
      <c r="E7" s="422"/>
      <c r="F7" s="422"/>
      <c r="G7" s="422"/>
      <c r="H7" s="422"/>
      <c r="I7" s="422"/>
      <c r="J7" s="422"/>
      <c r="K7" s="91"/>
      <c r="L7" s="91"/>
      <c r="M7" s="91"/>
      <c r="N7" s="91"/>
      <c r="O7" s="91"/>
      <c r="P7" s="91"/>
      <c r="Q7" s="91"/>
      <c r="R7" s="91"/>
    </row>
    <row r="8" spans="1:18">
      <c r="A8" s="427" t="s">
        <v>864</v>
      </c>
      <c r="B8" s="348">
        <f>B7+30</f>
        <v>23.979400086720375</v>
      </c>
      <c r="C8" s="91" t="s">
        <v>859</v>
      </c>
      <c r="D8" s="422" t="s">
        <v>380</v>
      </c>
      <c r="E8" s="422"/>
      <c r="F8" s="422"/>
      <c r="G8" s="422"/>
      <c r="H8" s="422"/>
      <c r="I8" s="422"/>
      <c r="J8" s="422"/>
      <c r="K8" s="91"/>
      <c r="L8" s="91"/>
      <c r="M8" s="91"/>
      <c r="N8" s="91"/>
      <c r="O8" s="91"/>
      <c r="P8" s="91"/>
      <c r="Q8" s="91"/>
      <c r="R8" s="91"/>
    </row>
    <row r="9" spans="1:18">
      <c r="A9" s="91" t="s">
        <v>280</v>
      </c>
      <c r="B9" s="431">
        <f>Transmitters!I85</f>
        <v>0.71755999999999998</v>
      </c>
      <c r="C9" s="91" t="s">
        <v>833</v>
      </c>
      <c r="D9" s="422" t="s">
        <v>389</v>
      </c>
      <c r="E9" s="422"/>
      <c r="F9" s="422"/>
      <c r="G9" s="422"/>
      <c r="H9" s="422"/>
      <c r="I9" s="422"/>
      <c r="J9" s="422"/>
      <c r="K9" s="91"/>
      <c r="L9" s="91"/>
      <c r="M9" s="91"/>
      <c r="N9" s="91"/>
      <c r="O9" s="91"/>
      <c r="P9" s="91"/>
      <c r="Q9" s="91"/>
      <c r="R9" s="91"/>
    </row>
    <row r="10" spans="1:18">
      <c r="A10" s="91" t="s">
        <v>889</v>
      </c>
      <c r="B10" s="430">
        <f>INDEX('Antenna Gain'!H43:H49,'Antenna Gain'!E41,1)</f>
        <v>1</v>
      </c>
      <c r="C10" s="91" t="s">
        <v>36</v>
      </c>
      <c r="D10" s="422" t="s">
        <v>728</v>
      </c>
      <c r="E10" s="422"/>
      <c r="F10" s="422"/>
      <c r="G10" s="422"/>
      <c r="H10" s="422"/>
      <c r="I10" s="422"/>
      <c r="J10" s="422"/>
      <c r="K10" s="91"/>
      <c r="L10" s="91"/>
      <c r="M10" s="91"/>
      <c r="N10" s="91"/>
      <c r="O10" s="91"/>
      <c r="P10" s="91"/>
      <c r="Q10" s="91"/>
      <c r="R10" s="91"/>
    </row>
    <row r="11" spans="1:18">
      <c r="A11" s="91" t="s">
        <v>843</v>
      </c>
      <c r="B11" s="132">
        <f>B7-B9+B10</f>
        <v>-5.7381599132796239</v>
      </c>
      <c r="C11" s="91" t="s">
        <v>858</v>
      </c>
      <c r="D11" s="422" t="s">
        <v>876</v>
      </c>
      <c r="E11" s="422"/>
      <c r="F11" s="422"/>
      <c r="G11" s="422"/>
      <c r="H11" s="422"/>
      <c r="I11" s="422"/>
      <c r="J11" s="422"/>
      <c r="K11" s="91"/>
      <c r="L11" s="91"/>
      <c r="M11" s="91"/>
      <c r="N11" s="91"/>
      <c r="O11" s="91"/>
      <c r="P11" s="91"/>
      <c r="Q11" s="91"/>
      <c r="R11" s="91"/>
    </row>
    <row r="12" spans="1:18" ht="13">
      <c r="A12" s="63" t="s">
        <v>844</v>
      </c>
      <c r="B12" s="64"/>
      <c r="C12" s="23"/>
      <c r="D12" s="23"/>
      <c r="E12" s="23"/>
      <c r="F12" s="23"/>
      <c r="G12" s="23"/>
      <c r="H12" s="23"/>
      <c r="I12" s="23"/>
      <c r="J12" s="23"/>
      <c r="K12" s="23"/>
      <c r="L12" s="23"/>
      <c r="M12" s="23"/>
      <c r="N12" s="23"/>
      <c r="O12" s="23"/>
      <c r="P12" s="23"/>
      <c r="Q12" s="23"/>
      <c r="R12" s="23"/>
    </row>
    <row r="13" spans="1:18">
      <c r="A13" s="91" t="s">
        <v>881</v>
      </c>
      <c r="B13" s="431">
        <f>'Antenna Pointing Losses'!K85</f>
        <v>0</v>
      </c>
      <c r="C13" s="91" t="s">
        <v>833</v>
      </c>
      <c r="D13" s="422" t="s">
        <v>729</v>
      </c>
      <c r="E13" s="422"/>
      <c r="F13" s="422"/>
      <c r="G13" s="422"/>
      <c r="H13" s="422"/>
      <c r="I13" s="422"/>
      <c r="J13" s="422"/>
      <c r="K13" s="91"/>
      <c r="L13" s="91"/>
      <c r="M13" s="91"/>
      <c r="N13" s="91"/>
      <c r="O13" s="91"/>
      <c r="P13" s="91"/>
      <c r="Q13" s="91"/>
      <c r="R13" s="91"/>
    </row>
    <row r="14" spans="1:18">
      <c r="A14" s="91" t="s">
        <v>281</v>
      </c>
      <c r="B14" s="430">
        <f>'Antenna Polarization Loss'!F60</f>
        <v>5.7437907597720189E-2</v>
      </c>
      <c r="C14" s="91" t="s">
        <v>833</v>
      </c>
      <c r="D14" s="422" t="s">
        <v>384</v>
      </c>
      <c r="E14" s="422"/>
      <c r="F14" s="422"/>
      <c r="G14" s="422"/>
      <c r="H14" s="422"/>
      <c r="I14" s="422"/>
      <c r="J14" s="422"/>
      <c r="K14" s="91"/>
      <c r="L14" s="91"/>
      <c r="M14" s="91"/>
      <c r="N14" s="91"/>
      <c r="O14" s="91"/>
      <c r="P14" s="91"/>
      <c r="Q14" s="91"/>
      <c r="R14" s="91"/>
    </row>
    <row r="15" spans="1:18">
      <c r="A15" s="91" t="s">
        <v>832</v>
      </c>
      <c r="B15" s="432">
        <f>Frequency!M18</f>
        <v>148.5169324637277</v>
      </c>
      <c r="C15" s="91" t="s">
        <v>833</v>
      </c>
      <c r="D15" s="422" t="s">
        <v>360</v>
      </c>
      <c r="E15" s="422"/>
      <c r="F15" s="422"/>
      <c r="G15" s="422"/>
      <c r="H15" s="422"/>
      <c r="I15" s="422"/>
      <c r="J15" s="422"/>
      <c r="K15" s="91"/>
      <c r="L15" s="91"/>
      <c r="M15" s="91"/>
      <c r="N15" s="91"/>
      <c r="O15" s="91"/>
      <c r="P15" s="91"/>
      <c r="Q15" s="91"/>
      <c r="R15" s="91"/>
    </row>
    <row r="16" spans="1:18">
      <c r="A16" s="91" t="s">
        <v>887</v>
      </c>
      <c r="B16" s="433">
        <f>'Atmos. &amp; Ionos. Losses'!D23</f>
        <v>1.1000000000000001</v>
      </c>
      <c r="C16" s="91" t="s">
        <v>833</v>
      </c>
      <c r="D16" s="422" t="s">
        <v>282</v>
      </c>
      <c r="E16" s="422"/>
      <c r="F16" s="422"/>
      <c r="G16" s="422"/>
      <c r="H16" s="422"/>
      <c r="I16" s="422"/>
      <c r="J16" s="422"/>
      <c r="K16" s="91"/>
      <c r="L16" s="91"/>
      <c r="M16" s="91"/>
      <c r="N16" s="91"/>
      <c r="O16" s="91"/>
      <c r="P16" s="91"/>
      <c r="Q16" s="91"/>
      <c r="R16" s="91"/>
    </row>
    <row r="17" spans="1:19">
      <c r="A17" s="91" t="s">
        <v>888</v>
      </c>
      <c r="B17" s="431">
        <f>INDEX('Atmos. &amp; Ionos. Losses'!D45:D48,Frequency!L16,1)</f>
        <v>0.4</v>
      </c>
      <c r="C17" s="91" t="s">
        <v>833</v>
      </c>
      <c r="D17" s="422" t="s">
        <v>284</v>
      </c>
      <c r="E17" s="422"/>
      <c r="F17" s="422"/>
      <c r="G17" s="422"/>
      <c r="H17" s="422"/>
      <c r="I17" s="422"/>
      <c r="J17" s="422"/>
      <c r="K17" s="91"/>
      <c r="L17" s="91"/>
      <c r="M17" s="91"/>
      <c r="N17" s="91"/>
      <c r="O17" s="91"/>
      <c r="P17" s="91"/>
      <c r="Q17" s="91"/>
      <c r="R17" s="91"/>
    </row>
    <row r="18" spans="1:19">
      <c r="A18" s="91" t="s">
        <v>882</v>
      </c>
      <c r="B18" s="434">
        <v>0</v>
      </c>
      <c r="C18" s="91" t="s">
        <v>833</v>
      </c>
      <c r="D18" s="422" t="s">
        <v>292</v>
      </c>
      <c r="E18" s="422"/>
      <c r="F18" s="422"/>
      <c r="G18" s="422"/>
      <c r="H18" s="422"/>
      <c r="I18" s="422"/>
      <c r="J18" s="422" t="s">
        <v>791</v>
      </c>
      <c r="K18" s="91"/>
      <c r="L18" s="91"/>
      <c r="M18" s="91"/>
      <c r="N18" s="91"/>
      <c r="O18" s="91"/>
      <c r="P18" s="91"/>
      <c r="Q18" s="91"/>
      <c r="R18" s="91"/>
    </row>
    <row r="19" spans="1:19">
      <c r="A19" s="91" t="s">
        <v>848</v>
      </c>
      <c r="B19" s="418">
        <f>B11-SUM(B13:B18)</f>
        <v>-155.81253028460503</v>
      </c>
      <c r="C19" s="91" t="s">
        <v>858</v>
      </c>
      <c r="D19" s="422" t="s">
        <v>399</v>
      </c>
      <c r="E19" s="422"/>
      <c r="F19" s="422"/>
      <c r="G19" s="422"/>
      <c r="H19" s="422"/>
      <c r="I19" s="422"/>
      <c r="J19" s="422"/>
      <c r="K19" s="91"/>
      <c r="L19" s="91"/>
      <c r="M19" s="91"/>
      <c r="N19" s="91"/>
      <c r="O19" s="91"/>
      <c r="P19" s="91"/>
      <c r="Q19" s="91"/>
      <c r="R19" s="91"/>
    </row>
    <row r="20" spans="1:19" ht="13">
      <c r="A20" s="63" t="s">
        <v>382</v>
      </c>
      <c r="B20" s="23"/>
      <c r="C20" s="23"/>
      <c r="D20" s="23"/>
      <c r="E20" s="23"/>
      <c r="F20" s="23"/>
      <c r="G20" s="23"/>
      <c r="H20" s="23"/>
      <c r="I20" s="23"/>
      <c r="J20" s="36" t="s">
        <v>791</v>
      </c>
      <c r="K20" s="42"/>
      <c r="L20" s="42"/>
      <c r="M20" s="42"/>
      <c r="N20" s="42"/>
      <c r="O20" s="23"/>
      <c r="P20" s="23"/>
      <c r="Q20" s="23"/>
      <c r="R20" s="23"/>
      <c r="S20" s="135"/>
    </row>
    <row r="21" spans="1:19" ht="13" outlineLevel="1">
      <c r="A21" s="63" t="s">
        <v>911</v>
      </c>
      <c r="B21" s="23"/>
      <c r="C21" s="23"/>
      <c r="D21" s="23"/>
      <c r="E21" s="23"/>
      <c r="F21" s="23"/>
      <c r="G21" s="23"/>
      <c r="H21" s="23"/>
      <c r="I21" s="23"/>
      <c r="J21" s="36" t="s">
        <v>791</v>
      </c>
      <c r="K21" s="42"/>
      <c r="L21" s="42"/>
      <c r="M21" s="42"/>
      <c r="N21" s="42"/>
      <c r="O21" s="23"/>
      <c r="P21" s="23"/>
      <c r="Q21" s="23"/>
      <c r="R21" s="23"/>
      <c r="S21" s="135"/>
    </row>
    <row r="22" spans="1:19" outlineLevel="1">
      <c r="A22" s="429" t="s">
        <v>870</v>
      </c>
      <c r="B22" s="431">
        <f>'Antenna Pointing Losses'!K102</f>
        <v>0.31396976431536944</v>
      </c>
      <c r="C22" s="91" t="s">
        <v>833</v>
      </c>
      <c r="D22" s="422" t="s">
        <v>733</v>
      </c>
      <c r="E22" s="422"/>
      <c r="F22" s="422"/>
      <c r="G22" s="422"/>
      <c r="H22" s="422"/>
      <c r="I22" s="422"/>
      <c r="J22" s="422"/>
      <c r="K22" s="432"/>
      <c r="L22" s="91"/>
      <c r="M22" s="91"/>
      <c r="N22" s="91"/>
      <c r="O22" s="91"/>
      <c r="P22" s="91"/>
      <c r="Q22" s="91"/>
      <c r="R22" s="91"/>
    </row>
    <row r="23" spans="1:19" outlineLevel="1">
      <c r="A23" s="91" t="s">
        <v>850</v>
      </c>
      <c r="B23" s="430">
        <f>INDEX('Antenna Gain'!N60:N63,'Antenna Gain'!E58,1)</f>
        <v>15.5</v>
      </c>
      <c r="C23" s="91" t="s">
        <v>36</v>
      </c>
      <c r="D23" s="422" t="s">
        <v>734</v>
      </c>
      <c r="E23" s="422"/>
      <c r="F23" s="422"/>
      <c r="G23" s="422"/>
      <c r="H23" s="422"/>
      <c r="I23" s="422"/>
      <c r="J23" s="422"/>
      <c r="K23" s="432"/>
      <c r="L23" s="91"/>
      <c r="M23" s="91"/>
      <c r="N23" s="91"/>
      <c r="O23" s="91"/>
      <c r="P23" s="91"/>
      <c r="Q23" s="91"/>
      <c r="R23" s="91"/>
    </row>
    <row r="24" spans="1:19" outlineLevel="1">
      <c r="A24" s="91" t="s">
        <v>299</v>
      </c>
      <c r="B24" s="431">
        <f>Receivers!J127</f>
        <v>0.1759</v>
      </c>
      <c r="C24" s="91" t="s">
        <v>833</v>
      </c>
      <c r="D24" s="422" t="s">
        <v>300</v>
      </c>
      <c r="E24" s="422"/>
      <c r="F24" s="422"/>
      <c r="G24" s="422"/>
      <c r="H24" s="422"/>
      <c r="I24" s="422"/>
      <c r="J24" s="422"/>
      <c r="K24" s="91"/>
      <c r="L24" s="91"/>
      <c r="M24" s="91"/>
      <c r="N24" s="91"/>
      <c r="O24" s="91"/>
      <c r="P24" s="91"/>
      <c r="Q24" s="91"/>
      <c r="R24" s="91"/>
    </row>
    <row r="25" spans="1:19" outlineLevel="1">
      <c r="A25" s="91" t="s">
        <v>851</v>
      </c>
      <c r="B25" s="435">
        <f>Receivers!J150</f>
        <v>560.43703405741689</v>
      </c>
      <c r="C25" s="91" t="s">
        <v>861</v>
      </c>
      <c r="D25" s="422" t="s">
        <v>298</v>
      </c>
      <c r="E25" s="422"/>
      <c r="F25" s="422"/>
      <c r="G25" s="422"/>
      <c r="H25" s="422"/>
      <c r="I25" s="422"/>
      <c r="J25" s="422"/>
      <c r="K25" s="435"/>
      <c r="L25" s="91"/>
      <c r="M25" s="91"/>
      <c r="N25" s="91"/>
      <c r="O25" s="91"/>
      <c r="P25" s="91"/>
      <c r="Q25" s="91"/>
      <c r="R25" s="91"/>
    </row>
    <row r="26" spans="1:19" outlineLevel="1">
      <c r="A26" s="91" t="s">
        <v>852</v>
      </c>
      <c r="B26" s="432">
        <f>B23-B24-10*LOG10(B25)</f>
        <v>-12.161168260344303</v>
      </c>
      <c r="C26" s="91" t="s">
        <v>862</v>
      </c>
      <c r="D26" s="422" t="s">
        <v>373</v>
      </c>
      <c r="E26" s="422"/>
      <c r="F26" s="422"/>
      <c r="G26" s="422"/>
      <c r="H26" s="422"/>
      <c r="I26" s="422"/>
      <c r="J26" s="422"/>
      <c r="K26" s="432"/>
      <c r="L26" s="91"/>
      <c r="M26" s="91"/>
      <c r="N26" s="91"/>
      <c r="O26" s="91"/>
      <c r="P26" s="91"/>
      <c r="Q26" s="91"/>
      <c r="R26" s="91"/>
    </row>
    <row r="27" spans="1:19" outlineLevel="1">
      <c r="A27" s="91" t="s">
        <v>853</v>
      </c>
      <c r="B27" s="418">
        <f>B19-B22-F27+B26</f>
        <v>60.312331690735284</v>
      </c>
      <c r="C27" s="91" t="s">
        <v>867</v>
      </c>
      <c r="D27" s="440" t="s">
        <v>865</v>
      </c>
      <c r="E27" s="441"/>
      <c r="F27" s="441">
        <v>-228.6</v>
      </c>
      <c r="G27" s="442" t="s">
        <v>866</v>
      </c>
      <c r="H27" s="192"/>
      <c r="I27" s="422"/>
      <c r="J27" s="422"/>
      <c r="K27" s="302"/>
      <c r="L27" s="91"/>
      <c r="M27" s="91"/>
      <c r="N27" s="91"/>
      <c r="O27" s="91"/>
      <c r="P27" s="91"/>
      <c r="Q27" s="91"/>
      <c r="R27" s="91"/>
    </row>
    <row r="28" spans="1:19" outlineLevel="1">
      <c r="A28" s="91" t="s">
        <v>854</v>
      </c>
      <c r="B28" s="381">
        <v>50000</v>
      </c>
      <c r="C28" s="91" t="s">
        <v>868</v>
      </c>
      <c r="D28" s="422" t="s">
        <v>302</v>
      </c>
      <c r="E28" s="422"/>
      <c r="F28" s="422"/>
      <c r="G28" s="422"/>
      <c r="H28" s="422"/>
      <c r="I28" s="422"/>
      <c r="J28" s="422"/>
      <c r="K28" s="447"/>
      <c r="L28" s="91"/>
      <c r="M28" s="91"/>
      <c r="N28" s="91"/>
      <c r="O28" s="91"/>
      <c r="P28" s="91"/>
      <c r="Q28" s="91"/>
      <c r="R28" s="91"/>
    </row>
    <row r="29" spans="1:19" outlineLevel="1">
      <c r="A29" s="427" t="s">
        <v>869</v>
      </c>
      <c r="B29" s="443">
        <f>10*LOG10(B28)</f>
        <v>46.989700043360187</v>
      </c>
      <c r="C29" s="91" t="s">
        <v>867</v>
      </c>
      <c r="D29" s="422" t="s">
        <v>303</v>
      </c>
      <c r="E29" s="422"/>
      <c r="F29" s="422"/>
      <c r="G29" s="422"/>
      <c r="H29" s="422"/>
      <c r="I29" s="422"/>
      <c r="J29" s="422"/>
      <c r="K29" s="302"/>
      <c r="L29" s="91"/>
      <c r="M29" s="91"/>
      <c r="N29" s="91"/>
      <c r="O29" s="91"/>
      <c r="P29" s="91"/>
      <c r="Q29" s="91"/>
      <c r="R29" s="91"/>
    </row>
    <row r="30" spans="1:19" outlineLevel="1">
      <c r="A30" s="91" t="s">
        <v>301</v>
      </c>
      <c r="B30" s="418">
        <f>B27-B29</f>
        <v>13.322631647375097</v>
      </c>
      <c r="C30" s="91" t="s">
        <v>833</v>
      </c>
      <c r="D30" s="422" t="s">
        <v>791</v>
      </c>
      <c r="E30" s="422"/>
      <c r="F30" s="422"/>
      <c r="G30" s="422"/>
      <c r="H30" s="422"/>
      <c r="I30" s="422"/>
      <c r="J30" s="422"/>
      <c r="K30" s="302"/>
      <c r="L30" s="91"/>
      <c r="M30" s="91"/>
      <c r="N30" s="91"/>
      <c r="O30" s="91"/>
      <c r="P30" s="91"/>
      <c r="Q30" s="91"/>
      <c r="R30" s="91"/>
    </row>
    <row r="31" spans="1:19" outlineLevel="1">
      <c r="A31" s="91"/>
      <c r="B31" s="436"/>
      <c r="C31" s="91"/>
      <c r="D31" s="422"/>
      <c r="E31" s="422"/>
      <c r="F31" s="422"/>
      <c r="G31" s="422"/>
      <c r="H31" s="422"/>
      <c r="I31" s="422"/>
      <c r="J31" s="422"/>
      <c r="K31" s="302"/>
      <c r="L31" s="91"/>
      <c r="M31" s="91"/>
      <c r="N31" s="91"/>
      <c r="O31" s="91"/>
      <c r="P31" s="91"/>
      <c r="Q31" s="91"/>
      <c r="R31" s="91"/>
    </row>
    <row r="32" spans="1:19" outlineLevel="1">
      <c r="A32" s="91" t="s">
        <v>403</v>
      </c>
      <c r="B32" s="450" t="str">
        <f>INDEX('Modulation-Demodulation Method'!C34:C53,'Modulation-Demodulation Method'!E31,1)</f>
        <v>GMSK w/ BT=0.3</v>
      </c>
      <c r="C32" s="428" t="s">
        <v>791</v>
      </c>
      <c r="D32" s="453" t="s">
        <v>405</v>
      </c>
      <c r="E32" s="422"/>
      <c r="F32" s="422"/>
      <c r="G32" s="422"/>
      <c r="H32" s="422"/>
      <c r="I32" s="422"/>
      <c r="J32" s="303"/>
      <c r="K32" s="91"/>
      <c r="L32" s="91"/>
      <c r="M32" s="91"/>
      <c r="N32" s="91"/>
      <c r="O32" s="91"/>
      <c r="P32" s="91"/>
      <c r="Q32" s="91"/>
      <c r="R32" s="91"/>
    </row>
    <row r="33" spans="1:19" outlineLevel="1">
      <c r="A33" s="91" t="s">
        <v>400</v>
      </c>
      <c r="B33" s="452" t="str">
        <f>INDEX('Modulation-Demodulation Method'!D34:D53,'Modulation-Demodulation Method'!E31,1)</f>
        <v>None</v>
      </c>
      <c r="C33" s="451"/>
      <c r="D33" s="426" t="s">
        <v>404</v>
      </c>
      <c r="E33" s="424"/>
      <c r="F33" s="422"/>
      <c r="G33" s="422"/>
      <c r="H33" s="422"/>
      <c r="I33" s="422"/>
      <c r="J33" s="422"/>
      <c r="K33" s="302"/>
      <c r="L33" s="91"/>
      <c r="M33" s="91"/>
      <c r="N33" s="91"/>
      <c r="O33" s="91"/>
      <c r="P33" s="91"/>
      <c r="Q33" s="91"/>
      <c r="R33" s="91"/>
    </row>
    <row r="34" spans="1:19" outlineLevel="1">
      <c r="A34" s="91"/>
      <c r="B34" s="437"/>
      <c r="C34" s="428"/>
      <c r="D34" s="425"/>
      <c r="E34" s="424"/>
      <c r="F34" s="422"/>
      <c r="G34" s="422"/>
      <c r="H34" s="422"/>
      <c r="I34" s="422"/>
      <c r="J34" s="422"/>
      <c r="K34" s="302"/>
      <c r="L34" s="91"/>
      <c r="M34" s="91"/>
      <c r="N34" s="91"/>
      <c r="O34" s="91"/>
      <c r="P34" s="91"/>
      <c r="Q34" s="91"/>
      <c r="R34" s="91"/>
    </row>
    <row r="35" spans="1:19" outlineLevel="1">
      <c r="A35" s="91" t="s">
        <v>305</v>
      </c>
      <c r="B35" s="419">
        <f>INDEX('Modulation-Demodulation Method'!E34:E53,'Modulation-Demodulation Method'!E31,1)</f>
        <v>1.0000000000000001E-5</v>
      </c>
      <c r="C35" s="428"/>
      <c r="D35" s="426" t="s">
        <v>348</v>
      </c>
      <c r="E35" s="424"/>
      <c r="F35" s="422"/>
      <c r="G35" s="422"/>
      <c r="H35" s="422"/>
      <c r="I35" s="422"/>
      <c r="J35" s="422"/>
      <c r="K35" s="302"/>
      <c r="L35" s="91"/>
      <c r="M35" s="91"/>
      <c r="N35" s="91"/>
      <c r="O35" s="91"/>
      <c r="P35" s="91"/>
      <c r="Q35" s="91"/>
      <c r="R35" s="91"/>
    </row>
    <row r="36" spans="1:19" outlineLevel="1">
      <c r="A36" s="91"/>
      <c r="B36" s="437"/>
      <c r="C36" s="428"/>
      <c r="D36" s="425"/>
      <c r="E36" s="424"/>
      <c r="F36" s="422"/>
      <c r="G36" s="422"/>
      <c r="H36" s="422"/>
      <c r="I36" s="422"/>
      <c r="J36" s="422"/>
      <c r="K36" s="302"/>
      <c r="L36" s="91"/>
      <c r="M36" s="91"/>
      <c r="N36" s="91"/>
      <c r="O36" s="91"/>
      <c r="P36" s="91"/>
      <c r="Q36" s="91"/>
      <c r="R36" s="91"/>
    </row>
    <row r="37" spans="1:19" outlineLevel="1">
      <c r="A37" s="91" t="s">
        <v>336</v>
      </c>
      <c r="B37" s="438">
        <f>'Modulation-Demodulation Method'!E55</f>
        <v>0.5</v>
      </c>
      <c r="C37" s="91" t="s">
        <v>833</v>
      </c>
      <c r="D37" s="422" t="s">
        <v>409</v>
      </c>
      <c r="E37" s="422"/>
      <c r="F37" s="422"/>
      <c r="G37" s="422"/>
      <c r="H37" s="422"/>
      <c r="I37" s="422"/>
      <c r="J37" s="422"/>
      <c r="K37" s="91"/>
      <c r="L37" s="91"/>
      <c r="M37" s="91"/>
      <c r="N37" s="91"/>
      <c r="O37" s="91"/>
      <c r="P37" s="91"/>
      <c r="Q37" s="91"/>
      <c r="R37" s="91"/>
    </row>
    <row r="38" spans="1:19" outlineLevel="1">
      <c r="A38" s="91"/>
      <c r="B38" s="439"/>
      <c r="C38" s="91"/>
      <c r="D38" s="422"/>
      <c r="E38" s="422"/>
      <c r="F38" s="422"/>
      <c r="G38" s="422"/>
      <c r="H38" s="422"/>
      <c r="I38" s="422"/>
      <c r="J38" s="422"/>
      <c r="K38" s="91"/>
      <c r="L38" s="91"/>
      <c r="M38" s="91"/>
      <c r="N38" s="91"/>
      <c r="O38" s="91"/>
      <c r="P38" s="91"/>
      <c r="Q38" s="91"/>
      <c r="R38" s="91"/>
    </row>
    <row r="39" spans="1:19" outlineLevel="1">
      <c r="A39" s="91" t="s">
        <v>855</v>
      </c>
      <c r="B39" s="457">
        <f>INDEX('Modulation-Demodulation Method'!F34:F53,'Modulation-Demodulation Method'!E31,1)</f>
        <v>10.4</v>
      </c>
      <c r="C39" s="91" t="s">
        <v>833</v>
      </c>
      <c r="D39" s="422" t="s">
        <v>304</v>
      </c>
      <c r="E39" s="422"/>
      <c r="F39" s="422"/>
      <c r="G39" s="422"/>
      <c r="H39" s="422"/>
      <c r="I39" s="422"/>
      <c r="J39" s="422"/>
      <c r="K39" s="432"/>
      <c r="L39" s="91"/>
      <c r="M39" s="91"/>
      <c r="N39" s="91"/>
      <c r="O39" s="91"/>
      <c r="P39" s="91"/>
      <c r="Q39" s="91"/>
      <c r="R39" s="91"/>
    </row>
    <row r="40" spans="1:19" outlineLevel="1">
      <c r="A40" s="91"/>
      <c r="B40" s="433"/>
      <c r="C40" s="91"/>
      <c r="D40" s="422"/>
      <c r="E40" s="422"/>
      <c r="F40" s="422"/>
      <c r="G40" s="422"/>
      <c r="H40" s="422"/>
      <c r="I40" s="422"/>
      <c r="J40" s="422"/>
      <c r="K40" s="432"/>
      <c r="L40" s="91"/>
      <c r="M40" s="91"/>
      <c r="N40" s="91"/>
      <c r="O40" s="91"/>
      <c r="P40" s="91"/>
      <c r="Q40" s="91"/>
      <c r="R40" s="91"/>
    </row>
    <row r="41" spans="1:19" outlineLevel="1">
      <c r="A41" s="91" t="s">
        <v>337</v>
      </c>
      <c r="B41" s="420">
        <f>'Modulation-Demodulation Method'!H33</f>
        <v>10.9</v>
      </c>
      <c r="C41" s="91" t="s">
        <v>833</v>
      </c>
      <c r="D41" s="422" t="s">
        <v>349</v>
      </c>
      <c r="E41" s="422"/>
      <c r="F41" s="422"/>
      <c r="G41" s="422"/>
      <c r="H41" s="422"/>
      <c r="I41" s="422"/>
      <c r="J41" s="422"/>
      <c r="K41" s="432"/>
      <c r="L41" s="91"/>
      <c r="M41" s="91"/>
      <c r="N41" s="91"/>
      <c r="O41" s="91"/>
      <c r="P41" s="91"/>
      <c r="Q41" s="91"/>
      <c r="R41" s="91"/>
    </row>
    <row r="42" spans="1:19" ht="13" outlineLevel="1" thickBot="1">
      <c r="A42" s="91"/>
      <c r="B42" s="433"/>
      <c r="C42" s="91"/>
      <c r="D42" s="422"/>
      <c r="E42" s="422"/>
      <c r="F42" s="422"/>
      <c r="G42" s="422"/>
      <c r="H42" s="422"/>
      <c r="I42" s="422"/>
      <c r="J42" s="422"/>
      <c r="K42" s="432"/>
      <c r="L42" s="91"/>
      <c r="M42" s="91"/>
      <c r="N42" s="91"/>
      <c r="O42" s="91"/>
      <c r="P42" s="91"/>
      <c r="Q42" s="91"/>
      <c r="R42" s="91"/>
    </row>
    <row r="43" spans="1:19" ht="13.5" outlineLevel="1" thickBot="1">
      <c r="A43" s="120" t="s">
        <v>856</v>
      </c>
      <c r="B43" s="40">
        <f>B30-B41</f>
        <v>2.4226316473750966</v>
      </c>
      <c r="C43" s="91" t="s">
        <v>833</v>
      </c>
      <c r="D43" s="422"/>
      <c r="E43" s="422"/>
      <c r="F43" s="422"/>
      <c r="G43" s="422"/>
      <c r="H43" s="422"/>
      <c r="I43" s="422"/>
      <c r="J43" s="422"/>
      <c r="K43" s="91"/>
      <c r="L43" s="91"/>
      <c r="M43" s="91"/>
      <c r="N43" s="91"/>
      <c r="O43" s="91"/>
      <c r="P43" s="91"/>
      <c r="Q43" s="91"/>
      <c r="R43" s="91"/>
    </row>
    <row r="44" spans="1:19" ht="13" outlineLevel="1">
      <c r="A44" s="91"/>
      <c r="B44" s="91"/>
      <c r="C44" s="91"/>
      <c r="D44" s="422"/>
      <c r="E44" s="422"/>
      <c r="F44" s="422"/>
      <c r="G44" s="422"/>
      <c r="H44" s="422"/>
      <c r="I44" s="422"/>
      <c r="J44" s="422"/>
      <c r="K44" s="448"/>
      <c r="L44" s="91"/>
      <c r="M44" s="91"/>
      <c r="N44" s="91"/>
      <c r="O44" s="91"/>
      <c r="P44" s="91"/>
      <c r="Q44" s="91"/>
      <c r="R44" s="91"/>
    </row>
    <row r="45" spans="1:19" outlineLevel="1">
      <c r="A45" s="98"/>
      <c r="B45" s="98"/>
      <c r="C45" s="98"/>
      <c r="D45" s="141" t="s">
        <v>791</v>
      </c>
      <c r="E45" s="141"/>
      <c r="F45" s="141"/>
      <c r="G45" s="141"/>
      <c r="H45" s="141"/>
      <c r="I45" s="141"/>
      <c r="J45" s="141"/>
      <c r="K45" s="98"/>
      <c r="L45" s="98"/>
      <c r="M45" s="98"/>
      <c r="N45" s="98"/>
      <c r="O45" s="98"/>
      <c r="P45" s="98"/>
      <c r="Q45" s="98"/>
      <c r="R45" s="98"/>
      <c r="S45" s="421"/>
    </row>
    <row r="46" spans="1:19" ht="13">
      <c r="A46" s="446" t="s">
        <v>871</v>
      </c>
      <c r="B46" s="42"/>
      <c r="C46" s="42"/>
      <c r="D46" s="42"/>
      <c r="E46" s="42"/>
      <c r="F46" s="23"/>
      <c r="G46" s="23"/>
      <c r="H46" s="23"/>
      <c r="I46" s="23"/>
      <c r="J46" s="23"/>
      <c r="K46" s="23"/>
      <c r="L46" s="23"/>
      <c r="M46" s="23"/>
      <c r="N46" s="23"/>
      <c r="O46" s="23"/>
      <c r="P46" s="23"/>
      <c r="Q46" s="23"/>
      <c r="R46" s="23"/>
    </row>
    <row r="47" spans="1:19" ht="13" outlineLevel="1">
      <c r="A47" s="36" t="s">
        <v>912</v>
      </c>
      <c r="B47" s="42"/>
      <c r="C47" s="42"/>
      <c r="D47" s="42"/>
      <c r="E47" s="42"/>
      <c r="F47" s="23"/>
      <c r="G47" s="23"/>
      <c r="H47" s="23"/>
      <c r="I47" s="23"/>
      <c r="J47" s="23"/>
      <c r="K47" s="23"/>
      <c r="L47" s="23"/>
      <c r="M47" s="23"/>
      <c r="N47" s="23"/>
      <c r="O47" s="23"/>
      <c r="P47" s="23"/>
      <c r="Q47" s="23"/>
      <c r="R47" s="23"/>
    </row>
    <row r="48" spans="1:19" outlineLevel="1">
      <c r="A48" s="91" t="s">
        <v>870</v>
      </c>
      <c r="B48" s="432">
        <f>'Antenna Pointing Losses'!K102</f>
        <v>0.31396976431536944</v>
      </c>
      <c r="C48" s="91" t="s">
        <v>833</v>
      </c>
      <c r="D48" s="422" t="s">
        <v>733</v>
      </c>
      <c r="E48" s="422"/>
      <c r="F48" s="422"/>
      <c r="G48" s="422"/>
      <c r="H48" s="422"/>
      <c r="I48" s="422"/>
      <c r="J48" s="422"/>
      <c r="K48" s="91"/>
      <c r="L48" s="91"/>
      <c r="M48" s="91"/>
      <c r="N48" s="91"/>
      <c r="O48" s="91"/>
      <c r="P48" s="91"/>
      <c r="Q48" s="91"/>
      <c r="R48" s="91"/>
    </row>
    <row r="49" spans="1:18" outlineLevel="1">
      <c r="A49" s="91" t="s">
        <v>850</v>
      </c>
      <c r="B49" s="432">
        <f>INDEX('Antenna Gain'!N60:N63,'Antenna Gain'!E58,1)</f>
        <v>15.5</v>
      </c>
      <c r="C49" s="91" t="s">
        <v>36</v>
      </c>
      <c r="D49" s="422" t="s">
        <v>734</v>
      </c>
      <c r="E49" s="422"/>
      <c r="F49" s="422"/>
      <c r="G49" s="422"/>
      <c r="H49" s="422"/>
      <c r="I49" s="422"/>
      <c r="J49" s="422"/>
      <c r="K49" s="91"/>
      <c r="L49" s="91"/>
      <c r="M49" s="91"/>
      <c r="N49" s="91"/>
      <c r="O49" s="91"/>
      <c r="P49" s="91"/>
      <c r="Q49" s="91"/>
      <c r="R49" s="91"/>
    </row>
    <row r="50" spans="1:18" outlineLevel="1">
      <c r="A50" s="91" t="s">
        <v>299</v>
      </c>
      <c r="B50" s="432">
        <f>Receivers!J127</f>
        <v>0.1759</v>
      </c>
      <c r="C50" s="91" t="s">
        <v>833</v>
      </c>
      <c r="D50" s="422" t="s">
        <v>300</v>
      </c>
      <c r="E50" s="422"/>
      <c r="F50" s="422"/>
      <c r="G50" s="422"/>
      <c r="H50" s="422"/>
      <c r="I50" s="422"/>
      <c r="J50" s="422"/>
      <c r="K50" s="91"/>
      <c r="L50" s="91"/>
      <c r="M50" s="91"/>
      <c r="N50" s="91"/>
      <c r="O50" s="91"/>
      <c r="P50" s="91"/>
      <c r="Q50" s="91"/>
      <c r="R50" s="91"/>
    </row>
    <row r="51" spans="1:18" outlineLevel="1">
      <c r="A51" s="91" t="s">
        <v>851</v>
      </c>
      <c r="B51" s="435">
        <f>Receivers!J150</f>
        <v>560.43703405741689</v>
      </c>
      <c r="C51" s="91" t="s">
        <v>861</v>
      </c>
      <c r="D51" s="422" t="s">
        <v>298</v>
      </c>
      <c r="E51" s="422"/>
      <c r="F51" s="422"/>
      <c r="G51" s="422"/>
      <c r="H51" s="422"/>
      <c r="I51" s="422"/>
      <c r="J51" s="422"/>
      <c r="K51" s="91"/>
      <c r="L51" s="91"/>
      <c r="M51" s="91"/>
      <c r="N51" s="91"/>
      <c r="O51" s="91"/>
      <c r="P51" s="91"/>
      <c r="Q51" s="91"/>
      <c r="R51" s="91"/>
    </row>
    <row r="52" spans="1:18" outlineLevel="1">
      <c r="A52" s="91" t="s">
        <v>852</v>
      </c>
      <c r="B52" s="432">
        <f>B49-B50-10*LOG10(B51)</f>
        <v>-12.161168260344303</v>
      </c>
      <c r="C52" s="91" t="s">
        <v>862</v>
      </c>
      <c r="D52" s="422" t="s">
        <v>374</v>
      </c>
      <c r="E52" s="422"/>
      <c r="F52" s="422"/>
      <c r="G52" s="422"/>
      <c r="H52" s="422"/>
      <c r="I52" s="422"/>
      <c r="J52" s="422"/>
      <c r="K52" s="91"/>
      <c r="L52" s="91"/>
      <c r="M52" s="91"/>
      <c r="N52" s="91"/>
      <c r="O52" s="91"/>
      <c r="P52" s="91"/>
      <c r="Q52" s="91"/>
      <c r="R52" s="91"/>
    </row>
    <row r="53" spans="1:18" outlineLevel="1">
      <c r="A53" s="91"/>
      <c r="B53" s="432"/>
      <c r="C53" s="91"/>
      <c r="D53" s="422"/>
      <c r="E53" s="422"/>
      <c r="F53" s="422"/>
      <c r="G53" s="422"/>
      <c r="H53" s="422"/>
      <c r="I53" s="422"/>
      <c r="J53" s="422"/>
      <c r="K53" s="91"/>
      <c r="L53" s="91"/>
      <c r="M53" s="91"/>
      <c r="N53" s="91"/>
      <c r="O53" s="91"/>
      <c r="P53" s="91"/>
      <c r="Q53" s="91"/>
      <c r="R53" s="91"/>
    </row>
    <row r="54" spans="1:18" outlineLevel="1">
      <c r="A54" s="91" t="s">
        <v>872</v>
      </c>
      <c r="B54" s="348">
        <f>B19+B49-B48-B50</f>
        <v>-140.80240004892042</v>
      </c>
      <c r="C54" s="91" t="s">
        <v>858</v>
      </c>
      <c r="D54" s="422" t="s">
        <v>375</v>
      </c>
      <c r="E54" s="422"/>
      <c r="F54" s="422"/>
      <c r="G54" s="422"/>
      <c r="H54" s="422"/>
      <c r="I54" s="422"/>
      <c r="J54" s="422"/>
      <c r="K54" s="91"/>
      <c r="L54" s="91"/>
      <c r="M54" s="91"/>
      <c r="N54" s="91"/>
      <c r="O54" s="91"/>
      <c r="P54" s="91"/>
      <c r="Q54" s="91"/>
      <c r="R54" s="91"/>
    </row>
    <row r="55" spans="1:18" outlineLevel="1">
      <c r="A55" s="91"/>
      <c r="B55" s="445"/>
      <c r="C55" s="91"/>
      <c r="D55" s="422"/>
      <c r="E55" s="422"/>
      <c r="F55" s="422"/>
      <c r="G55" s="422"/>
      <c r="H55" s="422"/>
      <c r="I55" s="422"/>
      <c r="J55" s="422"/>
      <c r="K55" s="91"/>
      <c r="L55" s="91"/>
      <c r="M55" s="91"/>
      <c r="N55" s="91"/>
      <c r="O55" s="91"/>
      <c r="P55" s="91"/>
      <c r="Q55" s="91"/>
      <c r="R55" s="91"/>
    </row>
    <row r="56" spans="1:18" ht="13" outlineLevel="1">
      <c r="A56" s="91" t="s">
        <v>376</v>
      </c>
      <c r="B56" s="381">
        <v>50000</v>
      </c>
      <c r="C56" s="91" t="s">
        <v>873</v>
      </c>
      <c r="D56" s="422" t="s">
        <v>350</v>
      </c>
      <c r="E56" s="422"/>
      <c r="F56" s="422"/>
      <c r="G56" s="422"/>
      <c r="H56" s="388" t="s">
        <v>140</v>
      </c>
      <c r="I56" s="422"/>
      <c r="J56" s="422"/>
      <c r="K56" s="91"/>
      <c r="L56" s="91"/>
      <c r="M56" s="91"/>
      <c r="N56" s="91"/>
      <c r="O56" s="91"/>
      <c r="P56" s="91"/>
      <c r="Q56" s="91"/>
      <c r="R56" s="91"/>
    </row>
    <row r="57" spans="1:18" outlineLevel="1">
      <c r="A57" s="91"/>
      <c r="B57" s="444"/>
      <c r="C57" s="91"/>
      <c r="D57" s="422"/>
      <c r="E57" s="422"/>
      <c r="F57" s="422"/>
      <c r="G57" s="422"/>
      <c r="H57" s="422"/>
      <c r="I57" s="422"/>
      <c r="J57" s="422"/>
      <c r="K57" s="91"/>
      <c r="L57" s="91"/>
      <c r="M57" s="91"/>
      <c r="N57" s="91"/>
      <c r="O57" s="91"/>
      <c r="P57" s="91"/>
      <c r="Q57" s="91"/>
      <c r="R57" s="91"/>
    </row>
    <row r="58" spans="1:18" outlineLevel="1">
      <c r="A58" s="91" t="s">
        <v>874</v>
      </c>
      <c r="B58" s="348">
        <f>F27+10*LOG10(B51)+10*LOG10(B56)</f>
        <v>-154.12503169629551</v>
      </c>
      <c r="C58" s="91" t="s">
        <v>858</v>
      </c>
      <c r="D58" s="422" t="s">
        <v>415</v>
      </c>
      <c r="E58" s="422"/>
      <c r="F58" s="422"/>
      <c r="G58" s="422"/>
      <c r="H58" s="422"/>
      <c r="I58" s="422"/>
      <c r="J58" s="422"/>
      <c r="K58" s="91"/>
      <c r="L58" s="91"/>
      <c r="M58" s="91"/>
      <c r="N58" s="91"/>
      <c r="O58" s="91"/>
      <c r="P58" s="91"/>
      <c r="Q58" s="91"/>
      <c r="R58" s="91"/>
    </row>
    <row r="59" spans="1:18" outlineLevel="1">
      <c r="A59" s="91"/>
      <c r="B59" s="445"/>
      <c r="C59" s="91"/>
      <c r="D59" s="422"/>
      <c r="E59" s="422"/>
      <c r="F59" s="422"/>
      <c r="G59" s="422"/>
      <c r="H59" s="422"/>
      <c r="I59" s="422"/>
      <c r="J59" s="422"/>
      <c r="K59" s="91"/>
      <c r="L59" s="91"/>
      <c r="M59" s="91"/>
      <c r="N59" s="91"/>
      <c r="O59" s="91"/>
      <c r="P59" s="91"/>
      <c r="Q59" s="91"/>
      <c r="R59" s="91"/>
    </row>
    <row r="60" spans="1:18" outlineLevel="1">
      <c r="A60" s="91" t="s">
        <v>875</v>
      </c>
      <c r="B60" s="418">
        <f>B54-B58</f>
        <v>13.32263164737509</v>
      </c>
      <c r="C60" s="91" t="s">
        <v>833</v>
      </c>
      <c r="D60" s="422" t="s">
        <v>377</v>
      </c>
      <c r="E60" s="422"/>
      <c r="F60" s="422"/>
      <c r="G60" s="422"/>
      <c r="H60" s="422"/>
      <c r="I60" s="422"/>
      <c r="J60" s="422"/>
      <c r="K60" s="91"/>
      <c r="L60" s="91"/>
      <c r="M60" s="91"/>
      <c r="N60" s="91"/>
      <c r="O60" s="91"/>
      <c r="P60" s="91"/>
      <c r="Q60" s="91"/>
      <c r="R60" s="91"/>
    </row>
    <row r="61" spans="1:18" outlineLevel="1">
      <c r="A61" s="91"/>
      <c r="B61" s="302"/>
      <c r="C61" s="91"/>
      <c r="D61" s="422"/>
      <c r="E61" s="422"/>
      <c r="F61" s="422"/>
      <c r="G61" s="422"/>
      <c r="H61" s="422"/>
      <c r="I61" s="422"/>
      <c r="J61" s="422"/>
      <c r="K61" s="91"/>
      <c r="L61" s="91"/>
      <c r="M61" s="91"/>
      <c r="N61" s="91"/>
      <c r="O61" s="91"/>
      <c r="P61" s="91"/>
      <c r="Q61" s="91"/>
      <c r="R61" s="91"/>
    </row>
    <row r="62" spans="1:18" outlineLevel="1">
      <c r="A62" s="91" t="s">
        <v>351</v>
      </c>
      <c r="B62" s="420">
        <f>'Modulation-Demodulation Method'!H33</f>
        <v>10.9</v>
      </c>
      <c r="C62" s="91" t="s">
        <v>833</v>
      </c>
      <c r="D62" s="422" t="s">
        <v>378</v>
      </c>
      <c r="E62" s="422"/>
      <c r="F62" s="422"/>
      <c r="G62" s="422"/>
      <c r="H62" s="422"/>
      <c r="I62" s="422"/>
      <c r="J62" s="422"/>
      <c r="K62" s="91"/>
      <c r="L62" s="91"/>
      <c r="M62" s="91"/>
      <c r="N62" s="91"/>
      <c r="O62" s="91"/>
      <c r="P62" s="91"/>
      <c r="Q62" s="91"/>
      <c r="R62" s="91"/>
    </row>
    <row r="63" spans="1:18" ht="13" outlineLevel="1" thickBot="1">
      <c r="A63" s="91"/>
      <c r="B63" s="302"/>
      <c r="C63" s="91"/>
      <c r="D63" s="422"/>
      <c r="E63" s="422"/>
      <c r="F63" s="422"/>
      <c r="G63" s="422"/>
      <c r="H63" s="422"/>
      <c r="I63" s="422"/>
      <c r="J63" s="422"/>
      <c r="K63" s="91"/>
      <c r="L63" s="91"/>
      <c r="M63" s="91"/>
      <c r="N63" s="91"/>
      <c r="O63" s="91"/>
      <c r="P63" s="91"/>
      <c r="Q63" s="91"/>
      <c r="R63" s="91"/>
    </row>
    <row r="64" spans="1:18" ht="13.5" outlineLevel="1" thickBot="1">
      <c r="A64" s="91" t="s">
        <v>372</v>
      </c>
      <c r="B64" s="40">
        <f>B60-B62</f>
        <v>2.4226316473750895</v>
      </c>
      <c r="C64" s="91" t="s">
        <v>833</v>
      </c>
      <c r="D64" s="422"/>
      <c r="E64" s="422"/>
      <c r="F64" s="422"/>
      <c r="G64" s="422"/>
      <c r="H64" s="422"/>
      <c r="I64" s="422"/>
      <c r="J64" s="422"/>
      <c r="K64" s="91"/>
      <c r="L64" s="91"/>
      <c r="M64" s="91"/>
      <c r="N64" s="91"/>
      <c r="O64" s="91"/>
      <c r="P64" s="91"/>
      <c r="Q64" s="91"/>
      <c r="R64" s="91"/>
    </row>
    <row r="65" spans="1:18" outlineLevel="1">
      <c r="A65" s="98"/>
      <c r="B65" s="98"/>
      <c r="C65" s="98"/>
      <c r="D65" s="422"/>
      <c r="E65" s="422"/>
      <c r="F65" s="422"/>
      <c r="G65" s="422"/>
      <c r="H65" s="422"/>
      <c r="I65" s="422"/>
      <c r="J65" s="422"/>
      <c r="K65" s="91"/>
      <c r="L65" s="91"/>
      <c r="M65" s="91"/>
      <c r="N65" s="91"/>
      <c r="O65" s="91"/>
      <c r="P65" s="91"/>
      <c r="Q65" s="91"/>
      <c r="R65" s="91"/>
    </row>
    <row r="66" spans="1:18" outlineLevel="1">
      <c r="A66" s="91"/>
      <c r="B66" s="91"/>
      <c r="C66" s="91"/>
      <c r="D66" s="422"/>
      <c r="E66" s="422"/>
      <c r="F66" s="422"/>
      <c r="G66" s="422"/>
      <c r="H66" s="422"/>
      <c r="I66" s="422"/>
      <c r="J66" s="422"/>
      <c r="K66" s="91"/>
      <c r="L66" s="91"/>
      <c r="M66" s="91"/>
      <c r="N66" s="91"/>
      <c r="O66" s="91"/>
      <c r="P66" s="91"/>
      <c r="Q66" s="91"/>
      <c r="R66" s="91"/>
    </row>
    <row r="67" spans="1:18">
      <c r="D67" t="s">
        <v>791</v>
      </c>
    </row>
    <row r="69" spans="1:18">
      <c r="D69" s="421"/>
      <c r="E69" s="421"/>
      <c r="F69" s="421"/>
    </row>
    <row r="78" spans="1:18">
      <c r="G78" s="421"/>
      <c r="H78" s="421"/>
      <c r="I78" s="421"/>
    </row>
    <row r="92" spans="2:2">
      <c r="B92" t="s">
        <v>791</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K118" sqref="K118"/>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419</v>
      </c>
      <c r="B1" s="127"/>
      <c r="C1" s="127"/>
      <c r="D1" s="127"/>
      <c r="E1" s="127"/>
      <c r="F1" s="127"/>
      <c r="G1" s="678" t="str">
        <f>'Title Page'!F3</f>
        <v>OreSat - CS0</v>
      </c>
      <c r="H1" s="127"/>
      <c r="I1" s="385"/>
      <c r="J1" s="385"/>
      <c r="K1" s="385"/>
      <c r="L1" s="683" t="str">
        <f>'Title Page'!F23</f>
        <v>2019 May 5</v>
      </c>
      <c r="M1" s="385"/>
      <c r="N1" s="385"/>
      <c r="O1" s="385"/>
      <c r="P1" s="385"/>
      <c r="Q1" s="385"/>
      <c r="R1" s="385"/>
    </row>
    <row r="2" spans="1:18" ht="13">
      <c r="A2" s="458"/>
      <c r="B2" s="632" t="s">
        <v>671</v>
      </c>
      <c r="C2" s="459"/>
      <c r="D2" s="459"/>
      <c r="E2" s="459"/>
      <c r="F2" s="459"/>
      <c r="G2" s="459" t="s">
        <v>791</v>
      </c>
      <c r="H2" s="460"/>
      <c r="I2" s="494"/>
      <c r="J2" s="632" t="s">
        <v>672</v>
      </c>
      <c r="K2" s="459"/>
      <c r="L2" s="459"/>
      <c r="M2" s="459"/>
      <c r="N2" s="459"/>
      <c r="O2" s="459"/>
      <c r="P2" s="459"/>
      <c r="Q2" s="459"/>
      <c r="R2" s="460"/>
    </row>
    <row r="3" spans="1:18" ht="15" customHeight="1">
      <c r="A3" s="100"/>
      <c r="B3" s="273" t="s">
        <v>454</v>
      </c>
      <c r="C3" s="490"/>
      <c r="D3" s="101"/>
      <c r="E3" s="469" t="s">
        <v>829</v>
      </c>
      <c r="F3" s="485">
        <f>Frequency!M10</f>
        <v>436.5</v>
      </c>
      <c r="G3" s="101"/>
      <c r="H3" s="105"/>
      <c r="I3" s="100"/>
      <c r="J3" s="248" t="s">
        <v>456</v>
      </c>
      <c r="K3" s="249"/>
      <c r="L3" s="101"/>
      <c r="M3" s="469" t="s">
        <v>829</v>
      </c>
      <c r="N3" s="508">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452</v>
      </c>
      <c r="B5" s="423" t="s">
        <v>440</v>
      </c>
      <c r="C5" s="478">
        <f>'Uplink Budget'!B30</f>
        <v>22.28026481548126</v>
      </c>
      <c r="D5" s="101"/>
      <c r="E5" s="468" t="s">
        <v>439</v>
      </c>
      <c r="F5" s="593">
        <f>'Uplink Budget'!B43</f>
        <v>11.38026481548126</v>
      </c>
      <c r="G5" s="594" t="str">
        <f>IF(F5&lt;0,"NO LINK !",IF(F5&lt;6,"MARGINAL LINK",IF(F5&gt;6,"LINK CLOSES")))</f>
        <v>LINK CLOSES</v>
      </c>
      <c r="H5" s="105"/>
      <c r="I5" s="100"/>
      <c r="J5" s="101"/>
      <c r="K5" s="423" t="s">
        <v>455</v>
      </c>
      <c r="L5" s="493">
        <f>'Downlink Budget'!B28</f>
        <v>50000</v>
      </c>
      <c r="M5" s="101"/>
      <c r="N5" s="101"/>
      <c r="O5" s="101"/>
      <c r="P5" s="101"/>
      <c r="Q5" s="101"/>
      <c r="R5" s="105"/>
    </row>
    <row r="6" spans="1:18" ht="13" thickBot="1">
      <c r="A6" s="100"/>
      <c r="B6" s="101"/>
      <c r="C6" s="101"/>
      <c r="D6" s="101"/>
      <c r="E6" s="101"/>
      <c r="F6" s="101"/>
      <c r="G6" s="31" t="s">
        <v>791</v>
      </c>
      <c r="H6" s="105"/>
      <c r="I6" s="100"/>
      <c r="J6" s="101"/>
      <c r="K6" s="101"/>
      <c r="L6" s="101"/>
      <c r="M6" s="101"/>
      <c r="N6" s="466" t="s">
        <v>464</v>
      </c>
      <c r="O6" s="463"/>
      <c r="P6" s="101"/>
      <c r="Q6" s="101"/>
      <c r="R6" s="105"/>
    </row>
    <row r="7" spans="1:18" ht="13.5" thickBot="1">
      <c r="A7" s="100" t="s">
        <v>451</v>
      </c>
      <c r="B7" s="423" t="s">
        <v>441</v>
      </c>
      <c r="C7" s="478">
        <f>'Uplink Budget'!B61</f>
        <v>22.280264815481246</v>
      </c>
      <c r="D7" s="101"/>
      <c r="E7" s="468" t="s">
        <v>439</v>
      </c>
      <c r="F7" s="593">
        <f>'Uplink Budget'!B65</f>
        <v>11.380264815481246</v>
      </c>
      <c r="G7" s="594" t="str">
        <f>IF(F7&lt;0,"NO LINK !",IF(F7&lt;6,"MARGINAL LINK",IF(F7&gt;6,"LINK CLOSES")))</f>
        <v>LINK CLOSES</v>
      </c>
      <c r="H7" s="105"/>
      <c r="I7" s="100"/>
      <c r="J7" s="101"/>
      <c r="K7" s="495"/>
      <c r="L7" s="101"/>
      <c r="M7" s="101"/>
      <c r="N7" s="464" t="str">
        <f>'Downlink Budget'!B32</f>
        <v>GMSK w/ BT=0.3</v>
      </c>
      <c r="O7" s="465"/>
      <c r="P7" s="101"/>
      <c r="Q7" s="101"/>
      <c r="R7" s="105"/>
    </row>
    <row r="8" spans="1:18" ht="13">
      <c r="A8" s="100"/>
      <c r="B8" s="101"/>
      <c r="C8" s="491"/>
      <c r="D8" s="101"/>
      <c r="E8" s="101"/>
      <c r="F8" s="492"/>
      <c r="G8" s="101"/>
      <c r="H8" s="105"/>
      <c r="I8" s="100"/>
      <c r="J8" s="101"/>
      <c r="K8" s="495"/>
      <c r="L8" s="101"/>
      <c r="M8" s="101"/>
      <c r="N8" s="101"/>
      <c r="O8" s="101"/>
      <c r="P8" s="101"/>
      <c r="Q8" s="101"/>
      <c r="R8" s="105"/>
    </row>
    <row r="9" spans="1:18" ht="13">
      <c r="A9" s="751" t="s">
        <v>140</v>
      </c>
      <c r="B9" s="101"/>
      <c r="C9" s="491"/>
      <c r="D9" s="101"/>
      <c r="E9" s="101"/>
      <c r="F9" s="492"/>
      <c r="G9" s="101"/>
      <c r="H9" s="105"/>
      <c r="I9" s="100"/>
      <c r="J9" s="101"/>
      <c r="K9" s="495"/>
      <c r="L9" s="101"/>
      <c r="M9" s="101"/>
      <c r="N9" s="462" t="s">
        <v>490</v>
      </c>
      <c r="O9" s="463"/>
      <c r="P9" s="101"/>
      <c r="Q9" s="101"/>
      <c r="R9" s="105"/>
    </row>
    <row r="10" spans="1:18">
      <c r="A10" s="100"/>
      <c r="B10" s="101"/>
      <c r="C10" s="423" t="s">
        <v>455</v>
      </c>
      <c r="D10" s="493">
        <f>'Uplink Budget'!B28</f>
        <v>100000</v>
      </c>
      <c r="E10" s="101"/>
      <c r="F10" s="101"/>
      <c r="G10" s="101"/>
      <c r="H10" s="105"/>
      <c r="I10" s="100"/>
      <c r="J10" s="101"/>
      <c r="K10" s="101"/>
      <c r="L10" s="101"/>
      <c r="M10" s="101"/>
      <c r="N10" s="464" t="str">
        <f>'Downlink Budget'!B33</f>
        <v>None</v>
      </c>
      <c r="O10" s="465"/>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497" t="s">
        <v>461</v>
      </c>
      <c r="O12" s="502">
        <v>0.4</v>
      </c>
      <c r="P12" s="101"/>
      <c r="Q12" s="101"/>
      <c r="R12" s="105"/>
    </row>
    <row r="13" spans="1:18">
      <c r="A13" s="100"/>
      <c r="B13" s="101"/>
      <c r="C13" s="101"/>
      <c r="D13" s="101" t="s">
        <v>791</v>
      </c>
      <c r="E13" s="101"/>
      <c r="F13" s="462" t="s">
        <v>489</v>
      </c>
      <c r="G13" s="463"/>
      <c r="H13" s="105"/>
      <c r="I13" s="100"/>
      <c r="J13" s="101"/>
      <c r="K13" s="101"/>
      <c r="L13" s="101"/>
      <c r="M13" s="101"/>
      <c r="N13" s="101"/>
      <c r="O13" s="101"/>
      <c r="P13" s="101"/>
      <c r="Q13" s="101"/>
      <c r="R13" s="105"/>
    </row>
    <row r="14" spans="1:18" ht="13">
      <c r="A14" s="100"/>
      <c r="B14" s="101"/>
      <c r="C14" s="101"/>
      <c r="D14" s="101"/>
      <c r="E14" s="101"/>
      <c r="F14" s="464" t="str">
        <f>'Uplink Budget'!B33</f>
        <v>None</v>
      </c>
      <c r="G14" s="465"/>
      <c r="H14" s="105"/>
      <c r="I14" s="100"/>
      <c r="J14" s="101"/>
      <c r="K14" s="101"/>
      <c r="L14" s="101"/>
      <c r="M14" s="101"/>
      <c r="N14" s="193" t="s">
        <v>462</v>
      </c>
      <c r="O14" s="501">
        <f>O18/O12</f>
        <v>0.625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499" t="s">
        <v>463</v>
      </c>
      <c r="O16" s="501">
        <f>O14-O18</f>
        <v>0.375</v>
      </c>
      <c r="P16" s="101"/>
      <c r="Q16" s="101"/>
      <c r="R16" s="105"/>
    </row>
    <row r="17" spans="1:18">
      <c r="A17" s="100"/>
      <c r="B17" s="101"/>
      <c r="C17" s="101"/>
      <c r="D17" s="101"/>
      <c r="E17" s="101"/>
      <c r="F17" s="101"/>
      <c r="G17" s="101"/>
      <c r="H17" s="105"/>
      <c r="I17" s="100"/>
      <c r="J17" s="102" t="s">
        <v>791</v>
      </c>
      <c r="K17" s="101"/>
      <c r="L17" s="101" t="s">
        <v>500</v>
      </c>
      <c r="M17" s="101"/>
      <c r="N17" s="101"/>
      <c r="O17" s="500"/>
      <c r="P17" s="101"/>
      <c r="Q17" s="101"/>
      <c r="R17" s="105"/>
    </row>
    <row r="18" spans="1:18">
      <c r="A18" s="100"/>
      <c r="B18" s="101"/>
      <c r="C18" s="101"/>
      <c r="D18" s="101"/>
      <c r="E18" s="101"/>
      <c r="F18" s="488" t="s">
        <v>453</v>
      </c>
      <c r="G18" s="489">
        <f>'Uplink Budget'!B35</f>
        <v>1.0000000000000001E-5</v>
      </c>
      <c r="H18" s="105"/>
      <c r="I18" s="100"/>
      <c r="J18" s="101"/>
      <c r="K18" s="101"/>
      <c r="L18" s="101"/>
      <c r="M18" s="101"/>
      <c r="N18" s="423" t="s">
        <v>460</v>
      </c>
      <c r="O18" s="498">
        <f>Transmitters!E60</f>
        <v>0.25</v>
      </c>
      <c r="P18" s="101"/>
      <c r="Q18" s="101"/>
      <c r="R18" s="105"/>
    </row>
    <row r="19" spans="1:18">
      <c r="A19" s="100"/>
      <c r="B19" s="101"/>
      <c r="C19" s="101"/>
      <c r="D19" s="101"/>
      <c r="E19" s="101"/>
      <c r="F19" s="462" t="s">
        <v>438</v>
      </c>
      <c r="G19" s="463"/>
      <c r="H19" s="105"/>
      <c r="I19" s="100"/>
      <c r="J19" s="101"/>
      <c r="K19" s="101"/>
      <c r="L19" s="101"/>
      <c r="M19" s="101"/>
      <c r="N19" s="101"/>
      <c r="O19" s="101"/>
      <c r="P19" s="101"/>
      <c r="Q19" s="101"/>
      <c r="R19" s="105"/>
    </row>
    <row r="20" spans="1:18">
      <c r="A20" s="100"/>
      <c r="B20" s="101"/>
      <c r="C20" s="101"/>
      <c r="D20" s="101"/>
      <c r="E20" s="101"/>
      <c r="F20" s="464" t="str">
        <f>'Uplink Budget'!B32</f>
        <v>GMSK w/ BT=0.3</v>
      </c>
      <c r="G20" s="465"/>
      <c r="H20" s="105"/>
      <c r="I20" s="100"/>
      <c r="J20" s="101"/>
      <c r="K20" s="101"/>
      <c r="L20" s="101"/>
      <c r="M20" s="101"/>
      <c r="N20" s="423" t="s">
        <v>431</v>
      </c>
      <c r="O20" s="478">
        <f>Transmitters!E70*Transmitters!I63</f>
        <v>7.5599999999999999E-3</v>
      </c>
      <c r="P20" s="101"/>
      <c r="Q20" s="101"/>
      <c r="R20" s="105"/>
    </row>
    <row r="21" spans="1:18">
      <c r="A21" s="100"/>
      <c r="B21" s="101"/>
      <c r="C21" s="101"/>
      <c r="D21" s="101"/>
      <c r="E21" s="101"/>
      <c r="F21" s="486" t="s">
        <v>337</v>
      </c>
      <c r="G21" s="487">
        <f>'Uplink Budget'!B41</f>
        <v>10.9</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23" t="s">
        <v>465</v>
      </c>
      <c r="O22" s="478">
        <f>Transmitters!I79</f>
        <v>0.18</v>
      </c>
      <c r="P22" s="101"/>
      <c r="Q22" s="101"/>
      <c r="R22" s="105"/>
    </row>
    <row r="23" spans="1:18">
      <c r="A23" s="100"/>
      <c r="B23" s="101"/>
      <c r="C23" s="101"/>
      <c r="D23" s="101"/>
      <c r="E23" s="101"/>
      <c r="F23" s="101"/>
      <c r="G23" s="101"/>
      <c r="H23" s="105"/>
      <c r="I23" s="100"/>
      <c r="J23" s="102" t="s">
        <v>791</v>
      </c>
      <c r="K23" s="101"/>
      <c r="L23" s="101" t="s">
        <v>501</v>
      </c>
      <c r="M23" s="101"/>
      <c r="N23" s="101"/>
      <c r="O23" s="101"/>
      <c r="P23" s="101"/>
      <c r="Q23" s="101"/>
      <c r="R23" s="105"/>
    </row>
    <row r="24" spans="1:18">
      <c r="A24" s="100"/>
      <c r="B24" s="101"/>
      <c r="C24" s="101"/>
      <c r="D24" s="101"/>
      <c r="E24" s="101"/>
      <c r="F24" s="101"/>
      <c r="G24" s="101"/>
      <c r="H24" s="105"/>
      <c r="I24" s="100"/>
      <c r="J24" s="101"/>
      <c r="K24" s="101"/>
      <c r="L24" s="101"/>
      <c r="M24" s="101"/>
      <c r="N24" s="423" t="s">
        <v>466</v>
      </c>
      <c r="O24" s="478">
        <f>Transmitters!I64*Transmitters!E70</f>
        <v>0</v>
      </c>
      <c r="P24" s="101"/>
      <c r="Q24" s="101"/>
      <c r="R24" s="105"/>
    </row>
    <row r="25" spans="1:18">
      <c r="A25" s="100"/>
      <c r="B25" s="101"/>
      <c r="C25" s="101"/>
      <c r="D25" s="101"/>
      <c r="E25" s="101"/>
      <c r="F25" s="423" t="s">
        <v>449</v>
      </c>
      <c r="G25" s="483">
        <f>'Uplink Budget'!B57</f>
        <v>100000</v>
      </c>
      <c r="H25" s="105"/>
      <c r="I25" s="100"/>
      <c r="J25" s="101"/>
      <c r="K25" s="101"/>
      <c r="L25" s="101"/>
      <c r="M25" s="101"/>
      <c r="N25" s="101"/>
      <c r="O25" s="101"/>
      <c r="P25" s="101"/>
      <c r="Q25" s="101"/>
      <c r="R25" s="105"/>
    </row>
    <row r="26" spans="1:18">
      <c r="A26" s="100"/>
      <c r="B26" s="101"/>
      <c r="C26" s="101"/>
      <c r="D26" s="101"/>
      <c r="E26" s="101"/>
      <c r="F26" s="101" t="s">
        <v>450</v>
      </c>
      <c r="G26" s="101"/>
      <c r="H26" s="105"/>
      <c r="I26" s="100"/>
      <c r="J26" s="101"/>
      <c r="K26" s="101"/>
      <c r="L26" s="101"/>
      <c r="M26" s="101"/>
      <c r="N26" s="423" t="s">
        <v>471</v>
      </c>
      <c r="O26" s="478">
        <f>Transmitters!I80</f>
        <v>0.2</v>
      </c>
      <c r="P26" s="101"/>
      <c r="Q26" s="101"/>
      <c r="R26" s="105"/>
    </row>
    <row r="27" spans="1:18">
      <c r="A27" s="100"/>
      <c r="B27" s="101"/>
      <c r="C27" s="101"/>
      <c r="D27" s="101"/>
      <c r="E27" s="101"/>
      <c r="F27" s="101"/>
      <c r="G27" s="101"/>
      <c r="H27" s="105"/>
      <c r="I27" s="100"/>
      <c r="J27" s="101"/>
      <c r="K27" s="101"/>
      <c r="L27" s="101"/>
      <c r="M27" s="101"/>
      <c r="N27" s="509" t="str">
        <f>Transmitters!F80</f>
        <v>Switch</v>
      </c>
      <c r="O27" s="475"/>
      <c r="P27" s="101"/>
      <c r="Q27" s="101"/>
      <c r="R27" s="105"/>
    </row>
    <row r="28" spans="1:18">
      <c r="A28" s="100"/>
      <c r="B28" s="101"/>
      <c r="C28" s="101"/>
      <c r="D28" s="101"/>
      <c r="E28" s="101"/>
      <c r="F28" s="101"/>
      <c r="G28" s="101"/>
      <c r="H28" s="105"/>
      <c r="I28" s="100"/>
      <c r="J28" s="101"/>
      <c r="K28" s="101"/>
      <c r="L28" s="101"/>
      <c r="M28" s="101"/>
      <c r="N28" s="101" t="s">
        <v>791</v>
      </c>
      <c r="O28" s="101"/>
      <c r="P28" s="101"/>
      <c r="Q28" s="101"/>
      <c r="R28" s="105"/>
    </row>
    <row r="29" spans="1:18">
      <c r="A29" s="100"/>
      <c r="B29" s="101"/>
      <c r="C29" s="101"/>
      <c r="D29" s="101"/>
      <c r="E29" s="101"/>
      <c r="F29" s="101"/>
      <c r="G29" s="101"/>
      <c r="H29" s="105"/>
      <c r="I29" s="100"/>
      <c r="J29" s="101"/>
      <c r="K29" s="101"/>
      <c r="L29" s="101"/>
      <c r="M29" s="101"/>
      <c r="N29" s="423" t="s">
        <v>467</v>
      </c>
      <c r="O29" s="478">
        <f>Transmitters!E70*Transmitters!I65</f>
        <v>0</v>
      </c>
      <c r="P29" s="101"/>
      <c r="Q29" s="101"/>
      <c r="R29" s="105"/>
    </row>
    <row r="30" spans="1:18">
      <c r="A30" s="100"/>
      <c r="B30" s="101"/>
      <c r="C30" s="101"/>
      <c r="D30" s="101"/>
      <c r="E30" s="101"/>
      <c r="F30" s="101"/>
      <c r="G30" s="101"/>
      <c r="H30" s="105"/>
      <c r="I30" s="100"/>
      <c r="J30" s="102" t="s">
        <v>791</v>
      </c>
      <c r="K30" s="101"/>
      <c r="L30" s="101" t="s">
        <v>499</v>
      </c>
      <c r="M30" s="101"/>
      <c r="N30" s="101"/>
      <c r="O30" s="101"/>
      <c r="P30" s="101"/>
      <c r="Q30" s="101"/>
      <c r="R30" s="105"/>
    </row>
    <row r="31" spans="1:18">
      <c r="A31" s="100"/>
      <c r="B31" s="101"/>
      <c r="C31" s="101"/>
      <c r="D31" s="101"/>
      <c r="E31" s="101"/>
      <c r="F31" s="101"/>
      <c r="G31" s="101"/>
      <c r="H31" s="105"/>
      <c r="I31" s="100"/>
      <c r="J31" s="101"/>
      <c r="K31" s="101"/>
      <c r="L31" s="101"/>
      <c r="M31" s="101"/>
      <c r="N31" s="423" t="s">
        <v>468</v>
      </c>
      <c r="O31" s="478">
        <f>Transmitters!I85</f>
        <v>0.71755999999999998</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61" t="s">
        <v>952</v>
      </c>
      <c r="N33" s="101"/>
      <c r="O33" s="101"/>
      <c r="P33" s="101"/>
      <c r="Q33" s="101"/>
      <c r="R33" s="105"/>
    </row>
    <row r="34" spans="1:18">
      <c r="A34" s="100"/>
      <c r="B34" s="101"/>
      <c r="C34" s="101"/>
      <c r="D34" s="101"/>
      <c r="E34" s="101"/>
      <c r="F34" s="423" t="s">
        <v>443</v>
      </c>
      <c r="G34" s="482">
        <f>'Uplink Budget'!B26</f>
        <v>-23.354961135598341</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62" t="s">
        <v>469</v>
      </c>
      <c r="O35" s="511">
        <f>'Downlink Budget'!B10</f>
        <v>1</v>
      </c>
      <c r="P35" s="101"/>
      <c r="Q35" s="101"/>
      <c r="R35" s="105"/>
    </row>
    <row r="36" spans="1:18">
      <c r="A36" s="100"/>
      <c r="B36" s="101"/>
      <c r="C36" s="101"/>
      <c r="D36" s="101"/>
      <c r="E36" s="101"/>
      <c r="F36" s="423" t="s">
        <v>442</v>
      </c>
      <c r="G36" s="481">
        <f>'Uplink Budget'!B25</f>
        <v>208.32438747163673</v>
      </c>
      <c r="H36" s="105"/>
      <c r="I36" s="100"/>
      <c r="J36" s="101"/>
      <c r="K36" s="101"/>
      <c r="L36" s="101"/>
      <c r="M36" s="101"/>
      <c r="N36" s="488" t="s">
        <v>60</v>
      </c>
      <c r="O36" s="372"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18" t="str">
        <f>'Antenna Gain'!F41</f>
        <v>Canted Turnstyle</v>
      </c>
      <c r="K38" s="101"/>
      <c r="L38" s="101"/>
      <c r="M38" s="101"/>
      <c r="N38" s="193" t="s">
        <v>470</v>
      </c>
      <c r="O38" s="512">
        <f>'Downlink Budget'!B11</f>
        <v>-5.7381599132796239</v>
      </c>
      <c r="P38" s="101"/>
      <c r="Q38" s="101"/>
      <c r="R38" s="105"/>
    </row>
    <row r="39" spans="1:18">
      <c r="A39" s="100"/>
      <c r="B39" s="101"/>
      <c r="C39" s="101"/>
      <c r="D39" s="101"/>
      <c r="E39" s="101"/>
      <c r="F39" s="423" t="s">
        <v>437</v>
      </c>
      <c r="G39" s="481">
        <f>Receivers!J68</f>
        <v>1498.1255053982986</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03" t="s">
        <v>472</v>
      </c>
      <c r="O40" s="504"/>
      <c r="P40" s="101"/>
      <c r="Q40" s="101"/>
      <c r="R40" s="105"/>
    </row>
    <row r="41" spans="1:18">
      <c r="A41" s="100"/>
      <c r="B41" s="101"/>
      <c r="C41" s="101"/>
      <c r="D41" s="101"/>
      <c r="E41" s="101"/>
      <c r="F41" s="101"/>
      <c r="G41" s="101"/>
      <c r="H41" s="105"/>
      <c r="I41" s="100"/>
      <c r="J41" s="101"/>
      <c r="K41" s="101"/>
      <c r="L41" s="101"/>
      <c r="M41" s="101"/>
      <c r="N41" s="516">
        <f>'Downlink Budget'!B13+'Downlink Budget'!B14+'Downlink Budget'!B15+'Downlink Budget'!B16+'Downlink Budget'!B17+'Downlink Budget'!B18+'Downlink Budget'!B22</f>
        <v>150.38834013564079</v>
      </c>
      <c r="O41" s="517" t="s">
        <v>833</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23" t="s">
        <v>473</v>
      </c>
      <c r="O43" s="478">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23" t="s">
        <v>434</v>
      </c>
      <c r="G45" s="478">
        <f>Receivers!F66</f>
        <v>24</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23" t="s">
        <v>433</v>
      </c>
      <c r="G47" s="481">
        <f>Receivers!J64</f>
        <v>27</v>
      </c>
      <c r="H47" s="105"/>
      <c r="I47" s="100"/>
      <c r="J47" s="101"/>
      <c r="K47" s="101"/>
      <c r="L47" s="101"/>
      <c r="M47" s="101"/>
      <c r="N47" s="423" t="s">
        <v>474</v>
      </c>
      <c r="O47" s="476">
        <f>'Downlink Budget'!B23</f>
        <v>15.5</v>
      </c>
      <c r="P47" s="101"/>
      <c r="Q47" s="101"/>
      <c r="R47" s="105"/>
    </row>
    <row r="48" spans="1:18">
      <c r="A48" s="100"/>
      <c r="B48" s="101"/>
      <c r="C48" s="101"/>
      <c r="D48" s="101"/>
      <c r="E48" s="101"/>
      <c r="F48" s="101"/>
      <c r="G48" s="101"/>
      <c r="H48" s="105"/>
      <c r="I48" s="100"/>
      <c r="J48" s="101"/>
      <c r="K48" s="101"/>
      <c r="L48" s="101"/>
      <c r="M48" s="101"/>
      <c r="N48" s="488" t="s">
        <v>60</v>
      </c>
      <c r="O48" s="372" t="str">
        <f>'Antenna Gain'!K58</f>
        <v>RHCP</v>
      </c>
      <c r="P48" s="101"/>
      <c r="Q48" s="101"/>
      <c r="R48" s="105"/>
    </row>
    <row r="49" spans="1:18">
      <c r="A49" s="100"/>
      <c r="B49" s="101"/>
      <c r="C49" s="101"/>
      <c r="D49" s="101"/>
      <c r="E49" s="101"/>
      <c r="F49" s="423" t="s">
        <v>435</v>
      </c>
      <c r="G49" s="480">
        <f>Receivers!J56</f>
        <v>1.1675600000000002</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61" t="s">
        <v>957</v>
      </c>
      <c r="N50" s="101"/>
      <c r="O50" s="101"/>
      <c r="P50" s="101"/>
      <c r="Q50" s="101"/>
      <c r="R50" s="105"/>
    </row>
    <row r="51" spans="1:18">
      <c r="A51" s="100"/>
      <c r="B51" s="101"/>
      <c r="C51" s="101"/>
      <c r="D51" s="101"/>
      <c r="E51" s="101" t="s">
        <v>420</v>
      </c>
      <c r="F51" s="423" t="s">
        <v>431</v>
      </c>
      <c r="G51" s="479">
        <f>Receivers!J47</f>
        <v>7.5599999999999999E-3</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791</v>
      </c>
      <c r="O52" s="101"/>
      <c r="P52" s="101"/>
      <c r="Q52" s="101"/>
      <c r="R52" s="105"/>
    </row>
    <row r="53" spans="1:18">
      <c r="A53" s="100"/>
      <c r="B53" s="101"/>
      <c r="C53" s="101"/>
      <c r="D53" s="101"/>
      <c r="E53" s="101"/>
      <c r="F53" s="423" t="s">
        <v>445</v>
      </c>
      <c r="G53" s="472">
        <f>Receivers!J50</f>
        <v>0.81</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421</v>
      </c>
      <c r="N54" s="423" t="s">
        <v>475</v>
      </c>
      <c r="O54" s="513">
        <f>Receivers!J121</f>
        <v>0</v>
      </c>
      <c r="P54" s="101"/>
      <c r="Q54" s="101"/>
      <c r="R54" s="105"/>
    </row>
    <row r="55" spans="1:18">
      <c r="A55" s="100"/>
      <c r="B55" s="101"/>
      <c r="C55" s="101"/>
      <c r="D55" s="101"/>
      <c r="E55" s="101" t="s">
        <v>181</v>
      </c>
      <c r="F55" s="423" t="s">
        <v>430</v>
      </c>
      <c r="G55" s="479">
        <f>Receivers!J48</f>
        <v>0</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23" t="s">
        <v>540</v>
      </c>
      <c r="O56" s="478">
        <f>Receivers!J123</f>
        <v>0</v>
      </c>
      <c r="P56" s="101"/>
      <c r="Q56" s="101"/>
      <c r="R56" s="105"/>
    </row>
    <row r="57" spans="1:18">
      <c r="A57" s="100"/>
      <c r="B57" s="101"/>
      <c r="C57" s="101"/>
      <c r="D57" s="101"/>
      <c r="E57" s="101"/>
      <c r="F57" s="101"/>
      <c r="G57" s="101"/>
      <c r="H57" s="105"/>
      <c r="I57" s="100"/>
      <c r="J57" s="101"/>
      <c r="K57" s="101"/>
      <c r="L57" s="101"/>
      <c r="M57" s="101"/>
      <c r="N57" s="474" t="str">
        <f>Receivers!J125</f>
        <v>none</v>
      </c>
      <c r="O57" s="475"/>
      <c r="P57" s="101"/>
      <c r="Q57" s="101"/>
      <c r="R57" s="105"/>
    </row>
    <row r="58" spans="1:18">
      <c r="A58" s="100"/>
      <c r="B58" s="101"/>
      <c r="C58" s="101"/>
      <c r="D58" s="101"/>
      <c r="E58" s="101"/>
      <c r="F58" s="423" t="s">
        <v>541</v>
      </c>
      <c r="G58" s="472">
        <f>Receivers!J51</f>
        <v>0.2</v>
      </c>
      <c r="H58" s="105"/>
      <c r="I58" s="100"/>
      <c r="J58" s="101"/>
      <c r="K58" s="101"/>
      <c r="L58" s="101"/>
      <c r="M58" s="101"/>
      <c r="N58" s="101"/>
      <c r="O58" s="101"/>
      <c r="P58" s="101"/>
      <c r="Q58" s="101"/>
      <c r="R58" s="105"/>
    </row>
    <row r="59" spans="1:18">
      <c r="A59" s="100"/>
      <c r="B59" s="101"/>
      <c r="C59" s="101"/>
      <c r="D59" s="101"/>
      <c r="E59" s="101"/>
      <c r="F59" s="474">
        <f>Receivers!J54</f>
        <v>0</v>
      </c>
      <c r="G59" s="475"/>
      <c r="H59" s="105"/>
      <c r="I59" s="100"/>
      <c r="J59" s="101"/>
      <c r="K59" s="101"/>
      <c r="L59" s="101"/>
      <c r="M59" s="101" t="s">
        <v>181</v>
      </c>
      <c r="N59" s="423" t="s">
        <v>479</v>
      </c>
      <c r="O59" s="479">
        <f>Receivers!J120</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421</v>
      </c>
      <c r="F61" s="423" t="s">
        <v>429</v>
      </c>
      <c r="G61" s="479">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23" t="s">
        <v>481</v>
      </c>
      <c r="O62" s="478">
        <f>Receivers!J122</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61" t="s">
        <v>957</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420</v>
      </c>
      <c r="N65" s="423" t="s">
        <v>480</v>
      </c>
      <c r="O65" s="478">
        <f>Receivers!J119</f>
        <v>7.5899999999999995E-2</v>
      </c>
      <c r="P65" s="101"/>
      <c r="Q65" s="101"/>
      <c r="R65" s="105"/>
    </row>
    <row r="66" spans="1:18">
      <c r="A66" s="100"/>
      <c r="B66" s="101"/>
      <c r="C66" s="101"/>
      <c r="D66" s="101"/>
      <c r="E66" s="101"/>
      <c r="F66" s="423" t="s">
        <v>446</v>
      </c>
      <c r="G66" s="476">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488" t="s">
        <v>458</v>
      </c>
      <c r="G67" s="496" t="str">
        <f>'Antenna Gain'!K11</f>
        <v>RHCP</v>
      </c>
      <c r="H67" s="105"/>
      <c r="I67" s="100"/>
      <c r="J67" s="101"/>
      <c r="K67" s="101"/>
      <c r="L67" s="101"/>
      <c r="M67" s="101"/>
      <c r="N67" s="423" t="s">
        <v>482</v>
      </c>
      <c r="O67" s="478">
        <f>Receivers!J127</f>
        <v>0.1759</v>
      </c>
      <c r="P67" s="101"/>
      <c r="Q67" s="101"/>
      <c r="R67" s="105"/>
    </row>
    <row r="68" spans="1:18">
      <c r="A68" s="100"/>
      <c r="B68" s="101"/>
      <c r="C68" s="101"/>
      <c r="D68" s="101"/>
      <c r="E68" s="101"/>
      <c r="F68" s="101" t="s">
        <v>791</v>
      </c>
      <c r="G68" s="101"/>
      <c r="H68" s="105"/>
      <c r="I68" s="100"/>
      <c r="J68" s="101"/>
      <c r="K68" s="101"/>
      <c r="L68" s="101"/>
      <c r="M68" s="101"/>
      <c r="N68" s="101"/>
      <c r="O68" s="101"/>
      <c r="P68" s="101"/>
      <c r="Q68" s="101"/>
      <c r="R68" s="105"/>
    </row>
    <row r="69" spans="1:18">
      <c r="A69" s="100"/>
      <c r="B69" s="101"/>
      <c r="C69" s="101"/>
      <c r="D69" s="101"/>
      <c r="E69" s="101"/>
      <c r="F69" s="423" t="s">
        <v>427</v>
      </c>
      <c r="G69" s="478">
        <f>'Uplink Budget'!B15</f>
        <v>148.5169324637277</v>
      </c>
      <c r="H69" s="105"/>
      <c r="I69" s="100"/>
      <c r="J69" s="101"/>
      <c r="K69" s="101"/>
      <c r="L69" s="101"/>
      <c r="M69" s="101"/>
      <c r="N69" s="423" t="s">
        <v>484</v>
      </c>
      <c r="O69" s="481">
        <f>Receivers!J135</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66" t="s">
        <v>457</v>
      </c>
      <c r="G71" s="467"/>
      <c r="H71" s="105"/>
      <c r="I71" s="100"/>
      <c r="J71" s="101"/>
      <c r="K71" s="101"/>
      <c r="L71" s="101"/>
      <c r="M71" s="101"/>
      <c r="N71" s="423" t="s">
        <v>483</v>
      </c>
      <c r="O71" s="478">
        <f>Receivers!F137</f>
        <v>18</v>
      </c>
      <c r="P71" s="101"/>
      <c r="Q71" s="101"/>
      <c r="R71" s="105"/>
    </row>
    <row r="72" spans="1:18">
      <c r="A72" s="100"/>
      <c r="B72" s="101"/>
      <c r="C72" s="101"/>
      <c r="D72" s="101"/>
      <c r="E72" s="101"/>
      <c r="F72" s="514">
        <f>'Uplink Budget'!B13+'Uplink Budget'!B14+'Uplink Budget'!B15+'Uplink Budget'!B16+'Uplink Budget'!B17+'Uplink Budget'!B18+'Uplink Budget'!B22</f>
        <v>150.18834013564077</v>
      </c>
      <c r="G72" s="515" t="s">
        <v>833</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447</v>
      </c>
      <c r="G74" s="477">
        <f>'Uplink Budget'!B11</f>
        <v>17.223566086720375</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23" t="s">
        <v>485</v>
      </c>
      <c r="O75" s="481">
        <f>Receivers!J147</f>
        <v>1626.0109992220289</v>
      </c>
      <c r="P75" s="101"/>
      <c r="Q75" s="101"/>
      <c r="R75" s="105"/>
    </row>
    <row r="76" spans="1:18">
      <c r="A76" s="100"/>
      <c r="B76" s="101" t="str">
        <f>'Antenna Gain'!F11</f>
        <v>Crossed Yagi</v>
      </c>
      <c r="C76" s="101"/>
      <c r="D76" s="101"/>
      <c r="E76" s="101"/>
      <c r="F76" s="423" t="s">
        <v>444</v>
      </c>
      <c r="G76" s="476">
        <f>'Uplink Budget'!B10</f>
        <v>15.5</v>
      </c>
      <c r="H76" s="105"/>
      <c r="I76" s="100"/>
      <c r="J76" s="101"/>
      <c r="K76" s="101"/>
      <c r="L76" s="101"/>
      <c r="M76" s="101"/>
      <c r="N76" s="101"/>
      <c r="O76" s="101"/>
      <c r="P76" s="101"/>
      <c r="Q76" s="101"/>
      <c r="R76" s="105"/>
    </row>
    <row r="77" spans="1:18">
      <c r="A77" s="100"/>
      <c r="B77" s="101"/>
      <c r="C77" s="101"/>
      <c r="D77" s="101"/>
      <c r="E77" s="101"/>
      <c r="F77" s="488" t="s">
        <v>459</v>
      </c>
      <c r="G77" s="496" t="str">
        <f>'Antenna Gain'!K11</f>
        <v>RHCP</v>
      </c>
      <c r="H77" s="105"/>
      <c r="I77" s="100"/>
      <c r="J77" s="101"/>
      <c r="K77" s="101"/>
      <c r="L77" s="101"/>
      <c r="M77" s="101"/>
      <c r="N77" s="101"/>
      <c r="O77" s="101"/>
      <c r="P77" s="101"/>
      <c r="Q77" s="101"/>
      <c r="R77" s="105"/>
    </row>
    <row r="78" spans="1:18">
      <c r="A78" s="100"/>
      <c r="B78" s="101"/>
      <c r="C78" s="101"/>
      <c r="D78" s="101"/>
      <c r="E78" s="101"/>
      <c r="F78" s="101" t="s">
        <v>791</v>
      </c>
      <c r="G78" s="101"/>
      <c r="H78" s="105"/>
      <c r="I78" s="100"/>
      <c r="J78" s="101"/>
      <c r="K78" s="101"/>
      <c r="L78" s="101"/>
      <c r="M78" s="101"/>
      <c r="N78" s="101"/>
      <c r="O78" s="101"/>
      <c r="P78" s="101"/>
      <c r="Q78" s="101"/>
      <c r="R78" s="105"/>
    </row>
    <row r="79" spans="1:18" ht="13">
      <c r="A79" s="100"/>
      <c r="B79" s="101"/>
      <c r="C79" s="101"/>
      <c r="D79" s="101"/>
      <c r="E79" s="461" t="s">
        <v>952</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23" t="s">
        <v>436</v>
      </c>
      <c r="G82" s="480">
        <f>Transmitters!I43</f>
        <v>2.2558340000000006</v>
      </c>
      <c r="H82" s="105"/>
      <c r="I82" s="100"/>
      <c r="J82" s="101"/>
      <c r="K82" s="101"/>
      <c r="L82" s="101"/>
      <c r="M82" s="101"/>
      <c r="N82" s="101"/>
      <c r="O82" s="101"/>
      <c r="P82" s="101"/>
      <c r="Q82" s="101"/>
      <c r="R82" s="105"/>
    </row>
    <row r="83" spans="1:18">
      <c r="A83" s="100"/>
      <c r="B83" s="101"/>
      <c r="C83" s="101"/>
      <c r="D83" s="101"/>
      <c r="E83" s="101" t="s">
        <v>791</v>
      </c>
      <c r="F83" s="101" t="s">
        <v>791</v>
      </c>
      <c r="G83" s="101"/>
      <c r="H83" s="105"/>
      <c r="I83" s="100"/>
      <c r="J83" s="101"/>
      <c r="K83" s="101"/>
      <c r="L83" s="101"/>
      <c r="M83" s="101"/>
      <c r="N83" s="101"/>
      <c r="O83" s="101"/>
      <c r="P83" s="101"/>
      <c r="Q83" s="101"/>
      <c r="R83" s="105"/>
    </row>
    <row r="84" spans="1:18">
      <c r="A84" s="100"/>
      <c r="B84" s="101"/>
      <c r="C84" s="101"/>
      <c r="D84" s="101"/>
      <c r="E84" s="101" t="s">
        <v>421</v>
      </c>
      <c r="F84" s="423" t="s">
        <v>425</v>
      </c>
      <c r="G84" s="473">
        <f>Transmitters!E27*Transmitters!I21</f>
        <v>2.4779999999999998</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23" t="s">
        <v>432</v>
      </c>
      <c r="G87" s="476">
        <f>Transmitters!I39</f>
        <v>0.5</v>
      </c>
      <c r="H87" s="105"/>
      <c r="I87" s="100"/>
      <c r="J87" s="101"/>
      <c r="K87" s="101"/>
      <c r="L87" s="101"/>
      <c r="M87" s="101"/>
      <c r="N87" s="101"/>
      <c r="O87" s="101"/>
      <c r="P87" s="101"/>
      <c r="Q87" s="101"/>
      <c r="R87" s="105"/>
    </row>
    <row r="88" spans="1:18">
      <c r="A88" s="100"/>
      <c r="B88" s="101"/>
      <c r="C88" s="101"/>
      <c r="D88" s="101"/>
      <c r="E88" s="101"/>
      <c r="F88" s="510" t="str">
        <f>Transmitters!F39</f>
        <v>LNA (passthrough)</v>
      </c>
      <c r="G88" s="475"/>
      <c r="H88" s="105"/>
      <c r="I88" s="100"/>
      <c r="J88" s="101"/>
      <c r="K88" s="101"/>
      <c r="L88" s="101"/>
      <c r="M88" s="101"/>
      <c r="N88" s="423" t="s">
        <v>486</v>
      </c>
      <c r="O88" s="518">
        <f>'Downlink Budget'!B56</f>
        <v>50000</v>
      </c>
      <c r="P88" s="101"/>
      <c r="Q88" s="101"/>
      <c r="R88" s="105"/>
    </row>
    <row r="89" spans="1:18">
      <c r="A89" s="100"/>
      <c r="B89" s="101"/>
      <c r="C89" s="101"/>
      <c r="D89" s="101"/>
      <c r="E89" s="101"/>
      <c r="F89" s="101"/>
      <c r="G89" s="101"/>
      <c r="H89" s="105"/>
      <c r="I89" s="100"/>
      <c r="J89" s="101"/>
      <c r="K89" s="101"/>
      <c r="L89" s="101"/>
      <c r="M89" s="101"/>
      <c r="N89" s="101" t="s">
        <v>487</v>
      </c>
      <c r="O89" s="101"/>
      <c r="P89" s="101"/>
      <c r="Q89" s="101"/>
      <c r="R89" s="105"/>
    </row>
    <row r="90" spans="1:18">
      <c r="A90" s="100"/>
      <c r="B90" s="101"/>
      <c r="C90" s="101"/>
      <c r="D90" s="101"/>
      <c r="E90" s="101" t="s">
        <v>181</v>
      </c>
      <c r="F90" s="423" t="s">
        <v>424</v>
      </c>
      <c r="G90" s="473">
        <f>Transmitters!E27*Transmitters!I20</f>
        <v>0.183</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23" t="s">
        <v>428</v>
      </c>
      <c r="G93" s="472">
        <f>Transmitters!I37</f>
        <v>0.1</v>
      </c>
      <c r="H93" s="105"/>
      <c r="I93" s="100"/>
      <c r="J93" s="101"/>
      <c r="K93" s="101"/>
      <c r="L93" s="101"/>
      <c r="M93" s="101"/>
      <c r="N93" s="488" t="s">
        <v>453</v>
      </c>
      <c r="O93" s="519">
        <f>'Downlink Budget'!B35</f>
        <v>1.0000000000000001E-5</v>
      </c>
      <c r="P93" s="101"/>
      <c r="Q93" s="101"/>
      <c r="R93" s="105"/>
    </row>
    <row r="94" spans="1:18">
      <c r="A94" s="100"/>
      <c r="B94" s="101"/>
      <c r="C94" s="101"/>
      <c r="D94" s="101"/>
      <c r="E94" s="101"/>
      <c r="F94" s="101"/>
      <c r="G94" s="101"/>
      <c r="H94" s="105"/>
      <c r="I94" s="100"/>
      <c r="J94" s="101"/>
      <c r="K94" s="101"/>
      <c r="L94" s="101"/>
      <c r="M94" s="101"/>
      <c r="N94" s="505" t="s">
        <v>492</v>
      </c>
      <c r="O94" s="506"/>
      <c r="P94" s="101"/>
      <c r="Q94" s="101"/>
      <c r="R94" s="105"/>
    </row>
    <row r="95" spans="1:18">
      <c r="A95" s="100"/>
      <c r="B95" s="101"/>
      <c r="C95" s="101"/>
      <c r="D95" s="101"/>
      <c r="E95" s="101" t="s">
        <v>420</v>
      </c>
      <c r="F95" s="423" t="s">
        <v>423</v>
      </c>
      <c r="G95" s="473">
        <f>Transmitters!E27*Transmitters!I19</f>
        <v>0.09</v>
      </c>
      <c r="H95" s="105"/>
      <c r="I95" s="100"/>
      <c r="J95" s="101"/>
      <c r="K95" s="101"/>
      <c r="L95" s="101"/>
      <c r="M95" s="101"/>
      <c r="N95" s="505" t="str">
        <f>'Downlink Budget'!B32</f>
        <v>GMSK w/ BT=0.3</v>
      </c>
      <c r="O95" s="506"/>
      <c r="P95" s="101"/>
      <c r="Q95" s="101"/>
      <c r="R95" s="105"/>
    </row>
    <row r="96" spans="1:18">
      <c r="A96" s="100"/>
      <c r="B96" s="101"/>
      <c r="C96" s="101"/>
      <c r="D96" s="101"/>
      <c r="E96" s="101"/>
      <c r="F96" s="101" t="s">
        <v>791</v>
      </c>
      <c r="G96" s="101"/>
      <c r="H96" s="105"/>
      <c r="I96" s="100"/>
      <c r="J96" s="101"/>
      <c r="K96" s="101"/>
      <c r="L96" s="101"/>
      <c r="M96" s="101"/>
      <c r="N96" s="507" t="s">
        <v>337</v>
      </c>
      <c r="O96" s="487">
        <f>'Downlink Budget'!B41</f>
        <v>10.9</v>
      </c>
      <c r="P96" s="101"/>
      <c r="Q96" s="101"/>
      <c r="R96" s="105"/>
    </row>
    <row r="97" spans="1:18">
      <c r="A97" s="100"/>
      <c r="B97" s="101"/>
      <c r="C97" s="101"/>
      <c r="D97" s="101"/>
      <c r="E97" s="101"/>
      <c r="F97" s="423" t="s">
        <v>422</v>
      </c>
      <c r="G97" s="471">
        <f>Transmitters!E16</f>
        <v>2.5</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62" t="s">
        <v>488</v>
      </c>
      <c r="O100" s="463"/>
      <c r="P100" s="101"/>
      <c r="Q100" s="101"/>
      <c r="R100" s="105"/>
    </row>
    <row r="101" spans="1:18">
      <c r="A101" s="100"/>
      <c r="B101" s="101"/>
      <c r="C101" s="101"/>
      <c r="D101" s="101"/>
      <c r="E101" s="101"/>
      <c r="F101" s="101"/>
      <c r="G101" s="101"/>
      <c r="H101" s="105"/>
      <c r="I101" s="100"/>
      <c r="J101" s="101"/>
      <c r="K101" s="101"/>
      <c r="L101" s="101"/>
      <c r="M101" s="101"/>
      <c r="N101" s="520" t="str">
        <f>'Downlink Budget'!B33</f>
        <v>None</v>
      </c>
      <c r="O101" s="465"/>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62" t="s">
        <v>448</v>
      </c>
      <c r="G103" s="463"/>
      <c r="H103" s="105"/>
      <c r="I103" s="100"/>
      <c r="J103" s="101"/>
      <c r="K103" s="101"/>
      <c r="L103" s="101"/>
      <c r="M103" s="101"/>
      <c r="N103" s="101"/>
      <c r="O103" s="101"/>
      <c r="P103" s="101"/>
      <c r="Q103" s="101"/>
      <c r="R103" s="105"/>
    </row>
    <row r="104" spans="1:18">
      <c r="A104" s="100"/>
      <c r="B104" s="101"/>
      <c r="C104" s="101"/>
      <c r="D104" s="101"/>
      <c r="E104" s="101"/>
      <c r="F104" s="464" t="str">
        <f>'Uplink Budget'!B32</f>
        <v>GMSK w/ BT=0.3</v>
      </c>
      <c r="G104" s="465"/>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23" t="s">
        <v>455</v>
      </c>
      <c r="L105" s="518">
        <f>'Downlink Budget'!B28</f>
        <v>50000</v>
      </c>
      <c r="M105" s="101"/>
      <c r="N105" s="101"/>
      <c r="O105" s="101" t="s">
        <v>791</v>
      </c>
      <c r="P105" s="101" t="s">
        <v>791</v>
      </c>
      <c r="Q105" s="101"/>
      <c r="R105" s="105"/>
    </row>
    <row r="106" spans="1:18" ht="13" thickBot="1">
      <c r="A106" s="100"/>
      <c r="B106" s="101"/>
      <c r="C106" s="101"/>
      <c r="D106" s="101"/>
      <c r="E106" s="101"/>
      <c r="F106" s="466" t="s">
        <v>491</v>
      </c>
      <c r="G106" s="467"/>
      <c r="H106" s="105"/>
      <c r="I106" s="100"/>
      <c r="J106" s="101"/>
      <c r="K106" s="101"/>
      <c r="L106" s="101"/>
      <c r="M106" s="101"/>
      <c r="N106" s="101"/>
      <c r="O106" s="101"/>
      <c r="P106" s="101"/>
      <c r="Q106" s="101"/>
      <c r="R106" s="105"/>
    </row>
    <row r="107" spans="1:18" ht="13.5" thickBot="1">
      <c r="A107" s="100"/>
      <c r="B107" s="101"/>
      <c r="C107" s="101"/>
      <c r="D107" s="101"/>
      <c r="E107" s="101"/>
      <c r="F107" s="464" t="str">
        <f>'Uplink Budget'!B33</f>
        <v>None</v>
      </c>
      <c r="G107" s="465"/>
      <c r="H107" s="105"/>
      <c r="I107" s="100" t="s">
        <v>493</v>
      </c>
      <c r="J107" s="101"/>
      <c r="K107" s="423" t="s">
        <v>496</v>
      </c>
      <c r="L107" s="478">
        <f>'Downlink Budget'!B30</f>
        <v>13.322631647375097</v>
      </c>
      <c r="M107" s="101"/>
      <c r="N107" s="484" t="s">
        <v>439</v>
      </c>
      <c r="O107" s="593">
        <f>'Downlink Budget'!B43</f>
        <v>2.4226316473750966</v>
      </c>
      <c r="P107" s="594" t="str">
        <f>IF(O107&lt;0,"NO LINK !",IF(O107&lt;6,"MARGINAL LINK",IF(O107&gt;6,"LINK CLOSES")))</f>
        <v>MARGINAL LINK</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23" t="s">
        <v>426</v>
      </c>
      <c r="D109" s="470">
        <f>'Uplink Budget'!B28</f>
        <v>100000</v>
      </c>
      <c r="E109" s="101"/>
      <c r="F109" s="101"/>
      <c r="G109" s="101"/>
      <c r="H109" s="105"/>
      <c r="I109" s="100" t="s">
        <v>495</v>
      </c>
      <c r="J109" s="101"/>
      <c r="K109" s="423" t="s">
        <v>497</v>
      </c>
      <c r="L109" s="478">
        <f>'Downlink Budget'!B60</f>
        <v>13.32263164737509</v>
      </c>
      <c r="M109" s="101"/>
      <c r="N109" s="484" t="s">
        <v>498</v>
      </c>
      <c r="O109" s="593">
        <f>'Downlink Budget'!B64</f>
        <v>2.4226316473750895</v>
      </c>
      <c r="P109" s="594" t="str">
        <f>IF(O109&lt;0,"NO LINK !",IF(O109&lt;6,"MARGINAL LINK",IF(O109&gt;6,"LINK CLOSES")))</f>
        <v>MARGINAL LINK</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989" t="s">
        <v>1038</v>
      </c>
      <c r="G112" s="990"/>
      <c r="H112" s="990"/>
      <c r="I112" s="990"/>
      <c r="J112" s="990"/>
      <c r="K112" s="990"/>
      <c r="L112" s="990"/>
      <c r="M112" s="991"/>
      <c r="N112" s="101"/>
      <c r="O112" s="101"/>
      <c r="P112" s="101"/>
      <c r="Q112" s="101"/>
      <c r="R112" s="105"/>
    </row>
    <row r="113" spans="1:18">
      <c r="A113" s="100"/>
      <c r="B113" s="101"/>
      <c r="C113" s="101"/>
      <c r="D113" s="101"/>
      <c r="E113" s="101"/>
      <c r="F113" s="992"/>
      <c r="G113" s="993"/>
      <c r="H113" s="993"/>
      <c r="I113" s="993"/>
      <c r="J113" s="993"/>
      <c r="K113" s="993"/>
      <c r="L113" s="993"/>
      <c r="M113" s="994"/>
      <c r="N113" s="101"/>
      <c r="O113" s="101"/>
      <c r="P113" s="101"/>
      <c r="Q113" s="101"/>
      <c r="R113" s="105"/>
    </row>
    <row r="114" spans="1:18">
      <c r="A114" s="100"/>
      <c r="B114" s="101"/>
      <c r="C114" s="101"/>
      <c r="D114" s="101"/>
      <c r="E114" s="101"/>
      <c r="F114" s="992"/>
      <c r="G114" s="993"/>
      <c r="H114" s="993"/>
      <c r="I114" s="993"/>
      <c r="J114" s="993"/>
      <c r="K114" s="993"/>
      <c r="L114" s="993"/>
      <c r="M114" s="994"/>
      <c r="N114" s="101"/>
      <c r="O114" s="101" t="s">
        <v>791</v>
      </c>
      <c r="P114" s="101"/>
      <c r="Q114" s="101"/>
      <c r="R114" s="105"/>
    </row>
    <row r="115" spans="1:18" ht="13" thickBot="1">
      <c r="A115" s="111"/>
      <c r="B115" s="112"/>
      <c r="C115" s="112"/>
      <c r="D115" s="112"/>
      <c r="E115" s="112"/>
      <c r="F115" s="995"/>
      <c r="G115" s="996"/>
      <c r="H115" s="996"/>
      <c r="I115" s="996"/>
      <c r="J115" s="996"/>
      <c r="K115" s="996"/>
      <c r="L115" s="996"/>
      <c r="M115" s="997"/>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637</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08" t="s">
        <v>156</v>
      </c>
      <c r="B4" s="4"/>
      <c r="C4" s="3"/>
      <c r="D4" s="3" t="s">
        <v>791</v>
      </c>
      <c r="E4" s="3"/>
      <c r="F4" s="3"/>
      <c r="G4" s="3"/>
      <c r="H4" s="3"/>
      <c r="I4" s="3"/>
      <c r="J4" s="3"/>
      <c r="K4" s="3"/>
      <c r="L4" s="3"/>
      <c r="M4" s="3"/>
      <c r="N4" s="3"/>
      <c r="O4" s="3"/>
      <c r="P4" s="3"/>
      <c r="Q4" s="3"/>
      <c r="R4" s="3"/>
      <c r="S4" s="3"/>
      <c r="T4" s="3"/>
      <c r="U4" s="3"/>
      <c r="V4" s="3"/>
      <c r="W4" s="3"/>
      <c r="X4" s="3"/>
      <c r="Y4" s="3"/>
      <c r="Z4" s="3"/>
      <c r="AA4" s="3"/>
      <c r="AB4" s="3"/>
      <c r="AC4" s="3"/>
    </row>
    <row r="5" spans="1:29" ht="13">
      <c r="A5" s="461"/>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16" t="s">
        <v>673</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06" t="s">
        <v>638</v>
      </c>
      <c r="C8" s="955" t="s">
        <v>1010</v>
      </c>
      <c r="D8" s="610" t="s">
        <v>155</v>
      </c>
      <c r="E8" s="367" t="s">
        <v>791</v>
      </c>
      <c r="F8" s="421"/>
      <c r="G8" s="421"/>
      <c r="H8" s="421"/>
      <c r="I8" s="421"/>
      <c r="J8" s="421"/>
      <c r="K8" s="421"/>
      <c r="L8" s="421"/>
      <c r="M8" s="421"/>
      <c r="N8" s="3"/>
      <c r="O8" s="3"/>
      <c r="P8" s="3"/>
      <c r="Q8" s="3"/>
      <c r="R8" s="3"/>
      <c r="S8" s="3"/>
      <c r="T8" s="3"/>
      <c r="U8" s="3"/>
      <c r="V8" s="3"/>
      <c r="W8" s="3"/>
      <c r="X8" s="3"/>
      <c r="Y8" s="3"/>
      <c r="Z8" s="3"/>
      <c r="AA8" s="3"/>
      <c r="AB8" s="3"/>
      <c r="AC8" s="3"/>
    </row>
    <row r="9" spans="1:29">
      <c r="A9" s="3"/>
      <c r="B9" s="3"/>
      <c r="C9" s="31">
        <v>0</v>
      </c>
      <c r="D9" s="714">
        <f t="shared" ref="D9:D27" si="0">IF(C9&lt;100,5.15+10*LOG10(COS(RADIANS(90-C9))),"No Signal")</f>
        <v>-156.97841279011377</v>
      </c>
      <c r="E9" s="3"/>
      <c r="F9" s="421"/>
      <c r="G9" s="421"/>
      <c r="H9" s="421"/>
      <c r="I9" s="421"/>
      <c r="J9" s="421"/>
      <c r="K9" s="421"/>
      <c r="L9" s="421"/>
      <c r="M9" s="421"/>
      <c r="N9" s="3"/>
      <c r="O9" s="3"/>
      <c r="P9" s="3"/>
      <c r="Q9" s="3"/>
      <c r="R9" s="3"/>
      <c r="S9" s="3"/>
      <c r="T9" s="3"/>
      <c r="U9" s="3"/>
      <c r="V9" s="3"/>
      <c r="W9" s="3"/>
      <c r="X9" s="3"/>
      <c r="Y9" s="3"/>
      <c r="Z9" s="3"/>
      <c r="AA9" s="3"/>
      <c r="AB9" s="3"/>
      <c r="AC9" s="3"/>
    </row>
    <row r="10" spans="1:29">
      <c r="A10" s="3"/>
      <c r="B10" s="3"/>
      <c r="C10" s="31">
        <v>5</v>
      </c>
      <c r="D10" s="714">
        <f t="shared" si="0"/>
        <v>-5.4470399166987971</v>
      </c>
      <c r="E10" s="3"/>
      <c r="F10" s="421"/>
      <c r="G10" s="421"/>
      <c r="H10" s="421"/>
      <c r="I10" s="421"/>
      <c r="J10" s="421"/>
      <c r="K10" s="421"/>
      <c r="L10" s="421"/>
      <c r="M10" s="421"/>
      <c r="N10" s="3"/>
      <c r="O10" s="3"/>
      <c r="P10" s="3"/>
      <c r="Q10" s="3"/>
      <c r="R10" s="3"/>
      <c r="S10" s="3"/>
      <c r="T10" s="3"/>
      <c r="U10" s="3"/>
      <c r="V10" s="3"/>
      <c r="W10" s="3"/>
      <c r="X10" s="3"/>
      <c r="Y10" s="3"/>
      <c r="Z10" s="3"/>
      <c r="AA10" s="3"/>
      <c r="AB10" s="3"/>
      <c r="AC10" s="3"/>
    </row>
    <row r="11" spans="1:29">
      <c r="A11" s="3"/>
      <c r="B11" s="3"/>
      <c r="C11" s="31">
        <v>10</v>
      </c>
      <c r="D11" s="714">
        <f t="shared" si="0"/>
        <v>-2.4532976998839926</v>
      </c>
      <c r="E11" s="3"/>
      <c r="F11" s="421"/>
      <c r="G11" s="421"/>
      <c r="H11" s="421"/>
      <c r="I11" s="421"/>
      <c r="J11" s="421"/>
      <c r="K11" s="421"/>
      <c r="L11" s="421"/>
      <c r="M11" s="421"/>
      <c r="N11" s="3"/>
      <c r="O11" s="3"/>
      <c r="P11" s="3"/>
      <c r="Q11" s="3"/>
      <c r="R11" s="3"/>
      <c r="S11" s="3"/>
      <c r="T11" s="3"/>
      <c r="U11" s="3"/>
      <c r="V11" s="3"/>
      <c r="W11" s="3"/>
      <c r="X11" s="3"/>
      <c r="Y11" s="3"/>
      <c r="Z11" s="3"/>
      <c r="AA11" s="3"/>
      <c r="AB11" s="3"/>
      <c r="AC11" s="3"/>
    </row>
    <row r="12" spans="1:29">
      <c r="A12" s="3"/>
      <c r="B12" s="3"/>
      <c r="C12" s="31">
        <v>15</v>
      </c>
      <c r="D12" s="714">
        <f t="shared" si="0"/>
        <v>-0.72003769430660824</v>
      </c>
      <c r="E12" s="3"/>
      <c r="F12" s="421"/>
      <c r="G12" s="421"/>
      <c r="H12" s="421"/>
      <c r="I12" s="421"/>
      <c r="J12" s="421"/>
      <c r="K12" s="421"/>
      <c r="L12" s="421"/>
      <c r="M12" s="421"/>
      <c r="N12" s="3"/>
      <c r="O12" s="3"/>
      <c r="P12" s="3"/>
      <c r="Q12" s="3"/>
      <c r="R12" s="3"/>
      <c r="S12" s="3"/>
      <c r="T12" s="3"/>
      <c r="U12" s="3"/>
      <c r="V12" s="3"/>
      <c r="W12" s="3"/>
      <c r="X12" s="3"/>
      <c r="Y12" s="3"/>
      <c r="Z12" s="3"/>
      <c r="AA12" s="3"/>
      <c r="AB12" s="3"/>
      <c r="AC12" s="3"/>
    </row>
    <row r="13" spans="1:29">
      <c r="A13" s="3"/>
      <c r="B13" s="3"/>
      <c r="C13" s="31">
        <v>20</v>
      </c>
      <c r="D13" s="714">
        <f t="shared" si="0"/>
        <v>0.4905168464551739</v>
      </c>
      <c r="E13" s="3"/>
      <c r="F13" s="421"/>
      <c r="G13" s="421"/>
      <c r="H13" s="421"/>
      <c r="I13" s="421"/>
      <c r="J13" s="421"/>
      <c r="K13" s="421"/>
      <c r="L13" s="421"/>
      <c r="M13" s="421"/>
      <c r="N13" s="3"/>
      <c r="O13" s="3"/>
      <c r="P13" s="3"/>
      <c r="Q13" s="3"/>
      <c r="R13" s="3"/>
      <c r="S13" s="3"/>
      <c r="T13" s="3"/>
      <c r="U13" s="3"/>
      <c r="V13" s="3"/>
      <c r="W13" s="3"/>
      <c r="X13" s="3"/>
      <c r="Y13" s="3"/>
      <c r="Z13" s="3"/>
      <c r="AA13" s="3"/>
      <c r="AB13" s="3"/>
      <c r="AC13" s="3"/>
    </row>
    <row r="14" spans="1:29">
      <c r="A14" s="3"/>
      <c r="B14" s="3"/>
      <c r="C14" s="31">
        <v>25</v>
      </c>
      <c r="D14" s="714">
        <f t="shared" si="0"/>
        <v>1.409482594031398</v>
      </c>
      <c r="E14" s="3"/>
      <c r="F14" s="421"/>
      <c r="G14" s="421"/>
      <c r="H14" s="421"/>
      <c r="I14" s="421"/>
      <c r="J14" s="421"/>
      <c r="K14" s="421"/>
      <c r="L14" s="421"/>
      <c r="M14" s="421"/>
      <c r="N14" s="3"/>
      <c r="O14" s="3"/>
      <c r="P14" s="3"/>
      <c r="Q14" s="3"/>
      <c r="R14" s="3"/>
      <c r="S14" s="3"/>
      <c r="T14" s="3"/>
      <c r="U14" s="3"/>
      <c r="V14" s="3"/>
      <c r="W14" s="3"/>
      <c r="X14" s="3"/>
      <c r="Y14" s="3"/>
      <c r="Z14" s="3"/>
      <c r="AA14" s="3"/>
      <c r="AB14" s="3"/>
      <c r="AC14" s="3"/>
    </row>
    <row r="15" spans="1:29">
      <c r="A15" s="3"/>
      <c r="B15" s="3"/>
      <c r="C15" s="31">
        <v>30</v>
      </c>
      <c r="D15" s="714">
        <f t="shared" si="0"/>
        <v>2.1397000433601896</v>
      </c>
      <c r="E15" s="3"/>
      <c r="F15" s="421"/>
      <c r="G15" s="421"/>
      <c r="H15" s="421"/>
      <c r="I15" s="421"/>
      <c r="J15" s="421"/>
      <c r="K15" s="421"/>
      <c r="L15" s="421"/>
      <c r="M15" s="421"/>
      <c r="N15" s="3"/>
      <c r="O15" s="3"/>
      <c r="P15" s="3"/>
      <c r="Q15" s="3"/>
      <c r="R15" s="3"/>
      <c r="S15" s="3"/>
      <c r="T15" s="3"/>
      <c r="U15" s="3"/>
      <c r="V15" s="3"/>
      <c r="W15" s="3"/>
      <c r="X15" s="3"/>
      <c r="Y15" s="3"/>
      <c r="Z15" s="3"/>
      <c r="AA15" s="3"/>
      <c r="AB15" s="3"/>
      <c r="AC15" s="3"/>
    </row>
    <row r="16" spans="1:29">
      <c r="A16" s="3"/>
      <c r="B16" s="3"/>
      <c r="C16" s="31">
        <v>35</v>
      </c>
      <c r="D16" s="714">
        <f t="shared" si="0"/>
        <v>2.7359130135409742</v>
      </c>
      <c r="E16" s="3"/>
      <c r="F16" s="421"/>
      <c r="G16" s="421"/>
      <c r="H16" s="421"/>
      <c r="I16" s="421"/>
      <c r="J16" s="421"/>
      <c r="K16" s="421"/>
      <c r="L16" s="421"/>
      <c r="M16" s="421"/>
      <c r="N16" s="3"/>
      <c r="O16" s="3"/>
      <c r="P16" s="3"/>
      <c r="Q16" s="3"/>
      <c r="R16" s="3"/>
      <c r="S16" s="3"/>
      <c r="T16" s="3"/>
      <c r="U16" s="3"/>
      <c r="V16" s="3"/>
      <c r="W16" s="3"/>
      <c r="X16" s="3"/>
      <c r="Y16" s="3"/>
      <c r="Z16" s="3"/>
      <c r="AA16" s="3"/>
      <c r="AB16" s="3"/>
      <c r="AC16" s="3"/>
    </row>
    <row r="17" spans="1:29">
      <c r="A17" s="3"/>
      <c r="B17" s="3"/>
      <c r="C17" s="31">
        <v>40</v>
      </c>
      <c r="D17" s="714">
        <f t="shared" si="0"/>
        <v>3.2306749675243496</v>
      </c>
      <c r="E17" s="3"/>
      <c r="F17" s="421"/>
      <c r="G17" s="421"/>
      <c r="H17" s="421"/>
      <c r="I17" s="421"/>
      <c r="J17" s="421"/>
      <c r="K17" s="421"/>
      <c r="L17" s="421"/>
      <c r="M17" s="421"/>
      <c r="N17" s="3"/>
      <c r="O17" s="3"/>
      <c r="P17" s="3"/>
      <c r="Q17" s="3"/>
      <c r="R17" s="3"/>
      <c r="S17" s="3"/>
      <c r="T17" s="3"/>
      <c r="U17" s="3"/>
      <c r="V17" s="3"/>
      <c r="W17" s="3"/>
      <c r="X17" s="3"/>
      <c r="Y17" s="3"/>
      <c r="Z17" s="3"/>
      <c r="AA17" s="3"/>
      <c r="AB17" s="3"/>
      <c r="AC17" s="3"/>
    </row>
    <row r="18" spans="1:29">
      <c r="A18" s="3"/>
      <c r="B18" s="3"/>
      <c r="C18" s="31">
        <v>45</v>
      </c>
      <c r="D18" s="714">
        <f t="shared" si="0"/>
        <v>3.6448500216800945</v>
      </c>
      <c r="E18" s="3"/>
      <c r="F18" s="421"/>
      <c r="G18" s="421"/>
      <c r="H18" s="421"/>
      <c r="I18" s="421" t="s">
        <v>644</v>
      </c>
      <c r="J18" s="421"/>
      <c r="K18" s="421"/>
      <c r="L18" s="421"/>
      <c r="M18" s="421"/>
      <c r="N18" s="3"/>
      <c r="O18" s="3"/>
      <c r="P18" s="3"/>
      <c r="Q18" s="3"/>
      <c r="R18" s="3"/>
      <c r="S18" s="3"/>
      <c r="T18" s="3"/>
      <c r="U18" s="3"/>
      <c r="V18" s="3"/>
      <c r="W18" s="3"/>
      <c r="X18" s="3"/>
      <c r="Y18" s="3"/>
      <c r="Z18" s="3"/>
      <c r="AA18" s="3"/>
      <c r="AB18" s="3"/>
      <c r="AC18" s="3"/>
    </row>
    <row r="19" spans="1:29">
      <c r="A19" s="3"/>
      <c r="B19" s="3"/>
      <c r="C19" s="31">
        <v>50</v>
      </c>
      <c r="D19" s="714">
        <f t="shared" si="0"/>
        <v>3.9925396655351948</v>
      </c>
      <c r="E19" s="3"/>
      <c r="F19" s="421"/>
      <c r="G19" s="421"/>
      <c r="H19" s="421"/>
      <c r="I19" s="421"/>
      <c r="J19" s="421" t="s">
        <v>645</v>
      </c>
      <c r="K19" s="421"/>
      <c r="L19" s="421"/>
      <c r="M19" s="421"/>
      <c r="N19" s="3"/>
      <c r="O19" s="3"/>
      <c r="P19" s="3"/>
      <c r="Q19" s="3"/>
      <c r="R19" s="3"/>
      <c r="S19" s="3"/>
      <c r="T19" s="3"/>
      <c r="U19" s="3"/>
      <c r="V19" s="3"/>
      <c r="W19" s="3"/>
      <c r="X19" s="3"/>
      <c r="Y19" s="3"/>
      <c r="Z19" s="3"/>
      <c r="AA19" s="3"/>
      <c r="AB19" s="3"/>
      <c r="AC19" s="3"/>
    </row>
    <row r="20" spans="1:29">
      <c r="A20" s="3"/>
      <c r="B20" s="3"/>
      <c r="C20" s="31">
        <v>55</v>
      </c>
      <c r="D20" s="714">
        <f t="shared" si="0"/>
        <v>4.2836451942485798</v>
      </c>
      <c r="E20" s="3"/>
      <c r="F20" s="421"/>
      <c r="G20" s="421"/>
      <c r="H20" s="421"/>
      <c r="I20" s="421"/>
      <c r="J20" s="421"/>
      <c r="K20" s="421"/>
      <c r="L20" s="421"/>
      <c r="M20" s="421"/>
      <c r="N20" s="3"/>
      <c r="O20" s="3"/>
      <c r="P20" s="3"/>
      <c r="Q20" s="3"/>
      <c r="R20" s="3"/>
      <c r="S20" s="3"/>
      <c r="T20" s="3"/>
      <c r="U20" s="3"/>
      <c r="V20" s="3"/>
      <c r="W20" s="3"/>
      <c r="X20" s="3"/>
      <c r="Y20" s="3"/>
      <c r="Z20" s="3"/>
      <c r="AA20" s="3"/>
      <c r="AB20" s="3"/>
      <c r="AC20" s="3"/>
    </row>
    <row r="21" spans="1:29">
      <c r="A21" s="3"/>
      <c r="B21" s="3"/>
      <c r="C21" s="31">
        <v>60</v>
      </c>
      <c r="D21" s="714">
        <f t="shared" si="0"/>
        <v>4.5253063169585008</v>
      </c>
      <c r="E21" s="3" t="s">
        <v>791</v>
      </c>
      <c r="F21" s="421"/>
      <c r="G21" s="421"/>
      <c r="H21" s="421"/>
      <c r="I21" s="421"/>
      <c r="J21" s="421"/>
      <c r="K21" s="421"/>
      <c r="L21" s="421"/>
      <c r="M21" s="421"/>
      <c r="N21" s="3"/>
      <c r="O21" s="3"/>
      <c r="P21" s="3"/>
      <c r="Q21" s="3"/>
      <c r="R21" s="3"/>
      <c r="S21" s="3"/>
      <c r="T21" s="3"/>
      <c r="U21" s="3"/>
      <c r="V21" s="3"/>
      <c r="W21" s="3"/>
      <c r="X21" s="3"/>
      <c r="Y21" s="3"/>
      <c r="Z21" s="3"/>
      <c r="AA21" s="3"/>
      <c r="AB21" s="3"/>
      <c r="AC21" s="3"/>
    </row>
    <row r="22" spans="1:29">
      <c r="A22" s="3"/>
      <c r="B22" s="3"/>
      <c r="C22" s="31">
        <v>65</v>
      </c>
      <c r="D22" s="714">
        <f t="shared" si="0"/>
        <v>4.7227571148639855</v>
      </c>
      <c r="E22" s="3"/>
      <c r="F22" s="421"/>
      <c r="G22" s="421"/>
      <c r="H22" s="421"/>
      <c r="I22" s="421"/>
      <c r="J22" s="421"/>
      <c r="K22" s="421"/>
      <c r="L22" s="421"/>
      <c r="M22" s="421"/>
      <c r="N22" s="3"/>
      <c r="O22" s="3"/>
      <c r="P22" s="3"/>
      <c r="Q22" s="3"/>
      <c r="R22" s="3"/>
      <c r="S22" s="3"/>
      <c r="T22" s="3"/>
      <c r="U22" s="3"/>
      <c r="V22" s="3"/>
      <c r="W22" s="3"/>
      <c r="X22" s="3"/>
      <c r="Y22" s="3"/>
      <c r="Z22" s="3"/>
      <c r="AA22" s="3"/>
      <c r="AB22" s="3"/>
      <c r="AC22" s="3"/>
    </row>
    <row r="23" spans="1:29">
      <c r="A23" s="3"/>
      <c r="B23" s="3"/>
      <c r="C23" s="31">
        <v>70</v>
      </c>
      <c r="D23" s="714">
        <f t="shared" si="0"/>
        <v>4.8798581644293648</v>
      </c>
      <c r="E23" s="3"/>
      <c r="F23" s="421"/>
      <c r="G23" s="421"/>
      <c r="H23" s="421"/>
      <c r="I23" s="421"/>
      <c r="J23" s="421"/>
      <c r="K23" s="421"/>
      <c r="L23" s="421"/>
      <c r="M23" s="421"/>
      <c r="N23" s="3"/>
      <c r="O23" s="3"/>
      <c r="P23" s="3"/>
      <c r="Q23" s="3"/>
      <c r="R23" s="3"/>
      <c r="S23" s="3"/>
      <c r="T23" s="3"/>
      <c r="U23" s="3"/>
      <c r="V23" s="3"/>
      <c r="W23" s="3"/>
      <c r="X23" s="3"/>
      <c r="Y23" s="3"/>
      <c r="Z23" s="3"/>
      <c r="AA23" s="3"/>
      <c r="AB23" s="3"/>
      <c r="AC23" s="3"/>
    </row>
    <row r="24" spans="1:29">
      <c r="A24" s="3"/>
      <c r="B24" s="3"/>
      <c r="C24" s="31">
        <v>75</v>
      </c>
      <c r="D24" s="714">
        <f t="shared" si="0"/>
        <v>4.9994377810269857</v>
      </c>
      <c r="E24" s="3"/>
      <c r="F24" s="421"/>
      <c r="G24" s="421"/>
      <c r="H24" s="421"/>
      <c r="I24" s="421"/>
      <c r="J24" s="421"/>
      <c r="K24" s="421"/>
      <c r="L24" s="421"/>
      <c r="M24" s="421"/>
      <c r="N24" s="3"/>
      <c r="O24" s="3"/>
      <c r="P24" s="3"/>
      <c r="Q24" s="3"/>
      <c r="R24" s="3"/>
      <c r="S24" s="3"/>
      <c r="T24" s="3"/>
      <c r="U24" s="3"/>
      <c r="V24" s="3"/>
      <c r="W24" s="3"/>
      <c r="X24" s="3"/>
      <c r="Y24" s="3"/>
      <c r="Z24" s="3"/>
      <c r="AA24" s="3"/>
      <c r="AB24" s="3"/>
      <c r="AC24" s="3"/>
    </row>
    <row r="25" spans="1:29">
      <c r="A25" s="3"/>
      <c r="B25" s="3"/>
      <c r="C25" s="31">
        <v>80</v>
      </c>
      <c r="D25" s="714">
        <f t="shared" si="0"/>
        <v>5.0835145896993552</v>
      </c>
      <c r="E25" s="3"/>
      <c r="F25" s="421"/>
      <c r="G25" s="421"/>
      <c r="H25" s="421"/>
      <c r="I25" s="421"/>
      <c r="J25" s="421"/>
      <c r="K25" s="421"/>
      <c r="L25" s="421"/>
      <c r="M25" s="421"/>
      <c r="N25" s="3"/>
      <c r="O25" s="3"/>
      <c r="P25" s="3"/>
      <c r="Q25" s="3"/>
      <c r="R25" s="3"/>
      <c r="S25" s="3"/>
      <c r="T25" s="3"/>
      <c r="U25" s="3"/>
      <c r="V25" s="3"/>
      <c r="W25" s="3"/>
      <c r="X25" s="3"/>
      <c r="Y25" s="3"/>
      <c r="Z25" s="3"/>
      <c r="AA25" s="3"/>
      <c r="AB25" s="3"/>
      <c r="AC25" s="3"/>
    </row>
    <row r="26" spans="1:29">
      <c r="A26" s="3"/>
      <c r="B26" s="3"/>
      <c r="C26" s="31">
        <v>85</v>
      </c>
      <c r="D26" s="714">
        <f t="shared" si="0"/>
        <v>5.1334422601749914</v>
      </c>
      <c r="E26" s="3"/>
      <c r="F26" s="421"/>
      <c r="G26" s="421"/>
      <c r="H26" s="421"/>
      <c r="I26" s="421"/>
      <c r="J26" s="421"/>
      <c r="K26" s="421"/>
      <c r="L26" s="421"/>
      <c r="M26" s="421"/>
      <c r="N26" s="3"/>
      <c r="O26" s="3"/>
      <c r="P26" s="3"/>
      <c r="Q26" s="3"/>
      <c r="R26" s="3"/>
      <c r="S26" s="3"/>
      <c r="T26" s="3"/>
      <c r="U26" s="3"/>
      <c r="V26" s="3"/>
      <c r="W26" s="3"/>
      <c r="X26" s="3"/>
      <c r="Y26" s="3"/>
      <c r="Z26" s="3"/>
      <c r="AA26" s="3"/>
      <c r="AB26" s="3"/>
      <c r="AC26" s="3"/>
    </row>
    <row r="27" spans="1:29">
      <c r="A27" s="3"/>
      <c r="B27" s="3"/>
      <c r="C27" s="31">
        <v>90</v>
      </c>
      <c r="D27" s="714">
        <f t="shared" si="0"/>
        <v>5.15</v>
      </c>
      <c r="E27" s="3"/>
      <c r="F27" s="421"/>
      <c r="G27" s="421"/>
      <c r="H27" s="421"/>
      <c r="I27" s="421"/>
      <c r="J27" s="421"/>
      <c r="K27" s="421"/>
      <c r="L27" s="421"/>
      <c r="M27" s="421"/>
      <c r="N27" s="3"/>
      <c r="O27" s="3"/>
      <c r="P27" s="3"/>
      <c r="Q27" s="3"/>
      <c r="R27" s="3"/>
      <c r="S27" s="3"/>
      <c r="T27" s="3"/>
      <c r="U27" s="3"/>
      <c r="V27" s="3"/>
      <c r="W27" s="3"/>
      <c r="X27" s="3"/>
      <c r="Y27" s="3"/>
      <c r="Z27" s="3"/>
      <c r="AA27" s="3"/>
      <c r="AB27" s="3"/>
      <c r="AC27" s="3"/>
    </row>
    <row r="28" spans="1:29">
      <c r="A28" s="3"/>
      <c r="B28" s="3"/>
      <c r="C28" s="31">
        <v>92.5</v>
      </c>
      <c r="D28" s="714">
        <v>0</v>
      </c>
      <c r="E28" s="3"/>
      <c r="F28" s="421"/>
      <c r="G28" s="421"/>
      <c r="H28" s="421"/>
      <c r="I28" s="421"/>
      <c r="J28" s="421"/>
      <c r="K28" s="421"/>
      <c r="L28" s="421"/>
      <c r="M28" s="421"/>
      <c r="N28" s="3"/>
      <c r="O28" s="3"/>
      <c r="P28" s="3"/>
      <c r="Q28" s="3"/>
      <c r="R28" s="3"/>
      <c r="S28" s="3"/>
      <c r="T28" s="3"/>
      <c r="U28" s="3"/>
      <c r="V28" s="3"/>
      <c r="W28" s="3"/>
      <c r="X28" s="3"/>
      <c r="Y28" s="3"/>
      <c r="Z28" s="3"/>
      <c r="AA28" s="3"/>
      <c r="AB28" s="3"/>
      <c r="AC28" s="3"/>
    </row>
    <row r="29" spans="1:29">
      <c r="A29" s="3"/>
      <c r="B29" s="3"/>
      <c r="C29" s="31">
        <v>95</v>
      </c>
      <c r="D29" s="714">
        <v>-20</v>
      </c>
      <c r="E29" s="3"/>
      <c r="F29" s="421"/>
      <c r="G29" s="421"/>
      <c r="H29" s="421"/>
      <c r="I29" s="421"/>
      <c r="J29" s="421"/>
      <c r="K29" s="421"/>
      <c r="L29" s="421"/>
      <c r="M29" s="421"/>
      <c r="N29" s="3"/>
      <c r="O29" s="3"/>
      <c r="P29" s="3"/>
      <c r="Q29" s="3"/>
      <c r="R29" s="3"/>
      <c r="S29" s="3"/>
      <c r="T29" s="3"/>
      <c r="U29" s="3"/>
      <c r="V29" s="3"/>
      <c r="W29" s="3"/>
      <c r="X29" s="3"/>
      <c r="Y29" s="3"/>
      <c r="Z29" s="3"/>
      <c r="AA29" s="3"/>
      <c r="AB29" s="3"/>
      <c r="AC29" s="3"/>
    </row>
    <row r="30" spans="1:29">
      <c r="A30" s="3"/>
      <c r="B30" s="3"/>
      <c r="C30" s="31">
        <v>97.5</v>
      </c>
      <c r="D30" s="714">
        <v>-60</v>
      </c>
      <c r="E30" s="3"/>
      <c r="F30" s="421"/>
      <c r="G30" s="421"/>
      <c r="H30" s="421"/>
      <c r="I30" s="421"/>
      <c r="J30" s="421"/>
      <c r="K30" s="421"/>
      <c r="L30" s="421"/>
      <c r="M30" s="421"/>
      <c r="N30" s="3"/>
      <c r="O30" s="3"/>
      <c r="P30" s="3"/>
      <c r="Q30" s="3"/>
      <c r="R30" s="3"/>
      <c r="S30" s="3"/>
      <c r="T30" s="3"/>
      <c r="U30" s="3"/>
      <c r="V30" s="3"/>
      <c r="W30" s="3"/>
      <c r="X30" s="3"/>
      <c r="Y30" s="3"/>
      <c r="Z30" s="3"/>
      <c r="AA30" s="3"/>
      <c r="AB30" s="3"/>
      <c r="AC30" s="3"/>
    </row>
    <row r="31" spans="1:29">
      <c r="A31" s="3"/>
      <c r="B31" s="3"/>
      <c r="C31" s="31">
        <v>100</v>
      </c>
      <c r="D31" s="714">
        <v>-160</v>
      </c>
      <c r="E31" s="3"/>
      <c r="F31" s="421"/>
      <c r="G31" s="421"/>
      <c r="H31" s="421"/>
      <c r="I31" s="421"/>
      <c r="J31" s="421"/>
      <c r="K31" s="421"/>
      <c r="L31" s="421"/>
      <c r="M31" s="421"/>
      <c r="N31" s="3"/>
      <c r="O31" s="3"/>
      <c r="P31" s="3"/>
      <c r="Q31" s="3"/>
      <c r="R31" s="3"/>
      <c r="S31" s="3"/>
      <c r="T31" s="3"/>
      <c r="U31" s="3"/>
      <c r="V31" s="3"/>
      <c r="W31" s="3"/>
      <c r="X31" s="3"/>
      <c r="Y31" s="3"/>
      <c r="Z31" s="3"/>
      <c r="AA31" s="3"/>
      <c r="AB31" s="3"/>
      <c r="AC31" s="3"/>
    </row>
    <row r="32" spans="1:29">
      <c r="A32" s="3"/>
      <c r="B32" s="3"/>
      <c r="C32" s="31">
        <v>110</v>
      </c>
      <c r="D32" s="714" t="s">
        <v>255</v>
      </c>
      <c r="E32" s="3"/>
      <c r="F32" s="421"/>
      <c r="G32" s="421"/>
      <c r="H32" s="421"/>
      <c r="I32" s="421"/>
      <c r="J32" s="421"/>
      <c r="K32" s="421"/>
      <c r="L32" s="421"/>
      <c r="M32" s="421"/>
      <c r="N32" s="3"/>
      <c r="O32" s="3"/>
      <c r="P32" s="3"/>
      <c r="Q32" s="3"/>
      <c r="R32" s="3"/>
      <c r="S32" s="3"/>
      <c r="T32" s="3"/>
      <c r="U32" s="3"/>
      <c r="V32" s="3"/>
      <c r="W32" s="3"/>
      <c r="X32" s="3"/>
      <c r="Y32" s="3"/>
      <c r="Z32" s="3"/>
      <c r="AA32" s="3"/>
      <c r="AB32" s="3"/>
      <c r="AC32" s="3"/>
    </row>
    <row r="33" spans="1:29">
      <c r="A33" s="3"/>
      <c r="B33" s="3"/>
      <c r="C33" s="31"/>
      <c r="D33" s="714"/>
      <c r="E33" s="3"/>
      <c r="F33" s="421"/>
      <c r="G33" s="421"/>
      <c r="H33" s="421"/>
      <c r="I33" s="421"/>
      <c r="J33" s="421"/>
      <c r="K33" s="421"/>
      <c r="L33" s="421"/>
      <c r="M33" s="421"/>
      <c r="N33" s="3"/>
      <c r="O33" s="3"/>
      <c r="P33" s="3"/>
      <c r="Q33" s="3"/>
      <c r="R33" s="3"/>
      <c r="S33" s="3"/>
      <c r="T33" s="3"/>
      <c r="U33" s="3"/>
      <c r="V33" s="3"/>
      <c r="W33" s="3"/>
      <c r="X33" s="3"/>
      <c r="Y33" s="3"/>
      <c r="Z33" s="3"/>
      <c r="AA33" s="3"/>
      <c r="AB33" s="3"/>
      <c r="AC33" s="3"/>
    </row>
    <row r="34" spans="1:29">
      <c r="A34" s="3"/>
      <c r="B34" s="3"/>
      <c r="C34" s="31"/>
      <c r="D34" s="714"/>
      <c r="E34" s="3"/>
      <c r="F34" s="421"/>
      <c r="G34" s="421"/>
      <c r="H34" s="421"/>
      <c r="I34" s="421"/>
      <c r="J34" s="421"/>
      <c r="K34" s="421"/>
      <c r="L34" s="421"/>
      <c r="M34" s="421"/>
      <c r="N34" s="3"/>
      <c r="O34" s="3"/>
      <c r="P34" s="3"/>
      <c r="Q34" s="3"/>
      <c r="R34" s="3"/>
      <c r="S34" s="3"/>
      <c r="T34" s="3"/>
      <c r="U34" s="3"/>
      <c r="V34" s="3"/>
      <c r="W34" s="3"/>
      <c r="X34" s="3"/>
      <c r="Y34" s="3"/>
      <c r="Z34" s="3"/>
      <c r="AA34" s="3"/>
      <c r="AB34" s="3"/>
      <c r="AC34" s="3"/>
    </row>
    <row r="35" spans="1:29">
      <c r="A35" s="3"/>
      <c r="B35" s="3"/>
      <c r="C35" s="31"/>
      <c r="D35" s="714"/>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14"/>
      <c r="E36" s="3"/>
      <c r="F36" s="101"/>
      <c r="G36" s="101"/>
      <c r="H36" s="101"/>
      <c r="I36" s="101"/>
      <c r="J36" s="101"/>
      <c r="K36" s="101"/>
      <c r="L36" s="461" t="s">
        <v>256</v>
      </c>
      <c r="M36" s="461"/>
      <c r="N36" s="3"/>
      <c r="O36" s="3"/>
      <c r="P36" s="3"/>
      <c r="Q36" s="3"/>
      <c r="R36" s="3"/>
      <c r="S36" s="3"/>
      <c r="T36" s="3"/>
      <c r="U36" s="3"/>
      <c r="V36" s="3"/>
      <c r="W36" s="3"/>
      <c r="X36" s="3"/>
      <c r="Y36" s="3"/>
      <c r="Z36" s="3"/>
      <c r="AA36" s="3"/>
      <c r="AB36" s="3"/>
      <c r="AC36" s="3"/>
    </row>
    <row r="37" spans="1:29">
      <c r="A37" s="3"/>
      <c r="B37" s="3"/>
      <c r="C37" s="31"/>
      <c r="D37" s="714"/>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14"/>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14"/>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14"/>
      <c r="E40" s="3"/>
      <c r="F40" s="3" t="s">
        <v>61</v>
      </c>
      <c r="G40" s="3"/>
      <c r="H40" s="3">
        <v>38.6</v>
      </c>
      <c r="I40" s="3" t="s">
        <v>800</v>
      </c>
      <c r="J40" s="3" t="s">
        <v>393</v>
      </c>
      <c r="K40" s="3"/>
      <c r="L40" s="3"/>
      <c r="M40" s="101"/>
      <c r="N40" s="3"/>
      <c r="O40" s="3"/>
      <c r="P40" s="3"/>
      <c r="Q40" s="3"/>
      <c r="R40" s="3"/>
      <c r="S40" s="3"/>
      <c r="T40" s="3"/>
      <c r="U40" s="3"/>
      <c r="V40" s="3"/>
      <c r="W40" s="3"/>
      <c r="X40" s="3"/>
      <c r="Y40" s="3"/>
      <c r="Z40" s="3"/>
      <c r="AA40" s="3"/>
      <c r="AB40" s="3"/>
      <c r="AC40" s="3"/>
    </row>
    <row r="41" spans="1:29">
      <c r="A41" s="3"/>
      <c r="B41" s="3"/>
      <c r="C41" s="31"/>
      <c r="D41" s="714"/>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14"/>
      <c r="E42" s="3"/>
      <c r="F42" s="3" t="s">
        <v>391</v>
      </c>
      <c r="G42" s="3"/>
      <c r="H42" s="554">
        <v>0</v>
      </c>
      <c r="I42" s="3" t="s">
        <v>800</v>
      </c>
      <c r="J42" s="3" t="s">
        <v>392</v>
      </c>
      <c r="K42" s="3"/>
      <c r="L42" s="3"/>
      <c r="M42" s="101"/>
      <c r="N42" s="3"/>
      <c r="O42" s="3"/>
      <c r="P42" s="3"/>
      <c r="Q42" s="3"/>
      <c r="R42" s="3"/>
      <c r="S42" s="3"/>
      <c r="T42" s="3"/>
      <c r="U42" s="3"/>
      <c r="V42" s="3"/>
      <c r="W42" s="3"/>
      <c r="X42" s="3"/>
      <c r="Y42" s="3"/>
      <c r="Z42" s="3"/>
      <c r="AA42" s="3"/>
      <c r="AB42" s="3"/>
      <c r="AC42" s="3"/>
    </row>
    <row r="43" spans="1:29">
      <c r="A43" s="3"/>
      <c r="B43" s="3"/>
      <c r="C43" s="31"/>
      <c r="D43" s="714"/>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791</v>
      </c>
      <c r="D44" s="409" t="s">
        <v>791</v>
      </c>
      <c r="E44" s="3"/>
      <c r="F44" s="3" t="s">
        <v>394</v>
      </c>
      <c r="G44" s="3"/>
      <c r="H44" s="3">
        <v>5.15</v>
      </c>
      <c r="I44" s="3" t="s">
        <v>36</v>
      </c>
      <c r="J44" s="3" t="s">
        <v>395</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791</v>
      </c>
      <c r="C46" s="3"/>
      <c r="D46" s="3"/>
      <c r="E46" s="3"/>
      <c r="F46" s="3" t="s">
        <v>396</v>
      </c>
      <c r="G46" s="3"/>
      <c r="H46" s="554">
        <v>0</v>
      </c>
      <c r="I46" s="3" t="s">
        <v>800</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791</v>
      </c>
      <c r="G47" s="3"/>
      <c r="H47" s="554"/>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54"/>
      <c r="I48" s="3"/>
      <c r="J48" s="3"/>
      <c r="K48" s="3"/>
      <c r="L48" s="3"/>
      <c r="M48" s="3"/>
      <c r="N48" s="3"/>
      <c r="O48" s="3"/>
      <c r="P48" s="3"/>
      <c r="Q48" s="3"/>
      <c r="R48" s="3"/>
      <c r="S48" s="3"/>
      <c r="T48" s="3"/>
      <c r="U48" s="3"/>
      <c r="V48" s="3"/>
      <c r="W48" s="3"/>
      <c r="X48" s="3"/>
      <c r="Y48" s="3"/>
      <c r="Z48" s="3"/>
      <c r="AA48" s="3"/>
      <c r="AB48" s="3"/>
      <c r="AC48" s="3"/>
    </row>
    <row r="49" spans="1:29">
      <c r="A49" s="3"/>
      <c r="B49" s="606" t="s">
        <v>639</v>
      </c>
      <c r="C49" s="955" t="s">
        <v>1010</v>
      </c>
      <c r="D49" s="610" t="s">
        <v>155</v>
      </c>
      <c r="E49" s="367"/>
      <c r="F49" t="s">
        <v>791</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791</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791</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791</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791</v>
      </c>
      <c r="F81" s="3"/>
      <c r="G81" s="3"/>
      <c r="H81" s="3"/>
      <c r="I81" s="3"/>
      <c r="J81" s="3"/>
      <c r="K81" s="3"/>
      <c r="L81" s="3"/>
      <c r="M81" s="4" t="s">
        <v>397</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800</v>
      </c>
      <c r="K85" s="3" t="s">
        <v>393</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791</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391</v>
      </c>
      <c r="H87" s="3"/>
      <c r="I87" s="554">
        <v>0</v>
      </c>
      <c r="J87" s="3" t="s">
        <v>800</v>
      </c>
      <c r="K87" s="3" t="s">
        <v>392</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394</v>
      </c>
      <c r="H89" s="3"/>
      <c r="I89" s="3">
        <v>2.15</v>
      </c>
      <c r="J89" s="3" t="s">
        <v>36</v>
      </c>
      <c r="K89" s="3" t="s">
        <v>395</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396</v>
      </c>
      <c r="H91" s="3"/>
      <c r="I91" s="554">
        <v>0</v>
      </c>
      <c r="J91" s="3" t="s">
        <v>800</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791</v>
      </c>
      <c r="C97" s="3"/>
      <c r="D97" s="612" t="s">
        <v>62</v>
      </c>
      <c r="E97" s="613"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06" t="s">
        <v>646</v>
      </c>
      <c r="C98" s="955" t="s">
        <v>1010</v>
      </c>
      <c r="D98" s="611" t="s">
        <v>155</v>
      </c>
      <c r="E98" s="614" t="s">
        <v>155</v>
      </c>
      <c r="F98" s="3"/>
      <c r="G98" s="3"/>
      <c r="H98" s="3"/>
      <c r="I98" s="3"/>
      <c r="J98" s="3"/>
      <c r="K98" s="3"/>
      <c r="L98" s="3"/>
      <c r="M98" s="3"/>
      <c r="N98" s="3"/>
      <c r="O98" s="3"/>
      <c r="U98" s="3"/>
      <c r="V98" s="3"/>
      <c r="W98" s="3"/>
      <c r="X98" s="3"/>
      <c r="Y98" s="3"/>
      <c r="Z98" s="3"/>
      <c r="AA98" s="3"/>
      <c r="AB98" s="3"/>
      <c r="AC98" s="3"/>
    </row>
    <row r="99" spans="1:29" ht="25">
      <c r="A99" s="3"/>
      <c r="B99" s="717" t="s">
        <v>257</v>
      </c>
      <c r="C99" s="79">
        <v>0</v>
      </c>
      <c r="D99" s="33">
        <f>2-0.00075*(C99)^2</f>
        <v>2</v>
      </c>
      <c r="E99" s="33">
        <f>0.5-0.00075*(180-C99)^2</f>
        <v>-23.8</v>
      </c>
      <c r="F99" t="s">
        <v>791</v>
      </c>
      <c r="G99" t="s">
        <v>791</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791</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791</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791</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791</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791</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791</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791</v>
      </c>
      <c r="C174" s="3"/>
      <c r="D174" s="612" t="s">
        <v>62</v>
      </c>
      <c r="E174" s="613"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06" t="s">
        <v>647</v>
      </c>
      <c r="C175" s="449" t="s">
        <v>153</v>
      </c>
      <c r="D175" s="611" t="s">
        <v>155</v>
      </c>
      <c r="E175" s="611" t="s">
        <v>155</v>
      </c>
      <c r="F175" s="926"/>
      <c r="G175" s="421"/>
      <c r="H175" s="421"/>
      <c r="I175" s="421"/>
      <c r="J175" s="421"/>
      <c r="K175" s="421"/>
      <c r="L175" s="421"/>
      <c r="M175" s="101"/>
      <c r="N175" s="101"/>
      <c r="O175" s="3"/>
      <c r="P175" s="3"/>
      <c r="Q175" s="3"/>
      <c r="R175" s="3"/>
      <c r="S175" s="3"/>
      <c r="T175" s="3"/>
      <c r="U175" s="3"/>
      <c r="V175" s="3"/>
      <c r="W175" s="3"/>
      <c r="X175" s="3"/>
      <c r="Y175" s="3"/>
      <c r="Z175" s="3"/>
      <c r="AA175" s="3"/>
      <c r="AB175" s="3"/>
      <c r="AC175" s="3"/>
    </row>
    <row r="176" spans="1:29">
      <c r="A176" s="3"/>
      <c r="B176" s="31"/>
      <c r="C176" s="79">
        <v>0</v>
      </c>
      <c r="D176" s="409">
        <f>4-1.5*((4-10*LOG10(1.256*(1+COS(RADIANS(C176))))))</f>
        <v>4.0002945259773774</v>
      </c>
      <c r="E176" s="79"/>
      <c r="F176" s="926"/>
      <c r="G176" s="421"/>
      <c r="H176" s="421"/>
      <c r="I176" s="421"/>
      <c r="J176" s="421"/>
      <c r="K176" s="421"/>
      <c r="L176" s="421"/>
      <c r="M176" s="101"/>
      <c r="N176" s="101"/>
      <c r="O176" s="3"/>
      <c r="P176" s="3"/>
      <c r="Q176" s="3"/>
      <c r="R176" s="3"/>
      <c r="S176" s="3"/>
      <c r="T176" s="3"/>
      <c r="U176" s="3"/>
      <c r="V176" s="3"/>
      <c r="W176" s="3"/>
      <c r="X176" s="3"/>
      <c r="Y176" s="3"/>
      <c r="Z176" s="3"/>
      <c r="AA176" s="3"/>
      <c r="AB176" s="3"/>
      <c r="AC176" s="3"/>
    </row>
    <row r="177" spans="1:29">
      <c r="A177" s="3"/>
      <c r="B177" s="31"/>
      <c r="C177" s="79">
        <f>C176+5</f>
        <v>5</v>
      </c>
      <c r="D177" s="409">
        <f t="shared" ref="D177:D211" si="11">4-1.5*((4-10*LOG10(1.256*(1+COS(RADIANS(C177))))))</f>
        <v>3.9878880574860744</v>
      </c>
      <c r="E177" s="79"/>
      <c r="F177" s="926"/>
      <c r="G177" s="421"/>
      <c r="H177" s="421"/>
      <c r="I177" s="421"/>
      <c r="J177" s="421"/>
      <c r="K177" s="421"/>
      <c r="L177" s="421"/>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9">
        <f t="shared" si="11"/>
        <v>3.9506213065023497</v>
      </c>
      <c r="E178" s="79"/>
      <c r="F178" s="926"/>
      <c r="G178" s="421"/>
      <c r="H178" s="421"/>
      <c r="I178" s="421"/>
      <c r="J178" s="421"/>
      <c r="K178" s="421"/>
      <c r="L178" s="421"/>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9">
        <f t="shared" si="11"/>
        <v>3.8883515113557801</v>
      </c>
      <c r="E179" s="79"/>
      <c r="F179" s="926"/>
      <c r="G179" s="421"/>
      <c r="H179" s="421"/>
      <c r="I179" s="421"/>
      <c r="J179" s="421"/>
      <c r="K179" s="421"/>
      <c r="L179" s="421"/>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9">
        <f t="shared" si="11"/>
        <v>3.8008382950754434</v>
      </c>
      <c r="E180" s="79"/>
      <c r="F180" s="926"/>
      <c r="G180" s="421"/>
      <c r="H180" s="421"/>
      <c r="I180" s="421"/>
      <c r="J180" s="421"/>
      <c r="K180" s="421"/>
      <c r="L180" s="421"/>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9">
        <f t="shared" si="11"/>
        <v>3.6877399197602871</v>
      </c>
      <c r="E181" s="79" t="s">
        <v>791</v>
      </c>
      <c r="F181" s="926"/>
      <c r="G181" s="421"/>
      <c r="H181" s="421"/>
      <c r="I181" s="421"/>
      <c r="J181" s="421"/>
      <c r="K181" s="421"/>
      <c r="L181" s="421"/>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9">
        <f t="shared" si="11"/>
        <v>3.5486078690583334</v>
      </c>
      <c r="E182" s="79"/>
      <c r="F182" s="926"/>
      <c r="G182" s="421"/>
      <c r="H182" s="421"/>
      <c r="I182" s="421"/>
      <c r="J182" s="421"/>
      <c r="K182" s="421"/>
      <c r="L182" s="421"/>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9">
        <f t="shared" si="11"/>
        <v>3.3828795731450212</v>
      </c>
      <c r="E183" s="79"/>
      <c r="F183" s="926"/>
      <c r="G183" s="421"/>
      <c r="H183" s="421"/>
      <c r="I183" s="421"/>
      <c r="J183" s="421"/>
      <c r="K183" s="421"/>
      <c r="L183" s="421"/>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9">
        <f t="shared" si="11"/>
        <v>3.1898690192654722</v>
      </c>
      <c r="E184" s="79"/>
      <c r="F184" s="926"/>
      <c r="G184" s="421"/>
      <c r="H184" s="421"/>
      <c r="I184" s="421"/>
      <c r="J184" s="421"/>
      <c r="K184" s="421"/>
      <c r="L184" s="421"/>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9">
        <f t="shared" si="11"/>
        <v>2.9687549036057468</v>
      </c>
      <c r="E185" s="79"/>
      <c r="F185" s="926"/>
      <c r="G185" s="421"/>
      <c r="H185" s="421" t="s">
        <v>791</v>
      </c>
      <c r="I185" s="421" t="s">
        <v>649</v>
      </c>
      <c r="J185" s="421"/>
      <c r="K185" s="421"/>
      <c r="L185" s="421"/>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9">
        <f t="shared" si="11"/>
        <v>2.7185658705693321</v>
      </c>
      <c r="E186" s="79"/>
      <c r="F186" s="926"/>
      <c r="G186" s="421"/>
      <c r="H186" s="421"/>
      <c r="I186" s="421"/>
      <c r="J186" s="421" t="s">
        <v>645</v>
      </c>
      <c r="K186" s="421"/>
      <c r="L186" s="421"/>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9">
        <f t="shared" si="11"/>
        <v>2.4381622447440372</v>
      </c>
      <c r="E187" s="79"/>
      <c r="F187" s="926"/>
      <c r="G187" s="421"/>
      <c r="H187" s="421"/>
      <c r="I187" s="421"/>
      <c r="J187" s="421"/>
      <c r="K187" s="421"/>
      <c r="L187" s="421"/>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9">
        <f t="shared" si="11"/>
        <v>2.1262134768528775</v>
      </c>
      <c r="E188" s="79"/>
      <c r="F188" s="926"/>
      <c r="G188" s="421"/>
      <c r="H188" s="421"/>
      <c r="I188" s="421"/>
      <c r="J188" s="421"/>
      <c r="K188" s="421"/>
      <c r="L188" s="421"/>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9">
        <f t="shared" si="11"/>
        <v>1.7811702806787064</v>
      </c>
      <c r="E189" s="79"/>
      <c r="F189" s="926"/>
      <c r="G189" s="421"/>
      <c r="H189" s="421"/>
      <c r="I189" s="421"/>
      <c r="J189" s="421"/>
      <c r="K189" s="421"/>
      <c r="L189" s="421"/>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9">
        <f t="shared" si="11"/>
        <v>1.4012301087231167</v>
      </c>
      <c r="E190" s="79"/>
      <c r="F190" s="926"/>
      <c r="G190" s="421"/>
      <c r="H190" s="421"/>
      <c r="I190" s="421"/>
      <c r="J190" s="421"/>
      <c r="K190" s="421"/>
      <c r="L190" s="421"/>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9">
        <f t="shared" si="11"/>
        <v>0.98429416422027893</v>
      </c>
      <c r="E191" s="79"/>
      <c r="F191" s="926"/>
      <c r="G191" s="421"/>
      <c r="H191" s="421"/>
      <c r="I191" s="421"/>
      <c r="J191" s="421"/>
      <c r="K191" s="421"/>
      <c r="L191" s="421"/>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9">
        <f t="shared" si="11"/>
        <v>0.52791352258296209</v>
      </c>
      <c r="E192" s="79"/>
      <c r="F192" s="926"/>
      <c r="G192" s="421"/>
      <c r="H192" s="421"/>
      <c r="I192" s="421"/>
      <c r="J192" s="421"/>
      <c r="K192" s="421"/>
      <c r="L192" s="421"/>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9">
        <f t="shared" si="11"/>
        <v>2.9221055497633763E-2</v>
      </c>
      <c r="E193" s="79"/>
      <c r="F193" s="926"/>
      <c r="G193" s="421"/>
      <c r="H193" s="421"/>
      <c r="I193" s="421"/>
      <c r="J193" s="421"/>
      <c r="K193" s="421"/>
      <c r="L193" s="421"/>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9">
        <f t="shared" si="11"/>
        <v>-0.51515540898233958</v>
      </c>
      <c r="E194" s="79"/>
      <c r="F194" s="926"/>
      <c r="G194" s="421"/>
      <c r="H194" s="421"/>
      <c r="I194" s="421"/>
      <c r="J194" s="421"/>
      <c r="K194" s="421"/>
      <c r="L194" s="421"/>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9">
        <f t="shared" si="11"/>
        <v>-1.1092050929373443</v>
      </c>
      <c r="E195" s="79"/>
      <c r="F195" s="926"/>
      <c r="G195" s="421"/>
      <c r="H195" s="421"/>
      <c r="I195" s="421"/>
      <c r="J195" s="421"/>
      <c r="K195" s="421"/>
      <c r="L195" s="421"/>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9">
        <f t="shared" si="11"/>
        <v>-1.7576805714495745</v>
      </c>
      <c r="E196" s="79"/>
      <c r="F196" s="926"/>
      <c r="G196" s="421"/>
      <c r="H196" s="421"/>
      <c r="I196" s="421"/>
      <c r="J196" s="421"/>
      <c r="K196" s="421"/>
      <c r="L196" s="421"/>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9">
        <f t="shared" si="11"/>
        <v>-2.4662916391040044</v>
      </c>
      <c r="E197" s="79"/>
      <c r="F197" s="926"/>
      <c r="G197" s="421"/>
      <c r="H197" s="421"/>
      <c r="I197" s="421"/>
      <c r="J197" s="421"/>
      <c r="K197" s="421"/>
      <c r="L197" s="421"/>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9">
        <f t="shared" si="11"/>
        <v>-3.2419664333997016</v>
      </c>
      <c r="E198" s="79"/>
      <c r="F198" s="926"/>
      <c r="G198" s="421"/>
      <c r="H198" s="421"/>
      <c r="I198" s="421"/>
      <c r="J198" s="421"/>
      <c r="K198" s="421"/>
      <c r="L198" s="421"/>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9">
        <f t="shared" si="11"/>
        <v>-4.0932097540514292</v>
      </c>
      <c r="E199" s="79"/>
      <c r="F199" s="926"/>
      <c r="G199" s="421"/>
      <c r="H199" s="421"/>
      <c r="I199" s="421"/>
      <c r="J199" s="421"/>
      <c r="K199" s="421"/>
      <c r="L199" s="421"/>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9">
        <f t="shared" si="11"/>
        <v>-5.0306053439420548</v>
      </c>
      <c r="E200" s="79"/>
      <c r="F200" s="3"/>
      <c r="G200" s="3"/>
      <c r="H200" s="3"/>
      <c r="I200" s="3"/>
      <c r="J200" s="3"/>
      <c r="K200" s="3"/>
      <c r="L200" s="3"/>
      <c r="M200" s="3"/>
      <c r="N200" s="3"/>
      <c r="O200" s="3"/>
      <c r="P200" s="3" t="s">
        <v>791</v>
      </c>
      <c r="Q200" s="3"/>
      <c r="R200" s="3"/>
      <c r="S200" s="3"/>
      <c r="T200" s="3"/>
      <c r="U200" s="3"/>
      <c r="V200" s="3"/>
      <c r="W200" s="3"/>
      <c r="X200" s="3"/>
      <c r="Y200" s="3"/>
      <c r="Z200" s="3"/>
      <c r="AA200" s="3"/>
      <c r="AB200" s="3"/>
      <c r="AC200" s="3"/>
    </row>
    <row r="201" spans="1:29">
      <c r="A201" s="3"/>
      <c r="B201" s="31"/>
      <c r="C201" s="79">
        <f t="shared" si="12"/>
        <v>125</v>
      </c>
      <c r="D201" s="409">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9">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9">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9">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9">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9">
        <f t="shared" si="11"/>
        <v>-13.60981855694245</v>
      </c>
      <c r="E206" s="79" t="s">
        <v>791</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9">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9">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9">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9">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9">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9">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791</v>
      </c>
      <c r="C214" s="3"/>
      <c r="D214" s="612" t="s">
        <v>62</v>
      </c>
      <c r="E214" s="613"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06" t="s">
        <v>648</v>
      </c>
      <c r="C215" s="927" t="s">
        <v>1006</v>
      </c>
      <c r="D215" s="611" t="s">
        <v>155</v>
      </c>
      <c r="E215" s="614" t="s">
        <v>155</v>
      </c>
      <c r="F215" s="421"/>
      <c r="G215" s="421" t="s">
        <v>791</v>
      </c>
      <c r="H215" s="421"/>
      <c r="I215" s="421"/>
      <c r="J215" s="421"/>
      <c r="K215" s="421"/>
      <c r="L215" s="421"/>
      <c r="M215" s="421"/>
      <c r="N215" s="603"/>
      <c r="O215" s="3"/>
      <c r="P215" s="3"/>
      <c r="Q215" s="3"/>
      <c r="R215" s="3"/>
      <c r="S215" s="3"/>
      <c r="T215" s="3"/>
      <c r="U215" s="3"/>
      <c r="V215" s="3"/>
      <c r="W215" s="3"/>
      <c r="X215" s="3"/>
      <c r="Y215" s="3"/>
      <c r="Z215" s="3"/>
      <c r="AA215" s="3"/>
      <c r="AB215" s="3"/>
      <c r="AC215" s="3"/>
    </row>
    <row r="216" spans="1:29">
      <c r="A216" s="3"/>
      <c r="B216" s="3"/>
      <c r="C216" s="597">
        <v>1.0000000000000001E-5</v>
      </c>
      <c r="D216" s="925">
        <f>6-(-10*LOG10(3282.81*((SIN(RADIANS(C216*1.7724))^2)/((C216*1.7724)^2))))</f>
        <v>6.0000048287003951</v>
      </c>
      <c r="E216" s="79" t="s">
        <v>791</v>
      </c>
      <c r="F216" s="421"/>
      <c r="G216" s="421"/>
      <c r="H216" s="421"/>
      <c r="I216" s="421"/>
      <c r="J216" s="421"/>
      <c r="K216" s="421"/>
      <c r="L216" s="421"/>
      <c r="M216" s="421"/>
      <c r="N216" s="604"/>
      <c r="O216" s="3"/>
      <c r="P216" s="3"/>
      <c r="Q216" s="3"/>
      <c r="R216" s="3"/>
      <c r="S216" s="3"/>
      <c r="T216" s="3"/>
      <c r="U216" s="3"/>
      <c r="V216" s="3"/>
      <c r="W216" s="3"/>
      <c r="X216" s="3"/>
      <c r="Y216" s="3"/>
      <c r="Z216" s="3"/>
      <c r="AA216" s="3"/>
      <c r="AB216" s="3"/>
      <c r="AC216" s="3"/>
    </row>
    <row r="217" spans="1:29">
      <c r="A217" s="3"/>
      <c r="B217" s="3"/>
      <c r="C217" s="597">
        <f>C216+5</f>
        <v>5.0000099999999996</v>
      </c>
      <c r="D217" s="925">
        <f t="shared" ref="D217:D252" si="13">6-(-10*LOG10(3282.81*((SIN(RADIANS(C217*1.7724))^2)/((C217*1.7724)^2))))</f>
        <v>5.9653447349382374</v>
      </c>
      <c r="E217" s="79" t="s">
        <v>791</v>
      </c>
      <c r="F217" s="421"/>
      <c r="G217" s="421"/>
      <c r="H217" s="421"/>
      <c r="I217" s="421"/>
      <c r="J217" s="421"/>
      <c r="K217" s="421"/>
      <c r="L217" s="421"/>
      <c r="M217" s="421"/>
      <c r="N217" s="604"/>
      <c r="O217" s="3"/>
      <c r="P217" s="3"/>
      <c r="Q217" s="3"/>
      <c r="R217" s="3"/>
      <c r="S217" s="3"/>
      <c r="T217" s="3"/>
      <c r="U217" s="3"/>
      <c r="V217" s="3"/>
      <c r="W217" s="3"/>
      <c r="X217" s="3"/>
      <c r="Y217" s="3"/>
      <c r="Z217" s="3"/>
      <c r="AA217" s="3"/>
      <c r="AB217" s="3"/>
      <c r="AC217" s="3"/>
    </row>
    <row r="218" spans="1:29">
      <c r="A218" s="3"/>
      <c r="B218" s="3"/>
      <c r="C218" s="597">
        <f t="shared" ref="C218:C283" si="14">C217+5</f>
        <v>10.00001</v>
      </c>
      <c r="D218" s="925">
        <f t="shared" si="13"/>
        <v>5.8610307884493329</v>
      </c>
      <c r="E218" s="79"/>
      <c r="F218" s="421"/>
      <c r="G218" s="421"/>
      <c r="H218" s="421"/>
      <c r="I218" s="421"/>
      <c r="J218" s="421"/>
      <c r="K218" s="421"/>
      <c r="L218" s="421"/>
      <c r="M218" s="421"/>
      <c r="N218" s="604"/>
      <c r="O218" s="3"/>
      <c r="P218" s="3"/>
      <c r="Q218" s="3"/>
      <c r="R218" s="3"/>
      <c r="S218" s="3"/>
      <c r="T218" s="3"/>
      <c r="U218" s="3"/>
      <c r="V218" s="3"/>
      <c r="W218" s="3"/>
      <c r="X218" s="3"/>
      <c r="Y218" s="3"/>
      <c r="Z218" s="3"/>
      <c r="AA218" s="3"/>
      <c r="AB218" s="3"/>
      <c r="AC218" s="3"/>
    </row>
    <row r="219" spans="1:29">
      <c r="A219" s="3"/>
      <c r="B219" s="3"/>
      <c r="C219" s="597">
        <f t="shared" si="14"/>
        <v>15.00001</v>
      </c>
      <c r="D219" s="925">
        <f t="shared" si="13"/>
        <v>5.6860456751103436</v>
      </c>
      <c r="E219" s="79"/>
      <c r="F219" s="421"/>
      <c r="G219" s="421"/>
      <c r="H219" s="421"/>
      <c r="I219" s="421"/>
      <c r="J219" s="421"/>
      <c r="K219" s="421"/>
      <c r="L219" s="421"/>
      <c r="M219" s="421"/>
      <c r="N219" s="604"/>
      <c r="O219" s="3"/>
      <c r="P219" s="3"/>
      <c r="Q219" s="3"/>
      <c r="R219" s="3"/>
      <c r="S219" s="3"/>
      <c r="T219" s="3"/>
      <c r="U219" s="3"/>
      <c r="V219" s="3"/>
      <c r="W219" s="3"/>
      <c r="X219" s="3"/>
      <c r="Y219" s="3"/>
      <c r="Z219" s="3"/>
      <c r="AA219" s="3"/>
      <c r="AB219" s="3"/>
      <c r="AC219" s="3"/>
    </row>
    <row r="220" spans="1:29">
      <c r="A220" s="3"/>
      <c r="B220" s="3"/>
      <c r="C220" s="597">
        <f t="shared" si="14"/>
        <v>20.00001</v>
      </c>
      <c r="D220" s="925">
        <f t="shared" si="13"/>
        <v>5.4386406342061937</v>
      </c>
      <c r="E220" s="79"/>
      <c r="F220" s="421"/>
      <c r="G220" s="421"/>
      <c r="H220" s="421"/>
      <c r="I220" s="421"/>
      <c r="J220" s="421"/>
      <c r="K220" s="421"/>
      <c r="L220" s="421"/>
      <c r="M220" s="421"/>
      <c r="N220" s="604"/>
      <c r="O220" s="3"/>
      <c r="P220" s="3"/>
      <c r="Q220" s="3"/>
      <c r="R220" s="3"/>
      <c r="S220" s="3"/>
      <c r="T220" s="3"/>
      <c r="U220" s="3"/>
      <c r="V220" s="3"/>
      <c r="W220" s="3"/>
      <c r="X220" s="3"/>
      <c r="Y220" s="3"/>
      <c r="Z220" s="3"/>
      <c r="AA220" s="3"/>
      <c r="AB220" s="3"/>
      <c r="AC220" s="3"/>
    </row>
    <row r="221" spans="1:29">
      <c r="A221" s="3"/>
      <c r="B221" s="3"/>
      <c r="C221" s="597">
        <f t="shared" si="14"/>
        <v>25.00001</v>
      </c>
      <c r="D221" s="925">
        <f t="shared" si="13"/>
        <v>5.1162496734715912</v>
      </c>
      <c r="E221" s="79"/>
      <c r="F221" s="421"/>
      <c r="G221" s="421"/>
      <c r="H221" s="421"/>
      <c r="I221" s="421"/>
      <c r="J221" s="421"/>
      <c r="K221" s="421"/>
      <c r="L221" s="421"/>
      <c r="M221" s="421"/>
      <c r="N221" s="604"/>
      <c r="O221" s="3"/>
      <c r="P221" s="3"/>
      <c r="Q221" s="3"/>
      <c r="R221" s="3"/>
      <c r="S221" s="3"/>
      <c r="T221" s="3"/>
      <c r="U221" s="3"/>
      <c r="V221" s="3"/>
      <c r="W221" s="3"/>
      <c r="X221" s="3"/>
      <c r="Y221" s="3"/>
      <c r="Z221" s="3"/>
      <c r="AA221" s="3"/>
      <c r="AB221" s="3"/>
      <c r="AC221" s="3"/>
    </row>
    <row r="222" spans="1:29">
      <c r="A222" s="3"/>
      <c r="B222" s="3"/>
      <c r="C222" s="597">
        <f t="shared" si="14"/>
        <v>30.00001</v>
      </c>
      <c r="D222" s="925">
        <f t="shared" si="13"/>
        <v>4.7153564644619106</v>
      </c>
      <c r="E222" s="79"/>
      <c r="F222" s="421"/>
      <c r="G222" s="421"/>
      <c r="H222" s="421"/>
      <c r="I222" s="421"/>
      <c r="J222" s="421"/>
      <c r="K222" s="421"/>
      <c r="L222" s="421"/>
      <c r="M222" s="421"/>
      <c r="N222" s="604"/>
      <c r="O222" s="3"/>
      <c r="P222" s="3"/>
      <c r="Q222" s="3"/>
      <c r="R222" s="3"/>
      <c r="S222" s="3"/>
      <c r="T222" s="3"/>
      <c r="U222" s="3"/>
      <c r="V222" s="3"/>
      <c r="W222" s="3"/>
      <c r="X222" s="3"/>
      <c r="Y222" s="3"/>
      <c r="Z222" s="3"/>
      <c r="AA222" s="3"/>
      <c r="AB222" s="3"/>
      <c r="AC222" s="3"/>
    </row>
    <row r="223" spans="1:29">
      <c r="A223" s="3"/>
      <c r="B223" s="3"/>
      <c r="C223" s="597">
        <f t="shared" si="14"/>
        <v>35.000010000000003</v>
      </c>
      <c r="D223" s="925">
        <f t="shared" si="13"/>
        <v>4.2312978799201479</v>
      </c>
      <c r="E223" s="79"/>
      <c r="F223" s="421"/>
      <c r="G223" s="421"/>
      <c r="H223" s="421"/>
      <c r="I223" s="421"/>
      <c r="J223" s="421"/>
      <c r="K223" s="421"/>
      <c r="L223" s="421"/>
      <c r="M223" s="421"/>
      <c r="N223" s="604"/>
      <c r="O223" s="3"/>
      <c r="P223" s="3"/>
      <c r="Q223" s="3"/>
      <c r="R223" s="3"/>
      <c r="S223" s="3"/>
      <c r="T223" s="3"/>
      <c r="U223" s="3"/>
      <c r="V223" s="3"/>
      <c r="W223" s="3"/>
      <c r="X223" s="3"/>
      <c r="Y223" s="3"/>
      <c r="Z223" s="3"/>
      <c r="AA223" s="3"/>
      <c r="AB223" s="3"/>
      <c r="AC223" s="3"/>
    </row>
    <row r="224" spans="1:29">
      <c r="A224" s="3"/>
      <c r="B224" s="3"/>
      <c r="C224" s="597">
        <f t="shared" si="14"/>
        <v>40.000010000000003</v>
      </c>
      <c r="D224" s="925">
        <f t="shared" si="13"/>
        <v>3.6579781652012575</v>
      </c>
      <c r="E224" s="79"/>
      <c r="F224" s="421"/>
      <c r="G224" s="421"/>
      <c r="H224" s="421"/>
      <c r="I224" s="421"/>
      <c r="J224" s="421"/>
      <c r="K224" s="421"/>
      <c r="L224" s="421"/>
      <c r="M224" s="421"/>
      <c r="N224" s="604"/>
      <c r="O224" s="3"/>
      <c r="P224" s="3"/>
      <c r="Q224" s="3"/>
      <c r="R224" s="3"/>
      <c r="S224" s="3"/>
      <c r="T224" s="3"/>
      <c r="U224" s="3"/>
      <c r="V224" s="3"/>
      <c r="W224" s="3"/>
      <c r="X224" s="3"/>
      <c r="Y224" s="3"/>
      <c r="Z224" s="3"/>
      <c r="AA224" s="3"/>
      <c r="AB224" s="3"/>
      <c r="AC224" s="3"/>
    </row>
    <row r="225" spans="1:29">
      <c r="A225" s="3"/>
      <c r="B225" s="3"/>
      <c r="C225" s="597">
        <f t="shared" si="14"/>
        <v>45.000010000000003</v>
      </c>
      <c r="D225" s="925">
        <f t="shared" si="13"/>
        <v>2.9874513525559072</v>
      </c>
      <c r="E225" s="79"/>
      <c r="F225" s="421"/>
      <c r="G225" s="421"/>
      <c r="H225" s="421" t="s">
        <v>791</v>
      </c>
      <c r="I225" s="421" t="s">
        <v>650</v>
      </c>
      <c r="J225" s="421"/>
      <c r="K225" s="421"/>
      <c r="L225" s="421"/>
      <c r="M225" s="421"/>
      <c r="N225" s="604"/>
      <c r="O225" s="3"/>
      <c r="P225" s="3"/>
      <c r="Q225" s="3"/>
      <c r="R225" s="3"/>
      <c r="S225" s="3"/>
      <c r="T225" s="3"/>
      <c r="U225" s="3"/>
      <c r="V225" s="3"/>
      <c r="W225" s="3"/>
      <c r="X225" s="3"/>
      <c r="Y225" s="3"/>
      <c r="Z225" s="3"/>
      <c r="AA225" s="3"/>
      <c r="AB225" s="3"/>
      <c r="AC225" s="3"/>
    </row>
    <row r="226" spans="1:29">
      <c r="A226" s="3"/>
      <c r="B226" s="3"/>
      <c r="C226" s="597">
        <f t="shared" si="14"/>
        <v>50.000010000000003</v>
      </c>
      <c r="D226" s="925">
        <f t="shared" si="13"/>
        <v>2.2093012463479962</v>
      </c>
      <c r="E226" s="79"/>
      <c r="F226" s="421"/>
      <c r="G226" s="421"/>
      <c r="H226" s="421"/>
      <c r="I226" s="421"/>
      <c r="J226" s="607" t="s">
        <v>645</v>
      </c>
      <c r="K226" s="421"/>
      <c r="L226" s="421"/>
      <c r="M226" s="421"/>
      <c r="N226" s="604"/>
      <c r="O226" s="3"/>
      <c r="P226" s="3"/>
      <c r="Q226" s="3"/>
      <c r="R226" s="3"/>
      <c r="S226" s="3"/>
      <c r="T226" s="3"/>
      <c r="U226" s="3"/>
      <c r="V226" s="3"/>
      <c r="W226" s="3"/>
      <c r="X226" s="3"/>
      <c r="Y226" s="3"/>
      <c r="Z226" s="3"/>
      <c r="AA226" s="3"/>
      <c r="AB226" s="3"/>
      <c r="AC226" s="3"/>
    </row>
    <row r="227" spans="1:29">
      <c r="A227" s="3"/>
      <c r="B227" s="3"/>
      <c r="C227" s="597">
        <f t="shared" si="14"/>
        <v>55.000010000000003</v>
      </c>
      <c r="D227" s="925">
        <f t="shared" si="13"/>
        <v>1.3096970623209385</v>
      </c>
      <c r="E227" s="79"/>
      <c r="F227" s="421"/>
      <c r="G227" s="421"/>
      <c r="H227" s="421"/>
      <c r="I227" s="421"/>
      <c r="J227" s="421"/>
      <c r="K227" s="421"/>
      <c r="L227" s="421"/>
      <c r="M227" s="421"/>
      <c r="N227" s="604"/>
      <c r="O227" s="3"/>
      <c r="P227" s="3"/>
      <c r="Q227" s="3"/>
      <c r="R227" s="3"/>
      <c r="S227" s="3"/>
      <c r="T227" s="3"/>
      <c r="U227" s="3"/>
      <c r="V227" s="3"/>
      <c r="W227" s="3"/>
      <c r="X227" s="3"/>
      <c r="Y227" s="3"/>
      <c r="Z227" s="3"/>
      <c r="AA227" s="3"/>
      <c r="AB227" s="3"/>
      <c r="AC227" s="3"/>
    </row>
    <row r="228" spans="1:29">
      <c r="A228" s="3"/>
      <c r="B228" s="3"/>
      <c r="C228" s="597">
        <f t="shared" si="14"/>
        <v>60.000010000000003</v>
      </c>
      <c r="D228" s="925">
        <f t="shared" si="13"/>
        <v>0.26990490064927641</v>
      </c>
      <c r="E228" s="79"/>
      <c r="F228" s="421"/>
      <c r="G228" s="421"/>
      <c r="H228" s="421"/>
      <c r="I228" s="421"/>
      <c r="J228" s="421"/>
      <c r="K228" s="421"/>
      <c r="L228" s="421"/>
      <c r="M228" s="421"/>
      <c r="N228" s="604"/>
      <c r="O228" s="3"/>
      <c r="P228" s="3"/>
      <c r="Q228" s="3"/>
      <c r="R228" s="3"/>
      <c r="S228" s="3"/>
      <c r="T228" s="3"/>
      <c r="U228" s="3"/>
      <c r="V228" s="3"/>
      <c r="W228" s="3"/>
      <c r="X228" s="3"/>
      <c r="Y228" s="3"/>
      <c r="Z228" s="3"/>
      <c r="AA228" s="3"/>
      <c r="AB228" s="3"/>
      <c r="AC228" s="3"/>
    </row>
    <row r="229" spans="1:29">
      <c r="A229" s="3"/>
      <c r="B229" s="3"/>
      <c r="C229" s="597">
        <f t="shared" si="14"/>
        <v>65.000010000000003</v>
      </c>
      <c r="D229" s="925">
        <f t="shared" si="13"/>
        <v>-0.93616362774185458</v>
      </c>
      <c r="E229" s="79"/>
      <c r="F229" s="421"/>
      <c r="G229" s="421"/>
      <c r="H229" s="421"/>
      <c r="I229" s="421"/>
      <c r="J229" s="421"/>
      <c r="K229" s="421"/>
      <c r="L229" s="421"/>
      <c r="M229" s="421"/>
      <c r="N229" s="604"/>
      <c r="O229" s="3"/>
      <c r="P229" s="3"/>
      <c r="Q229" s="3"/>
      <c r="R229" s="3"/>
      <c r="S229" s="3"/>
      <c r="T229" s="3"/>
      <c r="U229" s="3"/>
      <c r="V229" s="3"/>
      <c r="W229" s="3"/>
      <c r="X229" s="3"/>
      <c r="Y229" s="3"/>
      <c r="Z229" s="3"/>
      <c r="AA229" s="3"/>
      <c r="AB229" s="3"/>
      <c r="AC229" s="3"/>
    </row>
    <row r="230" spans="1:29">
      <c r="A230" s="3"/>
      <c r="B230" s="3"/>
      <c r="C230" s="597">
        <f t="shared" si="14"/>
        <v>70.000010000000003</v>
      </c>
      <c r="D230" s="925">
        <f t="shared" si="13"/>
        <v>-2.346219096006557</v>
      </c>
      <c r="E230" s="79"/>
      <c r="F230" s="421"/>
      <c r="G230" s="421"/>
      <c r="H230" s="421"/>
      <c r="I230" s="421"/>
      <c r="J230" s="421"/>
      <c r="K230" s="421"/>
      <c r="L230" s="421"/>
      <c r="M230" s="421"/>
      <c r="N230" s="604"/>
      <c r="O230" s="3"/>
      <c r="P230" s="3"/>
      <c r="Q230" s="3"/>
      <c r="R230" s="3"/>
      <c r="S230" s="3"/>
      <c r="T230" s="3"/>
      <c r="U230" s="3"/>
      <c r="V230" s="3"/>
      <c r="W230" s="3"/>
      <c r="X230" s="3"/>
      <c r="Y230" s="3"/>
      <c r="Z230" s="3"/>
      <c r="AA230" s="3"/>
      <c r="AB230" s="3"/>
      <c r="AC230" s="3"/>
    </row>
    <row r="231" spans="1:29">
      <c r="A231" s="3"/>
      <c r="B231" s="3"/>
      <c r="C231" s="597">
        <f t="shared" si="14"/>
        <v>75.000010000000003</v>
      </c>
      <c r="D231" s="925">
        <f t="shared" si="13"/>
        <v>-4.0175734305176114</v>
      </c>
      <c r="E231" s="79"/>
      <c r="F231" s="421"/>
      <c r="G231" s="421"/>
      <c r="H231" s="421"/>
      <c r="I231" s="421"/>
      <c r="J231" s="421"/>
      <c r="K231" s="421"/>
      <c r="L231" s="421"/>
      <c r="M231" s="421"/>
      <c r="N231" s="604"/>
      <c r="O231" s="3"/>
      <c r="P231" s="3"/>
      <c r="Q231" s="3"/>
      <c r="R231" s="3"/>
      <c r="S231" s="3"/>
      <c r="T231" s="3"/>
      <c r="U231" s="3"/>
      <c r="V231" s="3"/>
      <c r="W231" s="3"/>
      <c r="X231" s="3"/>
      <c r="Y231" s="3"/>
      <c r="Z231" s="3"/>
      <c r="AA231" s="3"/>
      <c r="AB231" s="3"/>
      <c r="AC231" s="3"/>
    </row>
    <row r="232" spans="1:29">
      <c r="A232" s="3"/>
      <c r="B232" s="3"/>
      <c r="C232" s="597">
        <f t="shared" si="14"/>
        <v>80.000010000000003</v>
      </c>
      <c r="D232" s="925">
        <f t="shared" si="13"/>
        <v>-6.0435331070795471</v>
      </c>
      <c r="E232" s="79"/>
      <c r="F232" s="421"/>
      <c r="G232" s="421"/>
      <c r="H232" s="421"/>
      <c r="I232" s="421"/>
      <c r="J232" s="421"/>
      <c r="K232" s="421"/>
      <c r="L232" s="421"/>
      <c r="M232" s="421"/>
      <c r="N232" s="604"/>
      <c r="O232" s="3"/>
      <c r="P232" s="3"/>
      <c r="Q232" s="3"/>
      <c r="R232" s="3"/>
      <c r="S232" s="3"/>
      <c r="T232" s="3"/>
      <c r="U232" s="3"/>
      <c r="V232" s="3"/>
      <c r="W232" s="3"/>
      <c r="X232" s="3"/>
      <c r="Y232" s="3"/>
      <c r="Z232" s="3"/>
      <c r="AA232" s="3"/>
      <c r="AB232" s="3"/>
      <c r="AC232" s="3"/>
    </row>
    <row r="233" spans="1:29">
      <c r="A233" s="3"/>
      <c r="B233" s="3"/>
      <c r="C233" s="597">
        <f t="shared" si="14"/>
        <v>85.000010000000003</v>
      </c>
      <c r="D233" s="925">
        <f t="shared" si="13"/>
        <v>-8.5917789014445276</v>
      </c>
      <c r="E233" s="79"/>
      <c r="F233" s="421"/>
      <c r="G233" s="421"/>
      <c r="H233" s="421"/>
      <c r="I233" s="421"/>
      <c r="J233" s="421"/>
      <c r="K233" s="421"/>
      <c r="L233" s="421"/>
      <c r="M233" s="421"/>
      <c r="N233" s="604"/>
      <c r="O233" s="3"/>
      <c r="P233" s="3"/>
      <c r="Q233" s="3"/>
      <c r="R233" s="3"/>
      <c r="S233" s="3"/>
      <c r="T233" s="3"/>
      <c r="U233" s="3"/>
      <c r="V233" s="3"/>
      <c r="W233" s="3"/>
      <c r="X233" s="3"/>
      <c r="Y233" s="3"/>
      <c r="Z233" s="3"/>
      <c r="AA233" s="3"/>
      <c r="AB233" s="3"/>
      <c r="AC233" s="3"/>
    </row>
    <row r="234" spans="1:29">
      <c r="A234" s="3"/>
      <c r="B234" s="3"/>
      <c r="C234" s="597">
        <f t="shared" si="14"/>
        <v>90.000010000000003</v>
      </c>
      <c r="D234" s="925">
        <f t="shared" si="13"/>
        <v>-12.013620001173564</v>
      </c>
      <c r="E234" s="79"/>
      <c r="F234" s="421"/>
      <c r="G234" s="421"/>
      <c r="H234" s="421"/>
      <c r="I234" s="421"/>
      <c r="J234" s="421"/>
      <c r="K234" s="421"/>
      <c r="L234" s="421"/>
      <c r="M234" s="421"/>
      <c r="N234" s="604"/>
      <c r="O234" s="3"/>
      <c r="P234" s="3"/>
      <c r="Q234" s="3"/>
      <c r="R234" s="3"/>
      <c r="S234" s="3"/>
      <c r="T234" s="3"/>
      <c r="U234" s="3"/>
      <c r="V234" s="3"/>
      <c r="W234" s="3"/>
      <c r="X234" s="3"/>
      <c r="Y234" s="3"/>
      <c r="Z234" s="3"/>
      <c r="AA234" s="3"/>
      <c r="AB234" s="3"/>
      <c r="AC234" s="3"/>
    </row>
    <row r="235" spans="1:29">
      <c r="A235" s="3"/>
      <c r="B235" s="3"/>
      <c r="C235" s="597">
        <f t="shared" si="14"/>
        <v>95.000010000000003</v>
      </c>
      <c r="D235" s="925">
        <f t="shared" si="13"/>
        <v>-17.279743973217315</v>
      </c>
      <c r="E235" s="79"/>
      <c r="F235" s="421"/>
      <c r="G235" s="421"/>
      <c r="H235" s="421"/>
      <c r="I235" s="421"/>
      <c r="J235" s="421"/>
      <c r="K235" s="421"/>
      <c r="L235" s="421"/>
      <c r="M235" s="421"/>
      <c r="N235" s="604"/>
      <c r="O235" s="3"/>
      <c r="P235" s="3"/>
      <c r="Q235" s="3"/>
      <c r="R235" s="3"/>
      <c r="S235" s="3"/>
      <c r="T235" s="3"/>
      <c r="U235" s="3"/>
      <c r="V235" s="3"/>
      <c r="W235" s="3"/>
      <c r="X235" s="3"/>
      <c r="Y235" s="3"/>
      <c r="Z235" s="3"/>
      <c r="AA235" s="3"/>
      <c r="AB235" s="3"/>
      <c r="AC235" s="3"/>
    </row>
    <row r="236" spans="1:29">
      <c r="A236" s="3"/>
      <c r="B236" s="3"/>
      <c r="C236" s="597">
        <f t="shared" si="14"/>
        <v>100.00001</v>
      </c>
      <c r="D236" s="925">
        <f t="shared" si="13"/>
        <v>-30.156464421918081</v>
      </c>
      <c r="E236" s="79" t="s">
        <v>972</v>
      </c>
      <c r="F236" s="421"/>
      <c r="G236" s="421"/>
      <c r="H236" s="421"/>
      <c r="I236" s="421"/>
      <c r="J236" s="421"/>
      <c r="K236" s="421"/>
      <c r="L236" s="421"/>
      <c r="M236" s="421"/>
      <c r="N236" s="604"/>
      <c r="O236" s="3"/>
      <c r="P236" s="3"/>
      <c r="Q236" s="3"/>
      <c r="R236" s="3"/>
      <c r="S236" s="3"/>
      <c r="T236" s="3"/>
      <c r="U236" s="3"/>
      <c r="V236" s="3"/>
      <c r="W236" s="3"/>
      <c r="X236" s="3"/>
      <c r="Y236" s="3"/>
      <c r="Z236" s="3"/>
      <c r="AA236" s="3"/>
      <c r="AB236" s="3"/>
      <c r="AC236" s="3"/>
    </row>
    <row r="237" spans="1:29">
      <c r="A237" s="3"/>
      <c r="B237" s="3"/>
      <c r="C237" s="597">
        <f t="shared" si="14"/>
        <v>105.00001</v>
      </c>
      <c r="D237" s="925">
        <f t="shared" si="13"/>
        <v>-23.701973405406868</v>
      </c>
      <c r="E237" s="79"/>
      <c r="F237" s="421"/>
      <c r="G237" s="421"/>
      <c r="H237" s="421"/>
      <c r="I237" s="421"/>
      <c r="J237" s="421"/>
      <c r="K237" s="421"/>
      <c r="L237" s="421"/>
      <c r="M237" s="421"/>
      <c r="N237" s="604"/>
      <c r="O237" s="3"/>
      <c r="P237" s="3"/>
      <c r="Q237" s="3"/>
      <c r="R237" s="3"/>
      <c r="S237" s="3"/>
      <c r="T237" s="3"/>
      <c r="U237" s="3"/>
      <c r="V237" s="3"/>
      <c r="W237" s="3"/>
      <c r="X237" s="3"/>
      <c r="Y237" s="3"/>
      <c r="Z237" s="3"/>
      <c r="AA237" s="3"/>
      <c r="AB237" s="3"/>
      <c r="AC237" s="3"/>
    </row>
    <row r="238" spans="1:29">
      <c r="A238" s="3"/>
      <c r="B238" s="3"/>
      <c r="C238" s="597">
        <f t="shared" si="14"/>
        <v>110.00001</v>
      </c>
      <c r="D238" s="925">
        <f t="shared" si="13"/>
        <v>-16.397090501132354</v>
      </c>
      <c r="E238" s="79"/>
      <c r="F238" s="421"/>
      <c r="G238" s="421"/>
      <c r="H238" s="421"/>
      <c r="I238" s="421"/>
      <c r="J238" s="421"/>
      <c r="K238" s="421"/>
      <c r="L238" s="421"/>
      <c r="M238" s="421"/>
      <c r="N238" s="604"/>
      <c r="O238" s="3"/>
      <c r="P238" s="3"/>
      <c r="Q238" s="3"/>
      <c r="R238" s="3"/>
      <c r="S238" s="3"/>
      <c r="T238" s="3"/>
      <c r="U238" s="3"/>
      <c r="V238" s="3"/>
      <c r="W238" s="3"/>
      <c r="X238" s="3"/>
      <c r="Y238" s="3"/>
      <c r="Z238" s="3"/>
      <c r="AA238" s="3"/>
      <c r="AB238" s="3"/>
      <c r="AC238" s="3"/>
    </row>
    <row r="239" spans="1:29" ht="13" thickBot="1">
      <c r="A239" s="3"/>
      <c r="B239" s="3"/>
      <c r="C239" s="597">
        <f t="shared" si="14"/>
        <v>115.00001</v>
      </c>
      <c r="D239" s="925">
        <f t="shared" si="13"/>
        <v>-12.895951874930702</v>
      </c>
      <c r="E239" s="79"/>
      <c r="F239" s="421"/>
      <c r="G239" s="421"/>
      <c r="H239" s="421"/>
      <c r="I239" s="421"/>
      <c r="J239" s="421"/>
      <c r="K239" s="421"/>
      <c r="L239" s="421"/>
      <c r="M239" s="421"/>
      <c r="N239" s="605"/>
      <c r="O239" s="3"/>
      <c r="P239" s="3"/>
      <c r="Q239" s="3"/>
      <c r="R239" s="3"/>
      <c r="S239" s="3"/>
      <c r="T239" s="3"/>
      <c r="U239" s="3"/>
      <c r="V239" s="3"/>
      <c r="W239" s="3"/>
      <c r="X239" s="3"/>
      <c r="Y239" s="3"/>
      <c r="Z239" s="3"/>
      <c r="AA239" s="3"/>
      <c r="AB239" s="3"/>
      <c r="AC239" s="3"/>
    </row>
    <row r="240" spans="1:29">
      <c r="A240" s="3"/>
      <c r="B240" s="3"/>
      <c r="C240" s="597">
        <f t="shared" si="14"/>
        <v>120.00001</v>
      </c>
      <c r="D240" s="925">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97">
        <f t="shared" si="14"/>
        <v>125.00001</v>
      </c>
      <c r="D241" s="925">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97">
        <f t="shared" si="14"/>
        <v>130.00001</v>
      </c>
      <c r="D242" s="925">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97">
        <f t="shared" si="14"/>
        <v>135.00001</v>
      </c>
      <c r="D243" s="925">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97">
        <f t="shared" si="14"/>
        <v>140.00001</v>
      </c>
      <c r="D244" s="925">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97">
        <f t="shared" si="14"/>
        <v>145.00001</v>
      </c>
      <c r="D245" s="925">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97">
        <f t="shared" si="14"/>
        <v>150.00001</v>
      </c>
      <c r="D246" s="925">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97">
        <f t="shared" si="14"/>
        <v>155.00001</v>
      </c>
      <c r="D247" s="925">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97">
        <f t="shared" si="14"/>
        <v>160.00001</v>
      </c>
      <c r="D248" s="925">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97">
        <f t="shared" si="14"/>
        <v>165.00001</v>
      </c>
      <c r="D249" s="925">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97">
        <f t="shared" si="14"/>
        <v>170.00001</v>
      </c>
      <c r="D250" s="925">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97">
        <f t="shared" si="14"/>
        <v>175.00001</v>
      </c>
      <c r="D251" s="925">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97">
        <f t="shared" si="14"/>
        <v>180.00001</v>
      </c>
      <c r="D252" s="925">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97">
        <f t="shared" si="14"/>
        <v>185.00001</v>
      </c>
      <c r="D253" s="925">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97">
        <f t="shared" si="14"/>
        <v>190.00001</v>
      </c>
      <c r="D254" s="925">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97">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97">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97">
        <f t="shared" si="14"/>
        <v>205.00001</v>
      </c>
      <c r="D257" s="79">
        <v>-7.6</v>
      </c>
      <c r="E257" s="3" t="s">
        <v>791</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97">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97">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97">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97">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97">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97">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97">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97">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97">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97">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97">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97">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97">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97">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97">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97">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97">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97">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97">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97">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97">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97">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97">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97">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97">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97">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97">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97">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97">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97">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97" t="s">
        <v>791</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37"/>
      <c r="B1" s="538"/>
      <c r="C1" s="539" t="s">
        <v>152</v>
      </c>
      <c r="D1" s="539"/>
      <c r="E1" s="538"/>
      <c r="F1" s="538"/>
      <c r="G1" s="540"/>
      <c r="H1" s="3"/>
      <c r="I1" s="3"/>
      <c r="J1" s="3"/>
      <c r="K1" s="3"/>
      <c r="L1" s="3"/>
      <c r="M1" s="3"/>
      <c r="N1" s="3"/>
      <c r="O1" s="3"/>
      <c r="P1" s="3"/>
      <c r="Q1" s="3"/>
      <c r="R1" s="3"/>
      <c r="S1" s="908"/>
      <c r="T1" s="908"/>
      <c r="U1" s="908"/>
    </row>
    <row r="2" spans="1:21" ht="18">
      <c r="A2" s="541" t="s">
        <v>54</v>
      </c>
      <c r="B2" s="542"/>
      <c r="C2" s="542"/>
      <c r="D2" s="542"/>
      <c r="E2" s="385"/>
      <c r="F2" s="385"/>
      <c r="G2" s="543"/>
      <c r="H2" s="3"/>
      <c r="I2" s="3"/>
      <c r="J2" s="3"/>
      <c r="K2" s="3"/>
      <c r="L2" s="3"/>
      <c r="M2" s="3"/>
      <c r="N2" s="3"/>
      <c r="O2" s="3"/>
      <c r="P2" s="3"/>
      <c r="Q2" s="3"/>
      <c r="R2" s="3"/>
      <c r="S2" s="908"/>
      <c r="T2" s="908"/>
      <c r="U2" s="908"/>
    </row>
    <row r="3" spans="1:21" ht="18" thickBot="1">
      <c r="A3" s="544" t="s">
        <v>345</v>
      </c>
      <c r="B3" s="545"/>
      <c r="C3" s="545"/>
      <c r="D3" s="545"/>
      <c r="E3" s="546"/>
      <c r="F3" s="127"/>
      <c r="G3" s="547"/>
      <c r="H3" s="3"/>
      <c r="I3" s="449" t="s">
        <v>38</v>
      </c>
      <c r="J3" s="522" t="str">
        <f>'Title Page'!F23</f>
        <v>2019 May 5</v>
      </c>
      <c r="K3" s="367"/>
      <c r="L3" s="4" t="s">
        <v>791</v>
      </c>
      <c r="M3" s="4" t="s">
        <v>791</v>
      </c>
      <c r="N3" s="3"/>
      <c r="O3" s="3"/>
      <c r="P3" s="3"/>
      <c r="Q3" s="3"/>
      <c r="R3" s="3"/>
      <c r="S3" s="908"/>
      <c r="T3" s="908"/>
      <c r="U3" s="908"/>
    </row>
    <row r="4" spans="1:21" ht="13.5" thickBot="1">
      <c r="A4" s="4"/>
      <c r="B4" s="3"/>
      <c r="C4" s="3"/>
      <c r="D4" s="3"/>
      <c r="E4" s="3"/>
      <c r="F4" s="3"/>
      <c r="G4" s="3"/>
      <c r="H4" s="3"/>
      <c r="I4" s="3"/>
      <c r="J4" s="3"/>
      <c r="K4" s="3"/>
      <c r="L4" s="3"/>
      <c r="M4" s="4"/>
      <c r="N4" s="3"/>
      <c r="O4" s="3"/>
      <c r="P4" s="3"/>
      <c r="Q4" s="3"/>
      <c r="R4" s="3"/>
      <c r="S4" s="908"/>
      <c r="T4" s="908"/>
      <c r="U4" s="908"/>
    </row>
    <row r="5" spans="1:21" ht="13.5" thickBot="1">
      <c r="A5" s="636" t="s">
        <v>829</v>
      </c>
      <c r="B5" s="635">
        <v>8.1999999999999993</v>
      </c>
      <c r="C5" s="3" t="s">
        <v>39</v>
      </c>
      <c r="D5" s="3"/>
      <c r="E5" s="553" t="s">
        <v>40</v>
      </c>
      <c r="F5" s="557">
        <f>20.4+20*LOG10(B6)+20*LOG10(B5)+10*LOG10(B7/100)</f>
        <v>58.686579312516898</v>
      </c>
      <c r="G5" s="3" t="s">
        <v>791</v>
      </c>
      <c r="H5" s="386" t="s">
        <v>679</v>
      </c>
      <c r="I5" s="316"/>
      <c r="J5" s="185"/>
      <c r="K5" s="3"/>
      <c r="L5" s="3"/>
      <c r="M5" s="3"/>
      <c r="N5" s="3"/>
      <c r="O5" s="3"/>
      <c r="P5" s="3"/>
      <c r="Q5" s="3"/>
      <c r="R5" s="3"/>
      <c r="S5" s="908"/>
      <c r="T5" s="908"/>
      <c r="U5" s="908"/>
    </row>
    <row r="6" spans="1:21" ht="13.5" thickBot="1">
      <c r="A6" s="636" t="s">
        <v>41</v>
      </c>
      <c r="B6" s="635">
        <v>13.5</v>
      </c>
      <c r="C6" s="3" t="s">
        <v>42</v>
      </c>
      <c r="D6" s="3"/>
      <c r="E6" s="3"/>
      <c r="F6" s="79"/>
      <c r="G6" s="3"/>
      <c r="H6" s="3"/>
      <c r="I6" s="3"/>
      <c r="J6" s="3"/>
      <c r="K6" s="3"/>
      <c r="L6" s="3"/>
      <c r="M6" s="3"/>
      <c r="N6" s="3"/>
      <c r="O6" s="3"/>
      <c r="P6" s="3"/>
      <c r="Q6" s="3"/>
      <c r="R6" s="3"/>
      <c r="S6" s="908"/>
      <c r="T6" s="908"/>
      <c r="U6" s="908"/>
    </row>
    <row r="7" spans="1:21" ht="13.5" thickBot="1">
      <c r="A7" s="637" t="s">
        <v>52</v>
      </c>
      <c r="B7" s="635">
        <v>55</v>
      </c>
      <c r="C7" s="3" t="s">
        <v>37</v>
      </c>
      <c r="D7" s="811" t="s">
        <v>150</v>
      </c>
      <c r="E7" s="4" t="s">
        <v>151</v>
      </c>
      <c r="F7" s="873">
        <f>21/(B5*B6)</f>
        <v>0.18970189701897022</v>
      </c>
      <c r="G7" s="3" t="s">
        <v>4</v>
      </c>
      <c r="H7" s="549" t="s">
        <v>162</v>
      </c>
      <c r="I7" s="3"/>
      <c r="J7" s="3"/>
      <c r="K7" s="3"/>
      <c r="L7" s="3"/>
      <c r="M7" s="3"/>
      <c r="N7" s="3"/>
      <c r="O7" s="3"/>
      <c r="P7" s="3"/>
      <c r="Q7" s="3"/>
      <c r="R7" s="28" t="s">
        <v>791</v>
      </c>
      <c r="S7" s="134">
        <f>F7/2</f>
        <v>9.4850948509485111E-2</v>
      </c>
      <c r="T7" s="908"/>
      <c r="U7" s="908"/>
    </row>
    <row r="8" spans="1:21" ht="13.5" thickBot="1">
      <c r="A8" s="915"/>
      <c r="B8" s="916"/>
      <c r="C8" s="917"/>
      <c r="D8" s="918"/>
      <c r="E8" s="919"/>
      <c r="F8" s="920"/>
      <c r="G8" s="3"/>
      <c r="H8" s="549"/>
      <c r="I8" s="3"/>
      <c r="J8" s="3"/>
      <c r="K8" s="3"/>
      <c r="L8" s="3"/>
      <c r="M8" s="3"/>
      <c r="N8" s="3"/>
      <c r="O8" s="3"/>
      <c r="P8" s="3"/>
      <c r="Q8" s="3"/>
      <c r="R8" s="28"/>
      <c r="S8" s="134"/>
      <c r="T8" s="908"/>
      <c r="U8" s="908"/>
    </row>
    <row r="9" spans="1:21" ht="13" customHeight="1" thickBot="1">
      <c r="A9" s="915"/>
      <c r="B9" s="916"/>
      <c r="C9" s="917"/>
      <c r="D9" s="918" t="s">
        <v>87</v>
      </c>
      <c r="E9" s="919"/>
      <c r="F9" s="921">
        <f>299.8/(B5*1000)</f>
        <v>3.6560975609756102E-2</v>
      </c>
      <c r="G9" s="3" t="s">
        <v>1004</v>
      </c>
      <c r="H9" s="549"/>
      <c r="I9" s="3"/>
      <c r="J9" s="3"/>
      <c r="K9" s="3"/>
      <c r="L9" s="3"/>
      <c r="M9" s="3"/>
      <c r="N9" s="3"/>
      <c r="O9" s="3"/>
      <c r="P9" s="3"/>
      <c r="Q9" s="3"/>
      <c r="R9" s="28"/>
      <c r="S9" s="134"/>
      <c r="T9" s="908"/>
      <c r="U9" s="908"/>
    </row>
    <row r="10" spans="1:21" ht="13.5" thickBot="1">
      <c r="A10" s="915"/>
      <c r="B10" s="916"/>
      <c r="C10" s="917"/>
      <c r="D10" s="918"/>
      <c r="E10" s="919"/>
      <c r="F10" s="920"/>
      <c r="G10" s="3"/>
      <c r="H10" s="930" t="s">
        <v>1007</v>
      </c>
      <c r="I10" s="3"/>
      <c r="J10" s="3"/>
      <c r="K10" s="3" t="s">
        <v>791</v>
      </c>
      <c r="L10" s="3"/>
      <c r="M10" s="3"/>
      <c r="N10" s="3"/>
      <c r="O10" s="3"/>
      <c r="P10" s="3"/>
      <c r="Q10" s="3"/>
      <c r="R10" s="28"/>
      <c r="S10" s="134"/>
      <c r="T10" s="908"/>
      <c r="U10" s="908"/>
    </row>
    <row r="11" spans="1:21" ht="13" customHeight="1" thickBot="1">
      <c r="A11" s="915"/>
      <c r="B11" s="916"/>
      <c r="C11" s="917"/>
      <c r="D11" s="922" t="s">
        <v>1002</v>
      </c>
      <c r="E11" s="919"/>
      <c r="F11" s="923">
        <f>B6/F9</f>
        <v>369.24616410940621</v>
      </c>
      <c r="G11" s="3" t="s">
        <v>1005</v>
      </c>
      <c r="H11" s="924" t="str">
        <f>IF(F11&gt;9.99, "OK", "Too Small")</f>
        <v>OK</v>
      </c>
      <c r="I11" s="3"/>
      <c r="J11" s="3"/>
      <c r="K11" s="3"/>
      <c r="L11" s="3"/>
      <c r="M11" s="3"/>
      <c r="N11" s="3"/>
      <c r="O11" s="3"/>
      <c r="P11" s="3"/>
      <c r="Q11" s="3"/>
      <c r="R11" s="28"/>
      <c r="S11" s="134"/>
      <c r="T11" s="908"/>
      <c r="U11" s="908"/>
    </row>
    <row r="12" spans="1:21" ht="13.5" thickBot="1">
      <c r="A12" s="548"/>
      <c r="B12" s="550"/>
      <c r="C12" s="94"/>
      <c r="D12" s="94"/>
      <c r="E12" s="4"/>
      <c r="F12" s="551"/>
      <c r="G12" s="94"/>
      <c r="H12" s="231"/>
      <c r="I12" s="94"/>
      <c r="J12" s="94"/>
      <c r="K12" s="94"/>
      <c r="L12" s="94"/>
      <c r="M12" s="94"/>
      <c r="N12" s="94"/>
      <c r="O12" s="94"/>
      <c r="P12" s="94"/>
      <c r="Q12" s="94"/>
      <c r="R12" s="552"/>
      <c r="S12" s="134"/>
      <c r="T12" s="908"/>
      <c r="U12" s="908"/>
    </row>
    <row r="13" spans="1:21">
      <c r="A13" s="752" t="s">
        <v>140</v>
      </c>
      <c r="B13" s="535" t="s">
        <v>129</v>
      </c>
      <c r="C13" s="536"/>
      <c r="D13" s="536"/>
      <c r="E13" s="536"/>
      <c r="F13" s="558"/>
      <c r="G13" s="80"/>
      <c r="H13" s="80"/>
      <c r="I13" s="80"/>
      <c r="J13" s="80"/>
      <c r="K13" s="96"/>
      <c r="L13" s="3"/>
      <c r="M13" s="3"/>
      <c r="N13" s="3"/>
      <c r="O13" s="3"/>
      <c r="P13" s="3"/>
      <c r="Q13" s="3"/>
      <c r="R13" s="908"/>
      <c r="S13" s="908"/>
      <c r="T13" s="908"/>
      <c r="U13" s="908"/>
    </row>
    <row r="14" spans="1:21" ht="13.5" thickBot="1">
      <c r="A14" s="940"/>
      <c r="B14" s="941"/>
      <c r="C14" s="940" t="s">
        <v>791</v>
      </c>
      <c r="D14" s="940"/>
      <c r="E14" s="940"/>
      <c r="F14" s="559" t="s">
        <v>55</v>
      </c>
      <c r="G14" s="560"/>
      <c r="H14" s="560"/>
      <c r="I14" s="561" t="s">
        <v>56</v>
      </c>
      <c r="J14" s="560"/>
      <c r="K14" s="562"/>
      <c r="L14" s="3"/>
      <c r="M14" s="3"/>
      <c r="N14" s="3"/>
      <c r="O14" s="3"/>
      <c r="P14" s="3"/>
      <c r="Q14" s="4"/>
      <c r="R14" s="908"/>
      <c r="S14" s="908"/>
      <c r="T14" s="908"/>
      <c r="U14" s="910"/>
    </row>
    <row r="15" spans="1:21" ht="13">
      <c r="A15" s="938"/>
      <c r="B15" s="938">
        <v>1E-4</v>
      </c>
      <c r="C15" s="939">
        <f>((SIN(RADIANS(B15)))^2)/B15^2</f>
        <v>3.046174197863993E-4</v>
      </c>
      <c r="D15" s="938">
        <f>C15*1000000</f>
        <v>304.6174197863993</v>
      </c>
      <c r="E15" s="939">
        <f>D15/304.6174</f>
        <v>1.0000000649549217</v>
      </c>
      <c r="F15" s="254">
        <v>0</v>
      </c>
      <c r="G15" s="252" t="s">
        <v>833</v>
      </c>
      <c r="H15" s="252"/>
      <c r="I15" s="263">
        <f>(S7*B15)/79.76</f>
        <v>1.1892044697778975E-7</v>
      </c>
      <c r="J15" s="264" t="s">
        <v>43</v>
      </c>
      <c r="K15" s="87"/>
      <c r="L15" s="3"/>
      <c r="M15" s="3"/>
      <c r="N15" s="3"/>
      <c r="O15" s="3"/>
      <c r="P15" s="3"/>
      <c r="Q15" s="3"/>
      <c r="R15" s="908"/>
      <c r="S15" s="909"/>
      <c r="T15" s="908"/>
      <c r="U15" s="911"/>
    </row>
    <row r="16" spans="1:21" ht="13">
      <c r="A16" s="938"/>
      <c r="B16" s="938">
        <v>0.1</v>
      </c>
      <c r="C16" s="939">
        <f>((SIN(RADIANS(B16)))^2)/B16^2</f>
        <v>3.0461711048092603E-4</v>
      </c>
      <c r="D16" s="938">
        <f>C16*1000000</f>
        <v>304.61711048092604</v>
      </c>
      <c r="E16" s="938">
        <f t="shared" ref="E16:E81" si="0">D16/304.6174</f>
        <v>0.99999904956488395</v>
      </c>
      <c r="F16" s="708">
        <f>10*LOG10(E16)</f>
        <v>-4.1276892246433878E-6</v>
      </c>
      <c r="G16" s="252" t="s">
        <v>833</v>
      </c>
      <c r="H16" s="252"/>
      <c r="I16" s="253">
        <f>(S7*B16)/79.76</f>
        <v>1.1892044697778976E-4</v>
      </c>
      <c r="J16" s="86"/>
      <c r="K16" s="87"/>
      <c r="L16" s="3"/>
      <c r="M16" s="3"/>
      <c r="N16" s="3"/>
      <c r="O16" s="3"/>
      <c r="P16" s="3"/>
      <c r="Q16" s="3"/>
      <c r="R16" s="908"/>
      <c r="S16" s="908"/>
      <c r="T16" s="908"/>
      <c r="U16" s="912"/>
    </row>
    <row r="17" spans="1:21" ht="13">
      <c r="A17" s="938" t="s">
        <v>791</v>
      </c>
      <c r="B17" s="938">
        <v>3.5</v>
      </c>
      <c r="C17" s="938">
        <f>((SIN(RADIANS(B17)))^2)/B17^2</f>
        <v>3.0423870851746797E-4</v>
      </c>
      <c r="D17" s="938">
        <f>C17*1000000</f>
        <v>304.23870851746796</v>
      </c>
      <c r="E17" s="938">
        <f t="shared" si="0"/>
        <v>0.99875682911569719</v>
      </c>
      <c r="F17" s="254">
        <f>10*LOG10(E17)</f>
        <v>-5.4023812889198589E-3</v>
      </c>
      <c r="G17" s="252" t="s">
        <v>833</v>
      </c>
      <c r="H17" s="252" t="s">
        <v>791</v>
      </c>
      <c r="I17" s="253">
        <f>(S7*B17)/79.76</f>
        <v>4.1622156442226417E-3</v>
      </c>
      <c r="J17" s="86" t="s">
        <v>791</v>
      </c>
      <c r="K17" s="87"/>
      <c r="L17" s="3"/>
      <c r="M17" s="3"/>
      <c r="N17" s="3"/>
      <c r="O17" s="3"/>
      <c r="P17" s="3"/>
      <c r="Q17" s="3"/>
      <c r="R17" s="908"/>
      <c r="S17" s="908"/>
      <c r="T17" s="908"/>
      <c r="U17" s="913"/>
    </row>
    <row r="18" spans="1:21" ht="13">
      <c r="A18" s="938"/>
      <c r="B18" s="938">
        <v>10</v>
      </c>
      <c r="C18" s="938">
        <f t="shared" ref="C18:C24" si="1">((SIN(RADIANS(B18)))^2)/B18^2</f>
        <v>3.0153689607045805E-4</v>
      </c>
      <c r="D18" s="938">
        <f t="shared" ref="D18:D83" si="2">C18*1000000</f>
        <v>301.53689607045806</v>
      </c>
      <c r="E18" s="938">
        <f t="shared" si="0"/>
        <v>0.98988730148198389</v>
      </c>
      <c r="F18" s="254">
        <f>10*LOG10(E18)</f>
        <v>-4.4142469484505009E-2</v>
      </c>
      <c r="G18" s="252" t="s">
        <v>833</v>
      </c>
      <c r="H18" s="252"/>
      <c r="I18" s="253">
        <f>(S7*B18)/79.76</f>
        <v>1.1892044697778974E-2</v>
      </c>
      <c r="J18" s="86"/>
      <c r="K18" s="87"/>
      <c r="L18" s="3"/>
      <c r="M18" s="3"/>
      <c r="N18" s="3"/>
      <c r="O18" s="3"/>
      <c r="P18" s="3"/>
      <c r="Q18" s="28"/>
      <c r="R18" s="908"/>
      <c r="S18" s="908"/>
      <c r="T18" s="908"/>
      <c r="U18" s="913"/>
    </row>
    <row r="19" spans="1:21" ht="13">
      <c r="A19" s="938"/>
      <c r="B19" s="938">
        <v>25</v>
      </c>
      <c r="C19" s="938">
        <f t="shared" si="1"/>
        <v>2.8576991225076853E-4</v>
      </c>
      <c r="D19" s="938">
        <f t="shared" si="2"/>
        <v>285.76991225076853</v>
      </c>
      <c r="E19" s="938">
        <f t="shared" si="0"/>
        <v>0.93812734351605831</v>
      </c>
      <c r="F19" s="256">
        <f t="shared" ref="F19:F84" si="3">10*LOG10(E19)</f>
        <v>-0.27738205509447322</v>
      </c>
      <c r="G19" s="252" t="s">
        <v>833</v>
      </c>
      <c r="H19" s="252"/>
      <c r="I19" s="255">
        <f>(S7*B19)/79.76</f>
        <v>2.9730111744447441E-2</v>
      </c>
      <c r="J19" s="86"/>
      <c r="K19" s="87"/>
      <c r="L19" s="3"/>
      <c r="M19" s="3"/>
      <c r="N19" s="3"/>
      <c r="O19" s="3"/>
      <c r="P19" s="3"/>
      <c r="Q19" s="554"/>
      <c r="R19" s="908"/>
      <c r="S19" s="908"/>
      <c r="T19" s="908"/>
      <c r="U19" s="913"/>
    </row>
    <row r="20" spans="1:21" ht="13">
      <c r="A20" s="938"/>
      <c r="B20" s="938">
        <v>30</v>
      </c>
      <c r="C20" s="938">
        <f t="shared" si="1"/>
        <v>2.7777777777777772E-4</v>
      </c>
      <c r="D20" s="938">
        <f t="shared" si="2"/>
        <v>277.77777777777771</v>
      </c>
      <c r="E20" s="938">
        <f t="shared" si="0"/>
        <v>0.91189071201375149</v>
      </c>
      <c r="F20" s="256">
        <f t="shared" si="3"/>
        <v>-0.4005720773893886</v>
      </c>
      <c r="G20" s="252" t="s">
        <v>833</v>
      </c>
      <c r="H20" s="252"/>
      <c r="I20" s="255">
        <f>(S7*B20)/79.76</f>
        <v>3.5676134093336927E-2</v>
      </c>
      <c r="J20" s="86"/>
      <c r="K20" s="87"/>
      <c r="L20" s="3"/>
      <c r="M20" s="3"/>
      <c r="N20" s="3"/>
      <c r="O20" s="3"/>
      <c r="P20" s="3"/>
      <c r="Q20" s="554"/>
      <c r="R20" s="908"/>
      <c r="S20" s="908"/>
      <c r="T20" s="908"/>
      <c r="U20" s="913"/>
    </row>
    <row r="21" spans="1:21" ht="13">
      <c r="A21" s="938"/>
      <c r="B21" s="938">
        <v>40</v>
      </c>
      <c r="C21" s="938">
        <f t="shared" si="1"/>
        <v>2.5823494447908422E-4</v>
      </c>
      <c r="D21" s="938">
        <f t="shared" si="2"/>
        <v>258.23494447908422</v>
      </c>
      <c r="E21" s="938">
        <f t="shared" si="0"/>
        <v>0.84773537059630943</v>
      </c>
      <c r="F21" s="256">
        <f t="shared" si="3"/>
        <v>-0.71739696122706598</v>
      </c>
      <c r="G21" s="252" t="s">
        <v>833</v>
      </c>
      <c r="H21" s="252"/>
      <c r="I21" s="947">
        <f>(S7*B21)/79.76</f>
        <v>4.7568178791115898E-2</v>
      </c>
      <c r="J21" s="86" t="s">
        <v>791</v>
      </c>
      <c r="K21" s="87"/>
      <c r="L21" s="3"/>
      <c r="M21" s="3"/>
      <c r="N21" s="3"/>
      <c r="O21" s="3"/>
      <c r="P21" s="3"/>
      <c r="Q21" s="554"/>
      <c r="R21" s="908"/>
      <c r="S21" s="908"/>
      <c r="T21" s="908"/>
      <c r="U21" s="913"/>
    </row>
    <row r="22" spans="1:21" ht="13">
      <c r="A22" s="938"/>
      <c r="B22" s="938">
        <v>47</v>
      </c>
      <c r="C22" s="938">
        <f t="shared" si="1"/>
        <v>2.4213591528839411E-4</v>
      </c>
      <c r="D22" s="938">
        <f t="shared" si="2"/>
        <v>242.1359152883941</v>
      </c>
      <c r="E22" s="938">
        <f t="shared" si="0"/>
        <v>0.79488537190716657</v>
      </c>
      <c r="F22" s="931">
        <f t="shared" si="3"/>
        <v>-0.99695495164283776</v>
      </c>
      <c r="G22" s="932" t="s">
        <v>833</v>
      </c>
      <c r="H22" s="932"/>
      <c r="I22" s="937">
        <f>(S7*B22)/79.76</f>
        <v>5.5892610079561179E-2</v>
      </c>
      <c r="J22" s="934"/>
      <c r="K22" s="935"/>
      <c r="L22" s="3"/>
      <c r="M22" s="3"/>
      <c r="N22" s="3"/>
      <c r="O22" s="3"/>
      <c r="P22" s="3"/>
      <c r="Q22" s="554"/>
      <c r="R22" s="908"/>
      <c r="S22" s="908"/>
      <c r="T22" s="908"/>
      <c r="U22" s="914"/>
    </row>
    <row r="23" spans="1:21" ht="13">
      <c r="A23" s="938"/>
      <c r="B23" s="938">
        <v>56.5</v>
      </c>
      <c r="C23" s="938">
        <f t="shared" si="1"/>
        <v>2.1782929414821425E-4</v>
      </c>
      <c r="D23" s="938">
        <f t="shared" si="2"/>
        <v>217.82929414821425</v>
      </c>
      <c r="E23" s="938">
        <f t="shared" si="0"/>
        <v>0.71509143649776497</v>
      </c>
      <c r="F23" s="256">
        <f t="shared" si="3"/>
        <v>-1.4563842277584849</v>
      </c>
      <c r="G23" s="252" t="s">
        <v>833</v>
      </c>
      <c r="H23" s="252"/>
      <c r="I23" s="255">
        <f>(S7*B23)/79.76</f>
        <v>6.7190052542451209E-2</v>
      </c>
      <c r="J23" s="86" t="s">
        <v>791</v>
      </c>
      <c r="K23" s="87"/>
      <c r="L23" s="3"/>
      <c r="M23" s="3"/>
      <c r="N23" s="3"/>
      <c r="O23" s="3"/>
      <c r="P23" s="3"/>
      <c r="Q23" s="554"/>
      <c r="R23" s="908"/>
      <c r="S23" s="908"/>
      <c r="T23" s="908"/>
      <c r="U23" s="914"/>
    </row>
    <row r="24" spans="1:21" ht="13">
      <c r="A24" s="938"/>
      <c r="B24" s="938">
        <v>60</v>
      </c>
      <c r="C24" s="938">
        <f t="shared" si="1"/>
        <v>2.0833333333333329E-4</v>
      </c>
      <c r="D24" s="938">
        <f t="shared" si="2"/>
        <v>208.33333333333329</v>
      </c>
      <c r="E24" s="938">
        <f t="shared" si="0"/>
        <v>0.68391803401031359</v>
      </c>
      <c r="F24" s="256">
        <f t="shared" si="3"/>
        <v>-1.6499594434723883</v>
      </c>
      <c r="G24" s="252" t="s">
        <v>833</v>
      </c>
      <c r="H24" s="252"/>
      <c r="I24" s="255">
        <f>(S7*B24)/79.76</f>
        <v>7.1352268186673853E-2</v>
      </c>
      <c r="J24" s="86"/>
      <c r="K24" s="87"/>
      <c r="L24" s="3"/>
      <c r="M24" s="3"/>
      <c r="N24" s="3"/>
      <c r="O24" s="3"/>
      <c r="P24" s="3"/>
      <c r="Q24" s="554"/>
      <c r="R24" s="908"/>
      <c r="S24" s="908"/>
      <c r="T24" s="908"/>
      <c r="U24" s="914"/>
    </row>
    <row r="25" spans="1:21" ht="13">
      <c r="A25" s="938"/>
      <c r="B25" s="938">
        <v>65</v>
      </c>
      <c r="C25" s="938">
        <f t="shared" ref="C25:C56" si="4">((SIN(RADIANS(B25)))^2)/B25^2</f>
        <v>1.9441273487414665E-4</v>
      </c>
      <c r="D25" s="938">
        <f>C25*1000000</f>
        <v>194.41273487414665</v>
      </c>
      <c r="E25" s="938">
        <f>D25/304.6174</f>
        <v>0.63821940202413474</v>
      </c>
      <c r="F25" s="936">
        <f>10*LOG10(E25)</f>
        <v>-1.9502999728456567</v>
      </c>
      <c r="G25" s="932" t="s">
        <v>833</v>
      </c>
      <c r="H25" s="932"/>
      <c r="I25" s="937">
        <f>(S7*B25)/79.76</f>
        <v>7.7298290535563335E-2</v>
      </c>
      <c r="J25" s="934"/>
      <c r="K25" s="935"/>
      <c r="L25" s="3"/>
      <c r="M25" s="3" t="s">
        <v>791</v>
      </c>
      <c r="N25" s="3"/>
      <c r="O25" s="3"/>
      <c r="P25" s="3"/>
      <c r="Q25" s="554"/>
      <c r="R25" s="917"/>
      <c r="S25" s="917"/>
      <c r="T25" s="917"/>
      <c r="U25" s="914"/>
    </row>
    <row r="26" spans="1:21" ht="13">
      <c r="A26" s="938"/>
      <c r="B26" s="938">
        <v>70</v>
      </c>
      <c r="C26" s="938">
        <f t="shared" si="4"/>
        <v>1.8020861664479364E-4</v>
      </c>
      <c r="D26" s="938">
        <f t="shared" si="2"/>
        <v>180.20861664479364</v>
      </c>
      <c r="E26" s="938">
        <f t="shared" si="0"/>
        <v>0.59159002947564276</v>
      </c>
      <c r="F26" s="256">
        <f t="shared" si="3"/>
        <v>-2.2797915411429233</v>
      </c>
      <c r="G26" s="252" t="s">
        <v>833</v>
      </c>
      <c r="H26" s="252"/>
      <c r="I26" s="255">
        <f>(S7*B26)/79.76</f>
        <v>8.3244312884452831E-2</v>
      </c>
      <c r="J26" s="86"/>
      <c r="K26" s="87"/>
      <c r="L26" s="3"/>
      <c r="M26" s="3"/>
      <c r="N26" s="3"/>
      <c r="O26" s="3"/>
      <c r="P26" s="3"/>
      <c r="Q26" s="555"/>
      <c r="R26" s="908"/>
      <c r="S26" s="909"/>
      <c r="T26" s="908"/>
      <c r="U26" s="912"/>
    </row>
    <row r="27" spans="1:21" ht="13">
      <c r="A27" s="938"/>
      <c r="B27" s="938">
        <v>79.760000000000005</v>
      </c>
      <c r="C27" s="938">
        <f t="shared" si="4"/>
        <v>1.5222403494475541E-4</v>
      </c>
      <c r="D27" s="938">
        <f t="shared" si="2"/>
        <v>152.2240349447554</v>
      </c>
      <c r="E27" s="938">
        <f t="shared" si="0"/>
        <v>0.49972206100096517</v>
      </c>
      <c r="F27" s="942">
        <f t="shared" si="3"/>
        <v>-3.0127147753460362</v>
      </c>
      <c r="G27" s="943" t="s">
        <v>833</v>
      </c>
      <c r="H27" s="943"/>
      <c r="I27" s="944">
        <f>(S7*B27)/79.76</f>
        <v>9.4850948509485111E-2</v>
      </c>
      <c r="J27" s="945" t="s">
        <v>53</v>
      </c>
      <c r="K27" s="946"/>
      <c r="L27" s="3"/>
      <c r="M27" s="3"/>
      <c r="N27" s="3"/>
      <c r="O27" s="3"/>
      <c r="P27" s="3"/>
      <c r="Q27" s="556"/>
      <c r="R27" s="908"/>
      <c r="S27" s="908"/>
      <c r="T27" s="908"/>
      <c r="U27" s="914"/>
    </row>
    <row r="28" spans="1:21" ht="13">
      <c r="A28" s="938"/>
      <c r="B28" s="938">
        <v>80</v>
      </c>
      <c r="C28" s="938">
        <f t="shared" si="4"/>
        <v>1.5153848599889908E-4</v>
      </c>
      <c r="D28" s="938">
        <f t="shared" si="2"/>
        <v>151.53848599889909</v>
      </c>
      <c r="E28" s="938">
        <f t="shared" si="0"/>
        <v>0.49747153642207931</v>
      </c>
      <c r="F28" s="254">
        <f t="shared" si="3"/>
        <v>-3.032317630156677</v>
      </c>
      <c r="G28" s="252" t="s">
        <v>833</v>
      </c>
      <c r="H28" s="252"/>
      <c r="I28" s="255">
        <f>(S7*B28)/79.76</f>
        <v>9.5136357582231795E-2</v>
      </c>
      <c r="J28" s="86" t="s">
        <v>791</v>
      </c>
      <c r="K28" s="87"/>
      <c r="L28" s="3"/>
      <c r="M28" s="3"/>
      <c r="N28" s="3"/>
      <c r="O28" s="3"/>
      <c r="P28" s="3"/>
      <c r="Q28" s="554"/>
      <c r="R28" s="908"/>
      <c r="S28" s="908"/>
      <c r="T28" s="908"/>
      <c r="U28" s="914"/>
    </row>
    <row r="29" spans="1:21" ht="13">
      <c r="A29" s="938"/>
      <c r="B29" s="938">
        <v>90.8</v>
      </c>
      <c r="C29" s="938">
        <f t="shared" si="4"/>
        <v>1.2126727880419004E-4</v>
      </c>
      <c r="D29" s="938">
        <f t="shared" si="2"/>
        <v>121.26727880419004</v>
      </c>
      <c r="E29" s="938">
        <f t="shared" si="0"/>
        <v>0.39809701876580278</v>
      </c>
      <c r="F29" s="931">
        <f t="shared" si="3"/>
        <v>-4.000110747103232</v>
      </c>
      <c r="G29" s="932" t="s">
        <v>833</v>
      </c>
      <c r="H29" s="932"/>
      <c r="I29" s="933">
        <f>(S7*B29)/79.76</f>
        <v>0.10797976585583309</v>
      </c>
      <c r="J29" s="934"/>
      <c r="K29" s="935"/>
      <c r="L29" s="3"/>
      <c r="M29" s="3"/>
      <c r="N29" s="3"/>
      <c r="O29" s="3"/>
      <c r="P29" s="3"/>
      <c r="Q29" s="554"/>
      <c r="R29" s="908"/>
      <c r="S29" s="908"/>
      <c r="T29" s="908"/>
      <c r="U29" s="914"/>
    </row>
    <row r="30" spans="1:21" ht="13">
      <c r="A30" s="938"/>
      <c r="B30" s="938">
        <v>100</v>
      </c>
      <c r="C30" s="938">
        <f t="shared" si="4"/>
        <v>9.6984631039295408E-5</v>
      </c>
      <c r="D30" s="938">
        <f t="shared" si="2"/>
        <v>96.984631039295408</v>
      </c>
      <c r="E30" s="938">
        <f t="shared" si="0"/>
        <v>0.31838178331013073</v>
      </c>
      <c r="F30" s="936">
        <f t="shared" si="3"/>
        <v>-4.9705178903178053</v>
      </c>
      <c r="G30" s="932" t="s">
        <v>833</v>
      </c>
      <c r="H30" s="932"/>
      <c r="I30" s="937">
        <f>(S7*B30)/79.76</f>
        <v>0.11892044697778976</v>
      </c>
      <c r="J30" s="934"/>
      <c r="K30" s="935"/>
      <c r="L30" s="3"/>
      <c r="M30" s="3"/>
      <c r="N30" s="3"/>
      <c r="O30" s="3"/>
      <c r="P30" s="3"/>
      <c r="Q30" s="554"/>
      <c r="R30" s="908"/>
      <c r="S30" s="908"/>
      <c r="T30" s="908"/>
      <c r="U30" s="914"/>
    </row>
    <row r="31" spans="1:21" ht="13">
      <c r="A31" s="938"/>
      <c r="B31" s="938">
        <v>110</v>
      </c>
      <c r="C31" s="938">
        <f t="shared" si="4"/>
        <v>7.2977043104090002E-5</v>
      </c>
      <c r="D31" s="938">
        <f t="shared" si="2"/>
        <v>72.977043104090001</v>
      </c>
      <c r="E31" s="938">
        <f t="shared" si="0"/>
        <v>0.23956951606864876</v>
      </c>
      <c r="F31" s="256">
        <f t="shared" si="3"/>
        <v>-6.2056844440222871</v>
      </c>
      <c r="G31" s="252" t="s">
        <v>833</v>
      </c>
      <c r="H31" s="252"/>
      <c r="I31" s="255">
        <f>(S7*B31)/79.76</f>
        <v>0.13081249167556874</v>
      </c>
      <c r="J31" s="86"/>
      <c r="K31" s="87"/>
      <c r="L31" s="3"/>
      <c r="M31" s="3"/>
      <c r="N31" s="3"/>
      <c r="O31" s="3"/>
      <c r="P31" s="3"/>
      <c r="Q31" s="554"/>
      <c r="R31" s="908"/>
      <c r="S31" s="908"/>
      <c r="T31" s="908"/>
      <c r="U31" s="914"/>
    </row>
    <row r="32" spans="1:21" ht="13">
      <c r="A32" s="938"/>
      <c r="B32" s="938">
        <v>122</v>
      </c>
      <c r="C32" s="938">
        <f t="shared" si="4"/>
        <v>4.8319374724169503E-5</v>
      </c>
      <c r="D32" s="938">
        <f t="shared" si="2"/>
        <v>48.319374724169499</v>
      </c>
      <c r="E32" s="938">
        <f t="shared" si="0"/>
        <v>0.15862316047661593</v>
      </c>
      <c r="F32" s="936">
        <f t="shared" si="3"/>
        <v>-7.9963340130062619</v>
      </c>
      <c r="G32" s="932" t="s">
        <v>833</v>
      </c>
      <c r="H32" s="932"/>
      <c r="I32" s="933">
        <f>(S7*B32)/79.76</f>
        <v>0.1450829453129035</v>
      </c>
      <c r="J32" s="934"/>
      <c r="K32" s="935"/>
      <c r="L32" s="3"/>
      <c r="M32" s="3"/>
      <c r="N32" s="3"/>
      <c r="O32" s="3"/>
      <c r="P32" s="3"/>
      <c r="Q32" s="554"/>
      <c r="R32" s="908"/>
      <c r="S32" s="908"/>
      <c r="T32" s="908"/>
      <c r="U32" s="914"/>
    </row>
    <row r="33" spans="1:21" ht="13">
      <c r="A33" s="938"/>
      <c r="B33" s="938">
        <v>130</v>
      </c>
      <c r="C33" s="938">
        <f t="shared" si="4"/>
        <v>3.4723318865885511E-5</v>
      </c>
      <c r="D33" s="938">
        <f t="shared" si="2"/>
        <v>34.72331886588551</v>
      </c>
      <c r="E33" s="938">
        <f t="shared" si="0"/>
        <v>0.11398993907073435</v>
      </c>
      <c r="F33" s="256">
        <f t="shared" si="3"/>
        <v>-9.4313347847828624</v>
      </c>
      <c r="G33" s="252" t="s">
        <v>833</v>
      </c>
      <c r="H33" s="252"/>
      <c r="I33" s="255">
        <f>(S7*B33)/79.76</f>
        <v>0.15459658107112667</v>
      </c>
      <c r="J33" s="86"/>
      <c r="K33" s="87"/>
      <c r="L33" s="3"/>
      <c r="M33" s="3"/>
      <c r="N33" s="3"/>
      <c r="O33" s="3"/>
      <c r="P33" s="3"/>
      <c r="Q33" s="554"/>
      <c r="R33" s="908"/>
      <c r="S33" s="908"/>
      <c r="T33" s="908"/>
      <c r="U33" s="914"/>
    </row>
    <row r="34" spans="1:21" ht="13">
      <c r="A34" s="938"/>
      <c r="B34" s="938">
        <v>132.85</v>
      </c>
      <c r="C34" s="938">
        <f t="shared" si="4"/>
        <v>3.0454169232105675E-5</v>
      </c>
      <c r="D34" s="938">
        <f>C34*1000000</f>
        <v>30.454169232105674</v>
      </c>
      <c r="E34" s="938">
        <f>D34/304.6174</f>
        <v>9.9975146633467668E-2</v>
      </c>
      <c r="F34" s="931">
        <f>10*LOG10(E34)</f>
        <v>-10.001079502146041</v>
      </c>
      <c r="G34" s="932" t="s">
        <v>833</v>
      </c>
      <c r="H34" s="932"/>
      <c r="I34" s="937">
        <f>(S7*B34)/79.76</f>
        <v>0.15798581380999369</v>
      </c>
      <c r="J34" s="934"/>
      <c r="K34" s="935"/>
      <c r="L34" s="3"/>
      <c r="M34" s="3"/>
      <c r="N34" s="3"/>
      <c r="O34" s="3"/>
      <c r="P34" s="3"/>
      <c r="Q34" s="554"/>
      <c r="R34" s="917"/>
      <c r="S34" s="917"/>
      <c r="T34" s="917"/>
      <c r="U34" s="914"/>
    </row>
    <row r="35" spans="1:21" ht="13">
      <c r="A35" s="938"/>
      <c r="B35" s="938">
        <v>140</v>
      </c>
      <c r="C35" s="938">
        <f t="shared" si="4"/>
        <v>2.1080403630945664E-5</v>
      </c>
      <c r="D35" s="938">
        <f t="shared" si="2"/>
        <v>21.080403630945664</v>
      </c>
      <c r="E35" s="938">
        <f t="shared" si="0"/>
        <v>6.9202887395617141E-2</v>
      </c>
      <c r="F35" s="256">
        <f t="shared" si="3"/>
        <v>-11.598757848232577</v>
      </c>
      <c r="G35" s="252" t="s">
        <v>833</v>
      </c>
      <c r="H35" s="252"/>
      <c r="I35" s="255">
        <f>(S7*B35)/79.76</f>
        <v>0.16648862576890566</v>
      </c>
      <c r="J35" s="86" t="s">
        <v>791</v>
      </c>
      <c r="K35" s="87"/>
      <c r="L35" s="3"/>
      <c r="M35" s="3"/>
      <c r="N35" s="3"/>
      <c r="O35" s="3"/>
      <c r="P35" s="3"/>
      <c r="Q35" s="554"/>
      <c r="R35" s="908"/>
      <c r="S35" s="908"/>
      <c r="T35" s="908"/>
      <c r="U35" s="914"/>
    </row>
    <row r="36" spans="1:21" ht="13">
      <c r="A36" s="938"/>
      <c r="B36" s="938">
        <v>150</v>
      </c>
      <c r="C36" s="938">
        <f t="shared" si="4"/>
        <v>1.1111111111111108E-5</v>
      </c>
      <c r="D36" s="938">
        <f t="shared" si="2"/>
        <v>11.111111111111109</v>
      </c>
      <c r="E36" s="938">
        <f t="shared" si="0"/>
        <v>3.6475628480550061E-2</v>
      </c>
      <c r="F36" s="256">
        <f t="shared" si="3"/>
        <v>-14.379972164109764</v>
      </c>
      <c r="G36" s="252" t="s">
        <v>833</v>
      </c>
      <c r="H36" s="252"/>
      <c r="I36" s="255">
        <f>(S7*B36)/79.76</f>
        <v>0.17838067046668463</v>
      </c>
      <c r="J36" s="86"/>
      <c r="K36" s="87"/>
      <c r="L36" s="3"/>
      <c r="M36" s="3"/>
      <c r="N36" s="3"/>
      <c r="O36" s="3"/>
      <c r="P36" s="3"/>
      <c r="Q36" s="554"/>
      <c r="R36" s="908"/>
      <c r="S36" s="908"/>
      <c r="T36" s="908"/>
      <c r="U36" s="914"/>
    </row>
    <row r="37" spans="1:21" ht="13">
      <c r="A37" s="938"/>
      <c r="B37" s="938">
        <v>160</v>
      </c>
      <c r="C37" s="938">
        <f t="shared" si="4"/>
        <v>4.5694444703324642E-6</v>
      </c>
      <c r="D37" s="938">
        <f t="shared" si="2"/>
        <v>4.5694444703324644</v>
      </c>
      <c r="E37" s="938">
        <f t="shared" si="0"/>
        <v>1.5000602297611576E-2</v>
      </c>
      <c r="F37" s="256">
        <f t="shared" si="3"/>
        <v>-18.23891302992466</v>
      </c>
      <c r="G37" s="252" t="s">
        <v>833</v>
      </c>
      <c r="H37" s="252"/>
      <c r="I37" s="255">
        <f>(S7*B37)/79.76</f>
        <v>0.19027271516446359</v>
      </c>
      <c r="J37" s="86"/>
      <c r="K37" s="87"/>
      <c r="L37" s="3"/>
      <c r="M37" s="3"/>
      <c r="N37" s="3"/>
      <c r="O37" s="3"/>
      <c r="P37" s="3"/>
      <c r="Q37" s="554"/>
      <c r="R37" s="908"/>
      <c r="S37" s="908"/>
      <c r="T37" s="908"/>
      <c r="U37" s="914"/>
    </row>
    <row r="38" spans="1:21" ht="13">
      <c r="A38" s="938">
        <v>170</v>
      </c>
      <c r="B38" s="938">
        <v>172.5</v>
      </c>
      <c r="C38" s="938">
        <f t="shared" si="4"/>
        <v>5.7255490377536986E-7</v>
      </c>
      <c r="D38" s="938">
        <f t="shared" si="2"/>
        <v>0.57255490377536988</v>
      </c>
      <c r="E38" s="938">
        <f t="shared" si="0"/>
        <v>1.8795869959344737E-3</v>
      </c>
      <c r="F38" s="256">
        <f t="shared" si="3"/>
        <v>-27.259375683380821</v>
      </c>
      <c r="G38" s="252" t="s">
        <v>833</v>
      </c>
      <c r="H38" s="252"/>
      <c r="I38" s="253">
        <f>(S7*B38)/79.76</f>
        <v>0.20513777103668729</v>
      </c>
      <c r="J38" s="86"/>
      <c r="K38" s="87"/>
      <c r="L38" s="3"/>
      <c r="M38" s="3"/>
      <c r="N38" s="3"/>
      <c r="O38" s="3"/>
      <c r="P38" s="3"/>
      <c r="Q38" s="554"/>
      <c r="R38" s="908"/>
      <c r="S38" s="908"/>
      <c r="T38" s="908"/>
      <c r="U38" s="914"/>
    </row>
    <row r="39" spans="1:21" ht="13">
      <c r="A39" s="938"/>
      <c r="B39" s="938">
        <v>180</v>
      </c>
      <c r="C39" s="938">
        <f t="shared" si="4"/>
        <v>4.6326812856943794E-37</v>
      </c>
      <c r="D39" s="938">
        <f t="shared" si="2"/>
        <v>4.6326812856943792E-31</v>
      </c>
      <c r="E39" s="938">
        <f t="shared" si="0"/>
        <v>1.5208196530120668E-33</v>
      </c>
      <c r="F39" s="257">
        <f t="shared" si="3"/>
        <v>-328.17922283873054</v>
      </c>
      <c r="G39" s="252" t="s">
        <v>833</v>
      </c>
      <c r="H39" s="252"/>
      <c r="I39" s="258">
        <f>(S7*B39)/79.76</f>
        <v>0.21405680456002157</v>
      </c>
      <c r="J39" s="191" t="s">
        <v>44</v>
      </c>
      <c r="K39" s="87"/>
      <c r="L39" s="3"/>
      <c r="M39" s="3"/>
      <c r="N39" s="3"/>
      <c r="O39" s="3"/>
      <c r="P39" s="3"/>
      <c r="Q39" s="554"/>
      <c r="R39" s="908"/>
      <c r="S39" s="908"/>
      <c r="T39" s="908"/>
      <c r="U39" s="914"/>
    </row>
    <row r="40" spans="1:21" ht="13">
      <c r="A40" s="938"/>
      <c r="B40" s="938">
        <v>190</v>
      </c>
      <c r="C40" s="938">
        <f t="shared" si="4"/>
        <v>8.3528226058298746E-7</v>
      </c>
      <c r="D40" s="938">
        <f t="shared" si="2"/>
        <v>0.83528226058298749</v>
      </c>
      <c r="E40" s="938">
        <f t="shared" si="0"/>
        <v>2.7420700872077155E-3</v>
      </c>
      <c r="F40" s="256">
        <f t="shared" si="3"/>
        <v>-25.619214488541079</v>
      </c>
      <c r="G40" s="252" t="s">
        <v>833</v>
      </c>
      <c r="H40" s="252"/>
      <c r="I40" s="255">
        <f>(S7*B40)/79.76</f>
        <v>0.22594884925780051</v>
      </c>
      <c r="J40" s="86"/>
      <c r="K40" s="87"/>
      <c r="L40" s="3"/>
      <c r="M40" s="3"/>
      <c r="N40" s="3"/>
      <c r="O40" s="3"/>
      <c r="P40" s="3"/>
      <c r="Q40" s="554"/>
      <c r="R40" s="908"/>
      <c r="S40" s="908"/>
      <c r="T40" s="908"/>
      <c r="U40" s="914"/>
    </row>
    <row r="41" spans="1:21" ht="13">
      <c r="A41" s="938"/>
      <c r="B41" s="938">
        <v>200</v>
      </c>
      <c r="C41" s="938">
        <f t="shared" si="4"/>
        <v>2.924444461012773E-6</v>
      </c>
      <c r="D41" s="938">
        <f t="shared" si="2"/>
        <v>2.9244444610127731</v>
      </c>
      <c r="E41" s="938">
        <f t="shared" si="0"/>
        <v>9.6003854704713957E-3</v>
      </c>
      <c r="F41" s="256">
        <f t="shared" si="3"/>
        <v>-20.177113290085799</v>
      </c>
      <c r="G41" s="252" t="s">
        <v>833</v>
      </c>
      <c r="H41" s="252"/>
      <c r="I41" s="255">
        <f>(S7*B41)/79.76</f>
        <v>0.23784089395557953</v>
      </c>
      <c r="J41" s="86"/>
      <c r="K41" s="87"/>
      <c r="L41" s="3"/>
      <c r="M41" s="3"/>
      <c r="N41" s="3"/>
      <c r="O41" s="3"/>
      <c r="P41" s="3"/>
      <c r="Q41" s="554"/>
      <c r="R41" s="908"/>
      <c r="S41" s="908"/>
      <c r="T41" s="908"/>
      <c r="U41" s="914"/>
    </row>
    <row r="42" spans="1:21" ht="13">
      <c r="A42" s="938"/>
      <c r="B42" s="938">
        <v>210</v>
      </c>
      <c r="C42" s="938">
        <f t="shared" si="4"/>
        <v>5.6689342403628144E-6</v>
      </c>
      <c r="D42" s="938">
        <f t="shared" si="2"/>
        <v>5.6689342403628142</v>
      </c>
      <c r="E42" s="938">
        <f t="shared" si="0"/>
        <v>1.86100145308929E-2</v>
      </c>
      <c r="F42" s="256">
        <f t="shared" si="3"/>
        <v>-17.302532877674523</v>
      </c>
      <c r="G42" s="252" t="s">
        <v>833</v>
      </c>
      <c r="H42" s="252"/>
      <c r="I42" s="255">
        <f>(S7*B42)/79.76</f>
        <v>0.24973293865335847</v>
      </c>
      <c r="J42" s="86"/>
      <c r="K42" s="87"/>
      <c r="L42" s="3"/>
      <c r="M42" s="3"/>
      <c r="N42" s="3"/>
      <c r="O42" s="3"/>
      <c r="P42" s="3"/>
      <c r="Q42" s="554"/>
      <c r="R42" s="908"/>
      <c r="S42" s="908"/>
      <c r="T42" s="908"/>
      <c r="U42" s="914"/>
    </row>
    <row r="43" spans="1:21" ht="13">
      <c r="A43" s="938"/>
      <c r="B43" s="938">
        <v>220</v>
      </c>
      <c r="C43" s="938">
        <f t="shared" si="4"/>
        <v>8.5366923794738577E-6</v>
      </c>
      <c r="D43" s="938">
        <f t="shared" si="2"/>
        <v>8.5366923794738572</v>
      </c>
      <c r="E43" s="938">
        <f t="shared" si="0"/>
        <v>2.8024309771778822E-2</v>
      </c>
      <c r="F43" s="256">
        <f t="shared" si="3"/>
        <v>-15.524650751111944</v>
      </c>
      <c r="G43" s="252" t="s">
        <v>833</v>
      </c>
      <c r="H43" s="252"/>
      <c r="I43" s="255">
        <f>(S7*B43)/79.76</f>
        <v>0.26162498335113749</v>
      </c>
      <c r="J43" s="86"/>
      <c r="K43" s="87"/>
      <c r="L43" s="3"/>
      <c r="M43" s="3"/>
      <c r="N43" s="3"/>
      <c r="O43" s="3"/>
      <c r="P43" s="3"/>
      <c r="Q43" s="554"/>
      <c r="R43" s="908"/>
      <c r="S43" s="908"/>
      <c r="T43" s="908"/>
      <c r="U43" s="914"/>
    </row>
    <row r="44" spans="1:21" ht="13">
      <c r="A44" s="938"/>
      <c r="B44" s="938">
        <v>230</v>
      </c>
      <c r="C44" s="938">
        <f t="shared" si="4"/>
        <v>1.1093082964715783E-5</v>
      </c>
      <c r="D44" s="938">
        <f t="shared" si="2"/>
        <v>11.093082964715784</v>
      </c>
      <c r="E44" s="938">
        <f t="shared" si="0"/>
        <v>3.6416445563240266E-2</v>
      </c>
      <c r="F44" s="256">
        <f t="shared" si="3"/>
        <v>-14.387024458997985</v>
      </c>
      <c r="G44" s="252" t="s">
        <v>833</v>
      </c>
      <c r="H44" s="252"/>
      <c r="I44" s="255">
        <f>(S7*B44)/79.76</f>
        <v>0.27351702804891642</v>
      </c>
      <c r="J44" s="86"/>
      <c r="K44" s="87"/>
      <c r="L44" s="3"/>
      <c r="M44" s="3"/>
      <c r="N44" s="3"/>
      <c r="O44" s="3"/>
      <c r="P44" s="3"/>
      <c r="Q44" s="554"/>
      <c r="R44" s="908"/>
      <c r="S44" s="908"/>
      <c r="T44" s="908"/>
      <c r="U44" s="914"/>
    </row>
    <row r="45" spans="1:21" ht="13">
      <c r="A45" s="938"/>
      <c r="B45" s="938">
        <v>240</v>
      </c>
      <c r="C45" s="938">
        <f t="shared" si="4"/>
        <v>1.3020833333333326E-5</v>
      </c>
      <c r="D45" s="938">
        <f t="shared" si="2"/>
        <v>13.020833333333325</v>
      </c>
      <c r="E45" s="938">
        <f t="shared" si="0"/>
        <v>4.2744877125644586E-2</v>
      </c>
      <c r="F45" s="256">
        <f t="shared" si="3"/>
        <v>-13.691159270031637</v>
      </c>
      <c r="G45" s="252" t="s">
        <v>833</v>
      </c>
      <c r="H45" s="252"/>
      <c r="I45" s="255">
        <f>(S7*B45)/79.76</f>
        <v>0.28540907274669541</v>
      </c>
      <c r="J45" s="86"/>
      <c r="K45" s="87"/>
      <c r="L45" s="3"/>
      <c r="M45" s="3"/>
      <c r="N45" s="3"/>
      <c r="O45" s="3"/>
      <c r="P45" s="3"/>
      <c r="Q45" s="554"/>
      <c r="R45" s="908"/>
      <c r="S45" s="909"/>
      <c r="T45" s="908"/>
      <c r="U45" s="914"/>
    </row>
    <row r="46" spans="1:21" ht="13">
      <c r="A46" s="938"/>
      <c r="B46" s="938">
        <v>250</v>
      </c>
      <c r="C46" s="938">
        <f t="shared" si="4"/>
        <v>1.4128355544951825E-5</v>
      </c>
      <c r="D46" s="938">
        <f t="shared" si="2"/>
        <v>14.128355544951825</v>
      </c>
      <c r="E46" s="938">
        <f t="shared" si="0"/>
        <v>4.6380658310890402E-2</v>
      </c>
      <c r="F46" s="259">
        <f t="shared" si="3"/>
        <v>-13.336630914298537</v>
      </c>
      <c r="G46" s="252" t="s">
        <v>833</v>
      </c>
      <c r="H46" s="252"/>
      <c r="I46" s="260">
        <f>(S7*B46)/79.76</f>
        <v>0.29730111744447435</v>
      </c>
      <c r="J46" s="261" t="s">
        <v>45</v>
      </c>
      <c r="K46" s="262"/>
      <c r="L46" s="3"/>
      <c r="M46" s="3"/>
      <c r="N46" s="3"/>
      <c r="O46" s="3"/>
      <c r="P46" s="3"/>
      <c r="Q46" s="554"/>
      <c r="R46" s="908"/>
      <c r="S46" s="908"/>
      <c r="T46" s="908"/>
      <c r="U46" s="914"/>
    </row>
    <row r="47" spans="1:21" ht="13">
      <c r="A47" s="938"/>
      <c r="B47" s="938">
        <v>260</v>
      </c>
      <c r="C47" s="938">
        <f t="shared" si="4"/>
        <v>1.4346838911138375E-5</v>
      </c>
      <c r="D47" s="938">
        <f t="shared" si="2"/>
        <v>14.346838911138374</v>
      </c>
      <c r="E47" s="938">
        <f t="shared" si="0"/>
        <v>4.7097896939368451E-2</v>
      </c>
      <c r="F47" s="256">
        <f t="shared" si="3"/>
        <v>-13.269984849734165</v>
      </c>
      <c r="G47" s="252" t="s">
        <v>833</v>
      </c>
      <c r="H47" s="252"/>
      <c r="I47" s="255">
        <f>(S7*B47)/79.76</f>
        <v>0.30919316214225334</v>
      </c>
      <c r="J47" s="86"/>
      <c r="K47" s="87"/>
      <c r="L47" s="3"/>
      <c r="M47" s="3"/>
      <c r="N47" s="3"/>
      <c r="O47" s="3"/>
      <c r="P47" s="3"/>
      <c r="Q47" s="554"/>
      <c r="R47" s="908"/>
      <c r="S47" s="908"/>
      <c r="T47" s="908"/>
      <c r="U47" s="914"/>
    </row>
    <row r="48" spans="1:21" ht="13">
      <c r="A48" s="938"/>
      <c r="B48" s="938">
        <v>270</v>
      </c>
      <c r="C48" s="938">
        <f t="shared" si="4"/>
        <v>1.3717421124828532E-5</v>
      </c>
      <c r="D48" s="938">
        <f t="shared" si="2"/>
        <v>13.717421124828531</v>
      </c>
      <c r="E48" s="938">
        <f t="shared" si="0"/>
        <v>4.5031640099444527E-2</v>
      </c>
      <c r="F48" s="256">
        <f t="shared" si="3"/>
        <v>-13.464822352896261</v>
      </c>
      <c r="G48" s="252" t="s">
        <v>833</v>
      </c>
      <c r="H48" s="252"/>
      <c r="I48" s="255">
        <f>(S7*B48)/79.76</f>
        <v>0.32108520684003233</v>
      </c>
      <c r="J48" s="86"/>
      <c r="K48" s="87"/>
      <c r="L48" s="3"/>
      <c r="M48" s="3"/>
      <c r="N48" s="3"/>
      <c r="O48" s="3"/>
      <c r="P48" s="3"/>
      <c r="Q48" s="554"/>
      <c r="R48" s="908"/>
      <c r="S48" s="908"/>
      <c r="T48" s="908"/>
      <c r="U48" s="914"/>
    </row>
    <row r="49" spans="1:21" ht="13">
      <c r="A49" s="938"/>
      <c r="B49" s="938">
        <v>280</v>
      </c>
      <c r="C49" s="938">
        <f t="shared" si="4"/>
        <v>1.2370488652971357E-5</v>
      </c>
      <c r="D49" s="938">
        <f t="shared" si="2"/>
        <v>12.370488652971357</v>
      </c>
      <c r="E49" s="938">
        <f t="shared" si="0"/>
        <v>4.0609921340577913E-2</v>
      </c>
      <c r="F49" s="256">
        <f t="shared" si="3"/>
        <v>-13.91367851716219</v>
      </c>
      <c r="G49" s="252" t="s">
        <v>833</v>
      </c>
      <c r="H49" s="252"/>
      <c r="I49" s="255">
        <f>(S7*B49)/79.76</f>
        <v>0.33297725153781133</v>
      </c>
      <c r="J49" s="86"/>
      <c r="K49" s="87"/>
      <c r="L49" s="3"/>
      <c r="M49" s="3"/>
      <c r="N49" s="3"/>
      <c r="O49" s="3"/>
      <c r="P49" s="3"/>
      <c r="Q49" s="554"/>
      <c r="R49" s="908"/>
      <c r="S49" s="908"/>
      <c r="T49" s="908"/>
      <c r="U49" s="914"/>
    </row>
    <row r="50" spans="1:21" ht="13">
      <c r="A50" s="938"/>
      <c r="B50" s="938">
        <v>290</v>
      </c>
      <c r="C50" s="938">
        <f t="shared" si="4"/>
        <v>1.0499669697496894E-5</v>
      </c>
      <c r="D50" s="938">
        <f t="shared" si="2"/>
        <v>10.499669697496895</v>
      </c>
      <c r="E50" s="938">
        <f t="shared" si="0"/>
        <v>3.4468384594894763E-2</v>
      </c>
      <c r="F50" s="256">
        <f t="shared" si="3"/>
        <v>-14.625790698836909</v>
      </c>
      <c r="G50" s="252" t="s">
        <v>833</v>
      </c>
      <c r="H50" s="252"/>
      <c r="I50" s="255">
        <f>(S7*B50)/79.76</f>
        <v>0.34486929623559026</v>
      </c>
      <c r="J50" s="86"/>
      <c r="K50" s="87"/>
      <c r="L50" s="3"/>
      <c r="M50" s="3"/>
      <c r="N50" s="3"/>
      <c r="O50" s="3"/>
      <c r="P50" s="3"/>
      <c r="Q50" s="554"/>
      <c r="R50" s="908"/>
      <c r="S50" s="908"/>
      <c r="T50" s="908"/>
      <c r="U50" s="914"/>
    </row>
    <row r="51" spans="1:21" ht="13">
      <c r="A51" s="938"/>
      <c r="B51" s="938">
        <v>300</v>
      </c>
      <c r="C51" s="938">
        <f t="shared" si="4"/>
        <v>8.333333333333332E-6</v>
      </c>
      <c r="D51" s="938">
        <f t="shared" si="2"/>
        <v>8.3333333333333321</v>
      </c>
      <c r="E51" s="938">
        <f t="shared" si="0"/>
        <v>2.7356721360412548E-2</v>
      </c>
      <c r="F51" s="256">
        <f t="shared" si="3"/>
        <v>-15.629359530192763</v>
      </c>
      <c r="G51" s="252" t="s">
        <v>833</v>
      </c>
      <c r="H51" s="252"/>
      <c r="I51" s="255">
        <f>(S7*B51)/79.76</f>
        <v>0.35676134093336925</v>
      </c>
      <c r="J51" s="86"/>
      <c r="K51" s="87"/>
      <c r="L51" s="3"/>
      <c r="M51" s="3"/>
      <c r="N51" s="3"/>
      <c r="O51" s="3"/>
      <c r="P51" s="3"/>
      <c r="Q51" s="554"/>
      <c r="R51" s="908"/>
      <c r="S51" s="908"/>
      <c r="T51" s="908"/>
      <c r="U51" s="914"/>
    </row>
    <row r="52" spans="1:21" ht="13">
      <c r="A52" s="938"/>
      <c r="B52" s="938">
        <v>310</v>
      </c>
      <c r="C52" s="938">
        <f t="shared" si="4"/>
        <v>6.1063901023253407E-6</v>
      </c>
      <c r="D52" s="938">
        <f t="shared" si="2"/>
        <v>6.1063901023253404</v>
      </c>
      <c r="E52" s="938">
        <f t="shared" si="0"/>
        <v>2.0046097505675452E-2</v>
      </c>
      <c r="F52" s="256">
        <f t="shared" si="3"/>
        <v>-16.979701615331578</v>
      </c>
      <c r="G52" s="252" t="s">
        <v>833</v>
      </c>
      <c r="H52" s="252"/>
      <c r="I52" s="255">
        <f>(S7*B52)/79.76</f>
        <v>0.36865338563114819</v>
      </c>
      <c r="J52" s="86"/>
      <c r="K52" s="87"/>
      <c r="L52" s="3"/>
      <c r="M52" s="3"/>
      <c r="N52" s="3"/>
      <c r="O52" s="3"/>
      <c r="P52" s="3"/>
      <c r="Q52" s="554"/>
      <c r="R52" s="908"/>
      <c r="S52" s="908"/>
      <c r="T52" s="908"/>
      <c r="U52" s="914"/>
    </row>
    <row r="53" spans="1:21" ht="13">
      <c r="A53" s="938"/>
      <c r="B53" s="938">
        <v>320</v>
      </c>
      <c r="C53" s="938">
        <f t="shared" si="4"/>
        <v>4.0349210074856952E-6</v>
      </c>
      <c r="D53" s="938">
        <f t="shared" si="2"/>
        <v>4.0349210074856954</v>
      </c>
      <c r="E53" s="938">
        <f t="shared" si="0"/>
        <v>1.3245865165567351E-2</v>
      </c>
      <c r="F53" s="256">
        <f t="shared" si="3"/>
        <v>-18.779196701065931</v>
      </c>
      <c r="G53" s="252" t="s">
        <v>833</v>
      </c>
      <c r="H53" s="252"/>
      <c r="I53" s="255">
        <f>(S7*B53)/79.76</f>
        <v>0.38054543032892718</v>
      </c>
      <c r="J53" s="86"/>
      <c r="K53" s="87"/>
      <c r="L53" s="3"/>
      <c r="M53" s="3"/>
      <c r="N53" s="3"/>
      <c r="O53" s="3"/>
      <c r="P53" s="3"/>
      <c r="Q53" s="554"/>
      <c r="R53" s="908"/>
      <c r="S53" s="908"/>
      <c r="T53" s="908"/>
      <c r="U53" s="914"/>
    </row>
    <row r="54" spans="1:21" ht="13">
      <c r="A54" s="938"/>
      <c r="B54" s="938">
        <v>330</v>
      </c>
      <c r="C54" s="938">
        <f t="shared" si="4"/>
        <v>2.2956841138659359E-6</v>
      </c>
      <c r="D54" s="938">
        <f t="shared" si="2"/>
        <v>2.2956841138659358</v>
      </c>
      <c r="E54" s="938">
        <f t="shared" si="0"/>
        <v>7.5362868761467208E-3</v>
      </c>
      <c r="F54" s="256">
        <f t="shared" si="3"/>
        <v>-21.228425780553884</v>
      </c>
      <c r="G54" s="252" t="s">
        <v>833</v>
      </c>
      <c r="H54" s="252" t="s">
        <v>791</v>
      </c>
      <c r="I54" s="255">
        <f>(S7*B54)/79.76</f>
        <v>0.39243747502670617</v>
      </c>
      <c r="J54" s="86"/>
      <c r="K54" s="87"/>
      <c r="L54" s="3"/>
      <c r="M54" s="3"/>
      <c r="N54" s="3"/>
      <c r="O54" s="3"/>
      <c r="P54" s="3"/>
      <c r="Q54" s="554"/>
      <c r="R54" s="908"/>
      <c r="S54" s="908"/>
      <c r="T54" s="908"/>
      <c r="U54" s="914"/>
    </row>
    <row r="55" spans="1:21" ht="13">
      <c r="A55" s="938"/>
      <c r="B55" s="938">
        <v>340</v>
      </c>
      <c r="C55" s="938">
        <f t="shared" si="4"/>
        <v>1.0119184986203364E-6</v>
      </c>
      <c r="D55" s="938">
        <f t="shared" si="2"/>
        <v>1.0119184986203364</v>
      </c>
      <c r="E55" s="938">
        <f t="shared" si="0"/>
        <v>3.3219326887444266E-3</v>
      </c>
      <c r="F55" s="256">
        <f t="shared" si="3"/>
        <v>-24.786091717651274</v>
      </c>
      <c r="G55" s="252" t="s">
        <v>833</v>
      </c>
      <c r="H55" s="252"/>
      <c r="I55" s="255">
        <f>(S7*B55)/79.76</f>
        <v>0.40432951972448516</v>
      </c>
      <c r="J55" s="86"/>
      <c r="K55" s="87"/>
      <c r="L55" s="3"/>
      <c r="M55" s="3"/>
      <c r="N55" s="3"/>
      <c r="O55" s="3"/>
      <c r="P55" s="3"/>
      <c r="Q55" s="554"/>
      <c r="R55" s="908"/>
      <c r="S55" s="908"/>
      <c r="T55" s="908"/>
      <c r="U55" s="914"/>
    </row>
    <row r="56" spans="1:21" ht="13">
      <c r="A56" s="938"/>
      <c r="B56" s="938">
        <v>350</v>
      </c>
      <c r="C56" s="938">
        <f t="shared" si="4"/>
        <v>2.4615256822078222E-7</v>
      </c>
      <c r="D56" s="938">
        <f t="shared" si="2"/>
        <v>0.24615256822078221</v>
      </c>
      <c r="E56" s="938">
        <f t="shared" si="0"/>
        <v>8.0807126651590564E-4</v>
      </c>
      <c r="F56" s="256">
        <f t="shared" si="3"/>
        <v>-30.925503356490015</v>
      </c>
      <c r="G56" s="252" t="s">
        <v>833</v>
      </c>
      <c r="H56" s="252"/>
      <c r="I56" s="255">
        <f>(S7*B56)/79.76</f>
        <v>0.41622156442226416</v>
      </c>
      <c r="J56" s="86"/>
      <c r="K56" s="87"/>
      <c r="L56" s="3"/>
      <c r="M56" s="3"/>
      <c r="N56" s="3"/>
      <c r="O56" s="3"/>
      <c r="P56" s="3"/>
      <c r="Q56" s="554"/>
      <c r="R56" s="908"/>
      <c r="S56" s="909"/>
      <c r="T56" s="908"/>
      <c r="U56" s="914"/>
    </row>
    <row r="57" spans="1:21" ht="13">
      <c r="A57" s="938"/>
      <c r="B57" s="938">
        <v>360</v>
      </c>
      <c r="C57" s="938">
        <f t="shared" ref="C57:C88" si="5">((SIN(RADIANS(B57)))^2)/B57^2</f>
        <v>4.6326812856943794E-37</v>
      </c>
      <c r="D57" s="938">
        <f t="shared" si="2"/>
        <v>4.6326812856943792E-31</v>
      </c>
      <c r="E57" s="938">
        <f t="shared" si="0"/>
        <v>1.5208196530120668E-33</v>
      </c>
      <c r="F57" s="257">
        <f t="shared" si="3"/>
        <v>-328.17922283873054</v>
      </c>
      <c r="G57" s="252" t="s">
        <v>833</v>
      </c>
      <c r="H57" s="252"/>
      <c r="I57" s="258">
        <f>(S7*B57)/79.76</f>
        <v>0.42811360912004315</v>
      </c>
      <c r="J57" s="261" t="s">
        <v>46</v>
      </c>
      <c r="K57" s="87"/>
      <c r="L57" s="3"/>
      <c r="M57" s="3"/>
      <c r="N57" s="3"/>
      <c r="O57" s="3"/>
      <c r="P57" s="3"/>
      <c r="Q57" s="554"/>
      <c r="R57" s="908"/>
      <c r="S57" s="908"/>
      <c r="T57" s="908"/>
      <c r="U57" s="914"/>
    </row>
    <row r="58" spans="1:21" ht="13">
      <c r="A58" s="938"/>
      <c r="B58" s="938">
        <v>370</v>
      </c>
      <c r="C58" s="938">
        <f t="shared" si="5"/>
        <v>2.2026069837140728E-7</v>
      </c>
      <c r="D58" s="938">
        <f t="shared" si="2"/>
        <v>0.22026069837140727</v>
      </c>
      <c r="E58" s="938">
        <f t="shared" si="0"/>
        <v>7.230732662395756E-4</v>
      </c>
      <c r="F58" s="256">
        <f t="shared" si="3"/>
        <v>-31.408176950824426</v>
      </c>
      <c r="G58" s="252" t="s">
        <v>833</v>
      </c>
      <c r="H58" s="252"/>
      <c r="I58" s="255">
        <f>(S7*B58)/79.76</f>
        <v>0.44000565381782203</v>
      </c>
      <c r="J58" s="86"/>
      <c r="K58" s="87"/>
      <c r="L58" s="3"/>
      <c r="M58" s="3"/>
      <c r="N58" s="3"/>
      <c r="O58" s="3"/>
      <c r="P58" s="3"/>
      <c r="Q58" s="554"/>
      <c r="R58" s="908"/>
      <c r="S58" s="908"/>
      <c r="T58" s="908"/>
      <c r="U58" s="914"/>
    </row>
    <row r="59" spans="1:21" ht="13">
      <c r="A59" s="938"/>
      <c r="B59" s="938">
        <v>380</v>
      </c>
      <c r="C59" s="938">
        <f t="shared" si="5"/>
        <v>8.1009541856309637E-7</v>
      </c>
      <c r="D59" s="938">
        <f t="shared" si="2"/>
        <v>0.81009541856309641</v>
      </c>
      <c r="E59" s="938">
        <f t="shared" si="0"/>
        <v>2.6593865569172885E-3</v>
      </c>
      <c r="F59" s="256">
        <f t="shared" si="3"/>
        <v>-25.752185309142369</v>
      </c>
      <c r="G59" s="252" t="s">
        <v>833</v>
      </c>
      <c r="H59" s="252"/>
      <c r="I59" s="255">
        <f>(S7*B59)/79.76</f>
        <v>0.45189769851560102</v>
      </c>
      <c r="J59" s="86"/>
      <c r="K59" s="87"/>
      <c r="L59" s="3"/>
      <c r="M59" s="3"/>
      <c r="N59" s="3"/>
      <c r="O59" s="3"/>
      <c r="P59" s="3"/>
      <c r="Q59" s="554"/>
      <c r="R59" s="908"/>
      <c r="S59" s="908"/>
      <c r="T59" s="908"/>
      <c r="U59" s="914"/>
    </row>
    <row r="60" spans="1:21" ht="13">
      <c r="A60" s="938"/>
      <c r="B60" s="938">
        <v>390</v>
      </c>
      <c r="C60" s="938">
        <f t="shared" si="5"/>
        <v>1.643655489809336E-6</v>
      </c>
      <c r="D60" s="938">
        <f t="shared" si="2"/>
        <v>1.6436554898093361</v>
      </c>
      <c r="E60" s="938">
        <f t="shared" si="0"/>
        <v>5.39580302966717E-3</v>
      </c>
      <c r="F60" s="256">
        <f t="shared" si="3"/>
        <v>-22.679439123526123</v>
      </c>
      <c r="G60" s="252" t="s">
        <v>833</v>
      </c>
      <c r="H60" s="252"/>
      <c r="I60" s="255">
        <f>(S7*B60)/79.76</f>
        <v>0.46378974321338007</v>
      </c>
      <c r="J60" s="86"/>
      <c r="K60" s="87"/>
      <c r="L60" s="3"/>
      <c r="M60" s="3"/>
      <c r="N60" s="3"/>
      <c r="O60" s="3"/>
      <c r="P60" s="3"/>
      <c r="Q60" s="554"/>
      <c r="R60" s="908"/>
      <c r="S60" s="908"/>
      <c r="T60" s="908"/>
      <c r="U60" s="914"/>
    </row>
    <row r="61" spans="1:21" ht="13">
      <c r="A61" s="938"/>
      <c r="B61" s="938">
        <v>400</v>
      </c>
      <c r="C61" s="938">
        <f t="shared" si="5"/>
        <v>2.5823494447908412E-6</v>
      </c>
      <c r="D61" s="938">
        <f t="shared" si="2"/>
        <v>2.5823494447908413</v>
      </c>
      <c r="E61" s="938">
        <f t="shared" si="0"/>
        <v>8.4773537059630918E-3</v>
      </c>
      <c r="F61" s="256">
        <f t="shared" si="3"/>
        <v>-20.717396961227067</v>
      </c>
      <c r="G61" s="252" t="s">
        <v>833</v>
      </c>
      <c r="H61" s="252"/>
      <c r="I61" s="255">
        <f>(S7*B61)/79.76</f>
        <v>0.47568178791115906</v>
      </c>
      <c r="J61" s="86"/>
      <c r="K61" s="87"/>
      <c r="L61" s="3"/>
      <c r="M61" s="3"/>
      <c r="N61" s="3"/>
      <c r="O61" s="3"/>
      <c r="P61" s="3"/>
      <c r="Q61" s="554"/>
      <c r="R61" s="908"/>
      <c r="S61" s="908"/>
      <c r="T61" s="908"/>
      <c r="U61" s="914"/>
    </row>
    <row r="62" spans="1:21" ht="13">
      <c r="A62" s="938"/>
      <c r="B62" s="938">
        <v>410</v>
      </c>
      <c r="C62" s="938">
        <f t="shared" si="5"/>
        <v>3.4909225986523783E-6</v>
      </c>
      <c r="D62" s="938">
        <f t="shared" si="2"/>
        <v>3.4909225986523782</v>
      </c>
      <c r="E62" s="938">
        <f t="shared" si="0"/>
        <v>1.1460023618652048E-2</v>
      </c>
      <c r="F62" s="256">
        <f t="shared" si="3"/>
        <v>-19.40814487304084</v>
      </c>
      <c r="G62" s="252" t="s">
        <v>833</v>
      </c>
      <c r="H62" s="252"/>
      <c r="I62" s="255">
        <f>(S7*B62)/79.76</f>
        <v>0.48757383260893794</v>
      </c>
      <c r="J62" s="86"/>
      <c r="K62" s="87"/>
      <c r="L62" s="3"/>
      <c r="M62" s="3"/>
      <c r="N62" s="3"/>
      <c r="O62" s="3"/>
      <c r="P62" s="3"/>
      <c r="Q62" s="554"/>
      <c r="R62" s="908"/>
      <c r="S62" s="908"/>
      <c r="T62" s="908"/>
      <c r="U62" s="914"/>
    </row>
    <row r="63" spans="1:21" ht="13">
      <c r="A63" s="938"/>
      <c r="B63" s="938">
        <v>420</v>
      </c>
      <c r="C63" s="938">
        <f t="shared" si="5"/>
        <v>4.2517006802721104E-6</v>
      </c>
      <c r="D63" s="938">
        <f t="shared" si="2"/>
        <v>4.2517006802721102</v>
      </c>
      <c r="E63" s="938">
        <f t="shared" si="0"/>
        <v>1.3957510898169673E-2</v>
      </c>
      <c r="F63" s="256">
        <f t="shared" si="3"/>
        <v>-18.551920243757522</v>
      </c>
      <c r="G63" s="252" t="s">
        <v>833</v>
      </c>
      <c r="H63" s="252"/>
      <c r="I63" s="255">
        <f>(S7*B63)/79.76</f>
        <v>0.49946587730671693</v>
      </c>
      <c r="J63" s="86"/>
      <c r="K63" s="87"/>
      <c r="L63" s="3"/>
      <c r="M63" s="3"/>
      <c r="N63" s="3"/>
      <c r="O63" s="3"/>
      <c r="P63" s="3"/>
      <c r="Q63" s="554"/>
      <c r="R63" s="908"/>
      <c r="S63" s="908"/>
      <c r="T63" s="908"/>
      <c r="U63" s="914"/>
    </row>
    <row r="64" spans="1:21" ht="13">
      <c r="A64" s="938"/>
      <c r="B64" s="938">
        <v>430</v>
      </c>
      <c r="C64" s="938">
        <f t="shared" si="5"/>
        <v>4.7756745352054575E-6</v>
      </c>
      <c r="D64" s="938">
        <f t="shared" si="2"/>
        <v>4.7756745352054573</v>
      </c>
      <c r="E64" s="938">
        <f t="shared" si="0"/>
        <v>1.5677615708116009E-2</v>
      </c>
      <c r="F64" s="256">
        <f t="shared" si="3"/>
        <v>-18.047199852449516</v>
      </c>
      <c r="G64" s="252" t="s">
        <v>833</v>
      </c>
      <c r="H64" s="252"/>
      <c r="I64" s="255">
        <f>(S7*B64)/79.76</f>
        <v>0.51135792200449592</v>
      </c>
      <c r="J64" s="86"/>
      <c r="K64" s="87"/>
      <c r="L64" s="3"/>
      <c r="M64" s="3"/>
      <c r="N64" s="3"/>
      <c r="O64" s="3"/>
      <c r="P64" s="3"/>
      <c r="Q64" s="554"/>
      <c r="R64" s="908"/>
      <c r="S64" s="909"/>
      <c r="T64" s="908"/>
      <c r="U64" s="914"/>
    </row>
    <row r="65" spans="1:21" ht="13">
      <c r="A65" s="938"/>
      <c r="B65" s="938">
        <v>440</v>
      </c>
      <c r="C65" s="938">
        <f t="shared" si="5"/>
        <v>5.0095367272363332E-6</v>
      </c>
      <c r="D65" s="938">
        <f t="shared" si="2"/>
        <v>5.0095367272363331</v>
      </c>
      <c r="E65" s="938">
        <f t="shared" si="0"/>
        <v>1.6445340047010884E-2</v>
      </c>
      <c r="F65" s="259">
        <f t="shared" si="3"/>
        <v>-17.839571420041555</v>
      </c>
      <c r="G65" s="252" t="s">
        <v>833</v>
      </c>
      <c r="H65" s="252"/>
      <c r="I65" s="260">
        <f>(S7*B65)/79.76</f>
        <v>0.52324996670227497</v>
      </c>
      <c r="J65" s="261" t="s">
        <v>47</v>
      </c>
      <c r="K65" s="262"/>
      <c r="L65" s="3"/>
      <c r="M65" s="3"/>
      <c r="N65" s="3"/>
      <c r="O65" s="3"/>
      <c r="P65" s="3"/>
      <c r="Q65" s="554"/>
      <c r="R65" s="908"/>
      <c r="S65" s="908"/>
      <c r="T65" s="908"/>
      <c r="U65" s="914"/>
    </row>
    <row r="66" spans="1:21" ht="13">
      <c r="A66" s="938"/>
      <c r="B66" s="938">
        <v>450</v>
      </c>
      <c r="C66" s="938">
        <f t="shared" si="5"/>
        <v>4.9382716049382717E-6</v>
      </c>
      <c r="D66" s="938">
        <f t="shared" si="2"/>
        <v>4.9382716049382713</v>
      </c>
      <c r="E66" s="938">
        <f t="shared" si="0"/>
        <v>1.6211390435800031E-2</v>
      </c>
      <c r="F66" s="256">
        <f t="shared" si="3"/>
        <v>-17.90179734522339</v>
      </c>
      <c r="G66" s="252" t="s">
        <v>833</v>
      </c>
      <c r="H66" s="252"/>
      <c r="I66" s="255">
        <f>(S7*B66)/79.76</f>
        <v>0.5351420114000538</v>
      </c>
      <c r="J66" s="86"/>
      <c r="K66" s="87"/>
      <c r="L66" s="3"/>
      <c r="M66" s="3"/>
      <c r="N66" s="3"/>
      <c r="O66" s="3"/>
      <c r="P66" s="3"/>
      <c r="Q66" s="554"/>
      <c r="R66" s="908"/>
      <c r="S66" s="908"/>
      <c r="T66" s="908"/>
      <c r="U66" s="914"/>
    </row>
    <row r="67" spans="1:21" ht="13">
      <c r="A67" s="938"/>
      <c r="B67" s="938">
        <v>460</v>
      </c>
      <c r="C67" s="938">
        <f t="shared" si="5"/>
        <v>4.5833946615924115E-6</v>
      </c>
      <c r="D67" s="938">
        <f t="shared" si="2"/>
        <v>4.5833946615924113</v>
      </c>
      <c r="E67" s="938">
        <f t="shared" si="0"/>
        <v>1.5046398077038316E-2</v>
      </c>
      <c r="F67" s="256">
        <f t="shared" si="3"/>
        <v>-18.225674523949287</v>
      </c>
      <c r="G67" s="252" t="s">
        <v>833</v>
      </c>
      <c r="H67" s="252"/>
      <c r="I67" s="255">
        <f>(S7*B67)/79.76</f>
        <v>0.54703405609783284</v>
      </c>
      <c r="J67" s="86"/>
      <c r="K67" s="87"/>
      <c r="L67" s="3"/>
      <c r="M67" s="3"/>
      <c r="N67" s="3"/>
      <c r="O67" s="3"/>
      <c r="P67" s="3"/>
      <c r="Q67" s="554"/>
      <c r="R67" s="908"/>
      <c r="S67" s="908"/>
      <c r="T67" s="908"/>
      <c r="U67" s="914"/>
    </row>
    <row r="68" spans="1:21" ht="13">
      <c r="A68" s="938"/>
      <c r="B68" s="938">
        <v>470</v>
      </c>
      <c r="C68" s="938">
        <f t="shared" si="5"/>
        <v>3.9973844344023967E-6</v>
      </c>
      <c r="D68" s="938">
        <f t="shared" si="2"/>
        <v>3.9973844344023965</v>
      </c>
      <c r="E68" s="938">
        <f t="shared" si="0"/>
        <v>1.3122639857087602E-2</v>
      </c>
      <c r="F68" s="256">
        <f t="shared" si="3"/>
        <v>-18.819787899572134</v>
      </c>
      <c r="G68" s="252" t="s">
        <v>833</v>
      </c>
      <c r="H68" s="252"/>
      <c r="I68" s="255">
        <f>(S7*B68)/79.76</f>
        <v>0.55892610079561178</v>
      </c>
      <c r="J68" s="86"/>
      <c r="K68" s="87"/>
      <c r="L68" s="3"/>
      <c r="M68" s="3"/>
      <c r="N68" s="3"/>
      <c r="O68" s="3"/>
      <c r="P68" s="3"/>
      <c r="Q68" s="554"/>
      <c r="R68" s="908"/>
      <c r="S68" s="908"/>
      <c r="T68" s="908"/>
      <c r="U68" s="914"/>
    </row>
    <row r="69" spans="1:21" ht="13">
      <c r="A69" s="938"/>
      <c r="B69" s="938">
        <v>480</v>
      </c>
      <c r="C69" s="938">
        <f t="shared" si="5"/>
        <v>3.2552083333333374E-6</v>
      </c>
      <c r="D69" s="938">
        <f t="shared" si="2"/>
        <v>3.2552083333333375</v>
      </c>
      <c r="E69" s="938">
        <f t="shared" si="0"/>
        <v>1.0686219281411165E-2</v>
      </c>
      <c r="F69" s="256">
        <f t="shared" si="3"/>
        <v>-19.711759183311251</v>
      </c>
      <c r="G69" s="252" t="s">
        <v>833</v>
      </c>
      <c r="H69" s="252"/>
      <c r="I69" s="255">
        <f>(S7*B69)/79.76</f>
        <v>0.57081814549339083</v>
      </c>
      <c r="J69" s="86"/>
      <c r="K69" s="87"/>
      <c r="L69" s="3"/>
      <c r="M69" s="3"/>
      <c r="N69" s="3"/>
      <c r="O69" s="3"/>
      <c r="P69" s="3"/>
      <c r="Q69" s="554"/>
      <c r="R69" s="908"/>
      <c r="S69" s="908"/>
      <c r="T69" s="908"/>
      <c r="U69" s="914"/>
    </row>
    <row r="70" spans="1:21" ht="13">
      <c r="A70" s="938"/>
      <c r="B70" s="938">
        <v>490</v>
      </c>
      <c r="C70" s="938">
        <f t="shared" si="5"/>
        <v>2.4440820026383361E-6</v>
      </c>
      <c r="D70" s="938">
        <f t="shared" si="2"/>
        <v>2.4440820026383361</v>
      </c>
      <c r="E70" s="938">
        <f t="shared" si="0"/>
        <v>8.023448439381126E-3</v>
      </c>
      <c r="F70" s="256">
        <f t="shared" si="3"/>
        <v>-20.956389339216408</v>
      </c>
      <c r="G70" s="252" t="s">
        <v>833</v>
      </c>
      <c r="H70" s="252"/>
      <c r="I70" s="255">
        <f>(S7*B70)/79.76</f>
        <v>0.58271019019116987</v>
      </c>
      <c r="J70" s="86"/>
      <c r="K70" s="87"/>
      <c r="L70" s="3"/>
      <c r="M70" s="3"/>
      <c r="N70" s="3"/>
      <c r="O70" s="3"/>
      <c r="P70" s="3"/>
      <c r="Q70" s="554"/>
      <c r="R70" s="908"/>
      <c r="S70" s="908"/>
      <c r="T70" s="908"/>
      <c r="U70" s="914"/>
    </row>
    <row r="71" spans="1:21" ht="13">
      <c r="A71" s="938"/>
      <c r="B71" s="938">
        <v>500</v>
      </c>
      <c r="C71" s="938">
        <f t="shared" si="5"/>
        <v>1.6527036446661378E-6</v>
      </c>
      <c r="D71" s="938">
        <f t="shared" si="2"/>
        <v>1.6527036446661378</v>
      </c>
      <c r="E71" s="938">
        <f t="shared" si="0"/>
        <v>5.4255063718163764E-3</v>
      </c>
      <c r="F71" s="256">
        <f t="shared" si="3"/>
        <v>-22.655597221388199</v>
      </c>
      <c r="G71" s="252" t="s">
        <v>833</v>
      </c>
      <c r="H71" s="252"/>
      <c r="I71" s="255">
        <f>(S7*B71)/79.76</f>
        <v>0.5946022348889487</v>
      </c>
      <c r="J71" s="86"/>
      <c r="K71" s="87"/>
      <c r="L71" s="3"/>
      <c r="M71" s="3"/>
      <c r="N71" s="3"/>
      <c r="O71" s="3"/>
      <c r="P71" s="3"/>
      <c r="Q71" s="554"/>
      <c r="R71" s="908"/>
      <c r="S71" s="908"/>
      <c r="T71" s="908"/>
      <c r="U71" s="914"/>
    </row>
    <row r="72" spans="1:21" ht="13">
      <c r="A72" s="938"/>
      <c r="B72" s="938">
        <v>510</v>
      </c>
      <c r="C72" s="938">
        <f t="shared" si="5"/>
        <v>9.6116878123798444E-7</v>
      </c>
      <c r="D72" s="938">
        <f t="shared" si="2"/>
        <v>0.96116878123798444</v>
      </c>
      <c r="E72" s="938">
        <f t="shared" si="0"/>
        <v>3.1553311834385841E-3</v>
      </c>
      <c r="F72" s="256">
        <f t="shared" si="3"/>
        <v>-25.009550504954873</v>
      </c>
      <c r="G72" s="252" t="s">
        <v>833</v>
      </c>
      <c r="H72" s="252"/>
      <c r="I72" s="255">
        <f>(S7*B72)/79.76</f>
        <v>0.60649427958672775</v>
      </c>
      <c r="J72" s="86"/>
      <c r="K72" s="87"/>
      <c r="L72" s="3"/>
      <c r="M72" s="3"/>
      <c r="N72" s="3"/>
      <c r="O72" s="3"/>
      <c r="P72" s="3"/>
      <c r="Q72" s="554"/>
      <c r="R72" s="908"/>
      <c r="S72" s="908"/>
      <c r="T72" s="908"/>
      <c r="U72" s="914"/>
    </row>
    <row r="73" spans="1:21" ht="13">
      <c r="A73" s="938"/>
      <c r="B73" s="938">
        <v>520</v>
      </c>
      <c r="C73" s="938">
        <f t="shared" si="5"/>
        <v>4.3261012736875356E-7</v>
      </c>
      <c r="D73" s="938">
        <f t="shared" si="2"/>
        <v>0.43261012736875354</v>
      </c>
      <c r="E73" s="938">
        <f t="shared" si="0"/>
        <v>1.4201753654543489E-3</v>
      </c>
      <c r="F73" s="256">
        <f t="shared" si="3"/>
        <v>-28.476580249502152</v>
      </c>
      <c r="G73" s="252" t="s">
        <v>833</v>
      </c>
      <c r="H73" s="252"/>
      <c r="I73" s="255">
        <f>(S7*B73)/79.76</f>
        <v>0.61838632428450668</v>
      </c>
      <c r="J73" s="86"/>
      <c r="K73" s="87"/>
      <c r="L73" s="3"/>
      <c r="M73" s="3"/>
      <c r="N73" s="3"/>
      <c r="O73" s="3"/>
      <c r="P73" s="3"/>
      <c r="Q73" s="554"/>
      <c r="R73" s="908"/>
      <c r="S73" s="908"/>
      <c r="T73" s="908"/>
      <c r="U73" s="914"/>
    </row>
    <row r="74" spans="1:21" ht="13">
      <c r="A74" s="938"/>
      <c r="B74" s="938">
        <v>530</v>
      </c>
      <c r="C74" s="938">
        <f t="shared" si="5"/>
        <v>1.0734670561426081E-7</v>
      </c>
      <c r="D74" s="938">
        <f t="shared" si="2"/>
        <v>0.10734670561426081</v>
      </c>
      <c r="E74" s="938">
        <f t="shared" si="0"/>
        <v>3.5239846973370801E-4</v>
      </c>
      <c r="F74" s="256">
        <f t="shared" si="3"/>
        <v>-34.529659861500278</v>
      </c>
      <c r="G74" s="252" t="s">
        <v>833</v>
      </c>
      <c r="H74" s="252"/>
      <c r="I74" s="255">
        <f>(S7*B74)/79.76</f>
        <v>0.63027836898228573</v>
      </c>
      <c r="J74" s="86"/>
      <c r="K74" s="87"/>
      <c r="L74" s="3"/>
      <c r="M74" s="3"/>
      <c r="N74" s="3"/>
      <c r="O74" s="3"/>
      <c r="P74" s="3"/>
      <c r="Q74" s="554"/>
      <c r="R74" s="908"/>
      <c r="S74" s="909"/>
      <c r="T74" s="908"/>
      <c r="U74" s="914"/>
    </row>
    <row r="75" spans="1:21" ht="13">
      <c r="A75" s="938"/>
      <c r="B75" s="938">
        <v>540</v>
      </c>
      <c r="C75" s="938">
        <f t="shared" si="5"/>
        <v>4.6326812856943794E-37</v>
      </c>
      <c r="D75" s="938">
        <f t="shared" si="2"/>
        <v>4.6326812856943792E-31</v>
      </c>
      <c r="E75" s="938">
        <f t="shared" si="0"/>
        <v>1.5208196530120668E-33</v>
      </c>
      <c r="F75" s="257">
        <f t="shared" si="3"/>
        <v>-328.17922283873054</v>
      </c>
      <c r="G75" s="252" t="s">
        <v>833</v>
      </c>
      <c r="H75" s="252"/>
      <c r="I75" s="258">
        <f>(S7*B75)/79.76</f>
        <v>0.64217041368006467</v>
      </c>
      <c r="J75" s="261" t="s">
        <v>48</v>
      </c>
      <c r="K75" s="87"/>
      <c r="L75" s="3"/>
      <c r="M75" s="3"/>
      <c r="N75" s="3"/>
      <c r="O75" s="3"/>
      <c r="P75" s="3"/>
      <c r="Q75" s="554"/>
      <c r="R75" s="908"/>
      <c r="S75" s="908"/>
      <c r="T75" s="908"/>
      <c r="U75" s="914"/>
    </row>
    <row r="76" spans="1:21" ht="13">
      <c r="A76" s="938"/>
      <c r="B76" s="938">
        <v>550</v>
      </c>
      <c r="C76" s="938">
        <f t="shared" si="5"/>
        <v>9.9681618535687958E-8</v>
      </c>
      <c r="D76" s="938">
        <f t="shared" si="2"/>
        <v>9.9681618535687952E-2</v>
      </c>
      <c r="E76" s="938">
        <f t="shared" si="0"/>
        <v>3.2723547156429005E-4</v>
      </c>
      <c r="F76" s="256">
        <f t="shared" si="3"/>
        <v>-34.851396259369409</v>
      </c>
      <c r="G76" s="252" t="s">
        <v>833</v>
      </c>
      <c r="H76" s="252"/>
      <c r="I76" s="255">
        <f>(S7*B76)/79.76</f>
        <v>0.6540624583778436</v>
      </c>
      <c r="J76" s="86"/>
      <c r="K76" s="87"/>
      <c r="L76" s="3"/>
      <c r="M76" s="3"/>
      <c r="N76" s="3"/>
      <c r="O76" s="3"/>
      <c r="P76" s="3"/>
      <c r="Q76" s="554"/>
      <c r="R76" s="908"/>
      <c r="S76" s="908"/>
      <c r="T76" s="908"/>
      <c r="U76" s="914"/>
    </row>
    <row r="77" spans="1:21" ht="13">
      <c r="A77" s="938"/>
      <c r="B77" s="938">
        <v>560</v>
      </c>
      <c r="C77" s="938">
        <f t="shared" si="5"/>
        <v>3.7301587512917883E-7</v>
      </c>
      <c r="D77" s="938">
        <f t="shared" si="2"/>
        <v>0.37301587512917883</v>
      </c>
      <c r="E77" s="938">
        <f t="shared" si="0"/>
        <v>1.2245389630703265E-3</v>
      </c>
      <c r="F77" s="256">
        <f t="shared" si="3"/>
        <v>-29.120273916930199</v>
      </c>
      <c r="G77" s="252" t="s">
        <v>833</v>
      </c>
      <c r="H77" s="252"/>
      <c r="I77" s="255">
        <f>(S7*B77)/79.76</f>
        <v>0.66595450307562265</v>
      </c>
      <c r="J77" s="86"/>
      <c r="K77" s="87"/>
      <c r="L77" s="3"/>
      <c r="M77" s="3"/>
      <c r="N77" s="3"/>
      <c r="O77" s="3"/>
      <c r="P77" s="3"/>
      <c r="Q77" s="554"/>
      <c r="R77" s="908"/>
      <c r="S77" s="908"/>
      <c r="T77" s="908"/>
      <c r="U77" s="914"/>
    </row>
    <row r="78" spans="1:21" ht="13">
      <c r="A78" s="938"/>
      <c r="B78" s="938">
        <v>570</v>
      </c>
      <c r="C78" s="938">
        <f t="shared" si="5"/>
        <v>7.6946752847029604E-7</v>
      </c>
      <c r="D78" s="938">
        <f t="shared" si="2"/>
        <v>0.76946752847029609</v>
      </c>
      <c r="E78" s="938">
        <f t="shared" si="0"/>
        <v>2.5260130526696643E-3</v>
      </c>
      <c r="F78" s="256">
        <f t="shared" si="3"/>
        <v>-25.975644096445979</v>
      </c>
      <c r="G78" s="252" t="s">
        <v>833</v>
      </c>
      <c r="H78" s="252"/>
      <c r="I78" s="255">
        <f>(S7*B78)/79.76</f>
        <v>0.67784654777340159</v>
      </c>
      <c r="J78" s="86"/>
      <c r="K78" s="87"/>
      <c r="L78" s="3"/>
      <c r="M78" s="3"/>
      <c r="N78" s="3"/>
      <c r="O78" s="3"/>
      <c r="P78" s="3"/>
      <c r="Q78" s="554"/>
      <c r="R78" s="908"/>
      <c r="S78" s="908"/>
      <c r="T78" s="908"/>
      <c r="U78" s="914"/>
    </row>
    <row r="79" spans="1:21" ht="13">
      <c r="A79" s="938"/>
      <c r="B79" s="938">
        <v>580</v>
      </c>
      <c r="C79" s="938">
        <f t="shared" si="5"/>
        <v>1.2282280355723409E-6</v>
      </c>
      <c r="D79" s="938">
        <f t="shared" si="2"/>
        <v>1.2282280355723409</v>
      </c>
      <c r="E79" s="938">
        <f t="shared" si="0"/>
        <v>4.0320350563439284E-3</v>
      </c>
      <c r="F79" s="256">
        <f t="shared" si="3"/>
        <v>-23.944757005926558</v>
      </c>
      <c r="G79" s="252" t="s">
        <v>833</v>
      </c>
      <c r="H79" s="252"/>
      <c r="I79" s="255">
        <f>(S7*B79)/79.76</f>
        <v>0.68973859247118052</v>
      </c>
      <c r="J79" s="86"/>
      <c r="K79" s="87"/>
      <c r="L79" s="3"/>
      <c r="M79" s="3"/>
      <c r="N79" s="3"/>
      <c r="O79" s="3"/>
      <c r="P79" s="3"/>
      <c r="Q79" s="554"/>
      <c r="R79" s="908"/>
      <c r="S79" s="908"/>
      <c r="T79" s="908"/>
      <c r="U79" s="914"/>
    </row>
    <row r="80" spans="1:21" ht="13">
      <c r="A80" s="938"/>
      <c r="B80" s="938">
        <v>590</v>
      </c>
      <c r="C80" s="938">
        <f t="shared" si="5"/>
        <v>1.6857916944368443E-6</v>
      </c>
      <c r="D80" s="938">
        <f t="shared" si="2"/>
        <v>1.6857916944368443</v>
      </c>
      <c r="E80" s="938">
        <f t="shared" si="0"/>
        <v>5.5341280387687783E-3</v>
      </c>
      <c r="F80" s="256">
        <f t="shared" si="3"/>
        <v>-22.56950797148901</v>
      </c>
      <c r="G80" s="252" t="s">
        <v>833</v>
      </c>
      <c r="H80" s="252"/>
      <c r="I80" s="255">
        <f>(S7*B80)/79.76</f>
        <v>0.70163063716895946</v>
      </c>
      <c r="J80" s="86"/>
      <c r="K80" s="87"/>
      <c r="L80" s="3"/>
      <c r="M80" s="3"/>
      <c r="N80" s="3"/>
      <c r="O80" s="3"/>
      <c r="P80" s="3"/>
      <c r="Q80" s="554"/>
      <c r="R80" s="908"/>
      <c r="S80" s="908"/>
      <c r="T80" s="908"/>
      <c r="U80" s="914"/>
    </row>
    <row r="81" spans="1:21" ht="13">
      <c r="A81" s="938"/>
      <c r="B81" s="938">
        <v>600</v>
      </c>
      <c r="C81" s="938">
        <f t="shared" si="5"/>
        <v>2.0833333333333334E-6</v>
      </c>
      <c r="D81" s="938">
        <f t="shared" si="2"/>
        <v>2.0833333333333335</v>
      </c>
      <c r="E81" s="938">
        <f t="shared" si="0"/>
        <v>6.8391803401031378E-3</v>
      </c>
      <c r="F81" s="256">
        <f t="shared" si="3"/>
        <v>-21.64995944347239</v>
      </c>
      <c r="G81" s="252" t="s">
        <v>833</v>
      </c>
      <c r="H81" s="252"/>
      <c r="I81" s="255">
        <f>(S7*B81)/79.76</f>
        <v>0.71352268186673851</v>
      </c>
      <c r="J81" s="86"/>
      <c r="K81" s="87"/>
      <c r="L81" s="3"/>
      <c r="M81" s="3"/>
      <c r="N81" s="3"/>
      <c r="O81" s="3"/>
      <c r="P81" s="3"/>
      <c r="Q81" s="554"/>
      <c r="R81" s="908"/>
      <c r="S81" s="908"/>
      <c r="T81" s="908"/>
      <c r="U81" s="914"/>
    </row>
    <row r="82" spans="1:21" ht="13">
      <c r="A82" s="938"/>
      <c r="B82" s="938">
        <v>610</v>
      </c>
      <c r="C82" s="938">
        <f t="shared" si="5"/>
        <v>2.3730777252337787E-6</v>
      </c>
      <c r="D82" s="938">
        <f t="shared" si="2"/>
        <v>2.3730777252337787</v>
      </c>
      <c r="E82" s="938">
        <f t="shared" ref="E82:E104" si="6">D82/304.6174</f>
        <v>7.7903551314986563E-3</v>
      </c>
      <c r="F82" s="256">
        <f t="shared" si="3"/>
        <v>-21.084427441073128</v>
      </c>
      <c r="G82" s="252" t="s">
        <v>833</v>
      </c>
      <c r="H82" s="252"/>
      <c r="I82" s="255">
        <f>(S7*B82)/79.76</f>
        <v>0.72541472656451755</v>
      </c>
      <c r="J82" s="86"/>
      <c r="K82" s="87"/>
      <c r="L82" s="3"/>
      <c r="M82" s="3"/>
      <c r="N82" s="3"/>
      <c r="O82" s="3"/>
      <c r="P82" s="3"/>
      <c r="Q82" s="554"/>
      <c r="R82" s="908"/>
      <c r="S82" s="909"/>
      <c r="T82" s="908"/>
      <c r="U82" s="914"/>
    </row>
    <row r="83" spans="1:21" ht="13">
      <c r="A83" s="938"/>
      <c r="B83" s="938">
        <v>620</v>
      </c>
      <c r="C83" s="938">
        <f t="shared" si="5"/>
        <v>2.5230132944665821E-6</v>
      </c>
      <c r="D83" s="938">
        <f t="shared" si="2"/>
        <v>2.523013294466582</v>
      </c>
      <c r="E83" s="938">
        <f t="shared" si="6"/>
        <v>8.2825646022406541E-3</v>
      </c>
      <c r="F83" s="259">
        <f t="shared" si="3"/>
        <v>-20.818351680282881</v>
      </c>
      <c r="G83" s="252" t="s">
        <v>833</v>
      </c>
      <c r="H83" s="252"/>
      <c r="I83" s="260">
        <f>(S7*B83)/79.76</f>
        <v>0.73730677126229638</v>
      </c>
      <c r="J83" s="261" t="s">
        <v>49</v>
      </c>
      <c r="K83" s="262"/>
      <c r="L83" s="3"/>
      <c r="M83" s="3"/>
      <c r="N83" s="3"/>
      <c r="O83" s="3"/>
      <c r="P83" s="3"/>
      <c r="Q83" s="554"/>
      <c r="R83" s="908"/>
      <c r="S83" s="908"/>
      <c r="T83" s="908"/>
      <c r="U83" s="914"/>
    </row>
    <row r="84" spans="1:21" ht="13">
      <c r="A84" s="938"/>
      <c r="B84" s="938">
        <v>630</v>
      </c>
      <c r="C84" s="938">
        <f t="shared" si="5"/>
        <v>2.5195263290501387E-6</v>
      </c>
      <c r="D84" s="938">
        <f t="shared" ref="D84:D104" si="7">C84*1000000</f>
        <v>2.5195263290501386</v>
      </c>
      <c r="E84" s="938">
        <f t="shared" si="6"/>
        <v>8.2711175692857294E-3</v>
      </c>
      <c r="F84" s="256">
        <f t="shared" si="3"/>
        <v>-20.82435805878815</v>
      </c>
      <c r="G84" s="252" t="s">
        <v>833</v>
      </c>
      <c r="H84" s="252"/>
      <c r="I84" s="255">
        <f>(S7*B84)/79.76</f>
        <v>0.74919881596007543</v>
      </c>
      <c r="J84" s="86"/>
      <c r="K84" s="87"/>
      <c r="L84" s="3"/>
      <c r="M84" s="3"/>
      <c r="N84" s="3"/>
      <c r="O84" s="3"/>
      <c r="P84" s="3"/>
      <c r="Q84" s="554"/>
      <c r="R84" s="908"/>
      <c r="S84" s="908"/>
      <c r="T84" s="908"/>
      <c r="U84" s="914"/>
    </row>
    <row r="85" spans="1:21" ht="13">
      <c r="A85" s="938"/>
      <c r="B85" s="938">
        <v>640</v>
      </c>
      <c r="C85" s="938">
        <f t="shared" si="5"/>
        <v>2.3677888437327986E-6</v>
      </c>
      <c r="D85" s="938">
        <f t="shared" si="7"/>
        <v>2.3677888437327987</v>
      </c>
      <c r="E85" s="938">
        <f t="shared" si="6"/>
        <v>7.7729927565949909E-3</v>
      </c>
      <c r="F85" s="256">
        <f t="shared" ref="F85:F104" si="8">10*LOG10(E85)</f>
        <v>-21.094117369995548</v>
      </c>
      <c r="G85" s="252" t="s">
        <v>833</v>
      </c>
      <c r="H85" s="252"/>
      <c r="I85" s="255">
        <f>(S7*B85)/79.76</f>
        <v>0.76109086065785436</v>
      </c>
      <c r="J85" s="86"/>
      <c r="K85" s="87"/>
      <c r="L85" s="3"/>
      <c r="M85" s="3"/>
      <c r="N85" s="3"/>
      <c r="O85" s="3"/>
      <c r="P85" s="3"/>
      <c r="Q85" s="554"/>
      <c r="R85" s="908"/>
      <c r="S85" s="908"/>
      <c r="T85" s="908"/>
      <c r="U85" s="914"/>
    </row>
    <row r="86" spans="1:21" ht="13">
      <c r="A86" s="938"/>
      <c r="B86" s="938">
        <v>650</v>
      </c>
      <c r="C86" s="938">
        <f t="shared" si="5"/>
        <v>2.0899934238094428E-6</v>
      </c>
      <c r="D86" s="938">
        <f t="shared" si="7"/>
        <v>2.0899934238094429</v>
      </c>
      <c r="E86" s="938">
        <f t="shared" si="6"/>
        <v>6.8610441288299451E-3</v>
      </c>
      <c r="F86" s="256">
        <f t="shared" si="8"/>
        <v>-21.636097873714895</v>
      </c>
      <c r="G86" s="252" t="s">
        <v>833</v>
      </c>
      <c r="H86" s="252"/>
      <c r="I86" s="255">
        <f>(S7*B86)/79.76</f>
        <v>0.77298290535563341</v>
      </c>
      <c r="J86" s="86"/>
      <c r="K86" s="87"/>
      <c r="L86" s="3"/>
      <c r="M86" s="3"/>
      <c r="N86" s="3"/>
      <c r="O86" s="3"/>
      <c r="P86" s="3"/>
      <c r="Q86" s="554"/>
      <c r="R86" s="908"/>
      <c r="S86" s="908"/>
      <c r="T86" s="908"/>
      <c r="U86" s="914"/>
    </row>
    <row r="87" spans="1:21" ht="13">
      <c r="A87" s="938"/>
      <c r="B87" s="938">
        <v>670</v>
      </c>
      <c r="C87" s="938">
        <f t="shared" si="5"/>
        <v>1.3072490283659268E-6</v>
      </c>
      <c r="D87" s="938">
        <f t="shared" si="7"/>
        <v>1.3072490283659268</v>
      </c>
      <c r="E87" s="938">
        <f t="shared" si="6"/>
        <v>4.2914456901212046E-3</v>
      </c>
      <c r="F87" s="256">
        <f t="shared" si="8"/>
        <v>-23.673963792662658</v>
      </c>
      <c r="G87" s="252" t="s">
        <v>833</v>
      </c>
      <c r="H87" s="252"/>
      <c r="I87" s="255">
        <f>(S7*B87)/79.76</f>
        <v>0.79676699475119128</v>
      </c>
      <c r="J87" s="86"/>
      <c r="K87" s="87"/>
      <c r="L87" s="3"/>
      <c r="M87" s="3"/>
      <c r="N87" s="3"/>
      <c r="O87" s="3"/>
      <c r="P87" s="3"/>
      <c r="Q87" s="554"/>
      <c r="R87" s="908"/>
      <c r="S87" s="908"/>
      <c r="T87" s="908"/>
      <c r="U87" s="914"/>
    </row>
    <row r="88" spans="1:21" ht="13">
      <c r="A88" s="938"/>
      <c r="B88" s="938">
        <v>680</v>
      </c>
      <c r="C88" s="938">
        <f t="shared" si="5"/>
        <v>8.9354652068887208E-7</v>
      </c>
      <c r="D88" s="938">
        <f t="shared" si="7"/>
        <v>0.89354652068887208</v>
      </c>
      <c r="E88" s="938">
        <f t="shared" si="6"/>
        <v>2.93334038268619E-3</v>
      </c>
      <c r="F88" s="256">
        <f t="shared" si="8"/>
        <v>-25.326375388792549</v>
      </c>
      <c r="G88" s="252" t="s">
        <v>833</v>
      </c>
      <c r="H88" s="252"/>
      <c r="I88" s="255">
        <f>(S7*B88)/79.76</f>
        <v>0.80865903944897033</v>
      </c>
      <c r="J88" s="86"/>
      <c r="K88" s="87"/>
      <c r="L88" s="3"/>
      <c r="M88" s="3"/>
      <c r="N88" s="3"/>
      <c r="O88" s="3"/>
      <c r="P88" s="3"/>
      <c r="Q88" s="554"/>
      <c r="R88" s="908"/>
      <c r="S88" s="908"/>
      <c r="T88" s="908"/>
      <c r="U88" s="914"/>
    </row>
    <row r="89" spans="1:21" ht="13">
      <c r="A89" s="938"/>
      <c r="B89" s="938">
        <v>690</v>
      </c>
      <c r="C89" s="938">
        <f t="shared" ref="C89:C104" si="9">((SIN(RADIANS(B89)))^2)/B89^2</f>
        <v>5.2509976895610143E-7</v>
      </c>
      <c r="D89" s="938">
        <f t="shared" si="7"/>
        <v>0.52509976895610144</v>
      </c>
      <c r="E89" s="938">
        <f t="shared" si="6"/>
        <v>1.7238009678898891E-3</v>
      </c>
      <c r="F89" s="256">
        <f t="shared" si="8"/>
        <v>-27.635128797741245</v>
      </c>
      <c r="G89" s="252" t="s">
        <v>833</v>
      </c>
      <c r="H89" s="252"/>
      <c r="I89" s="255">
        <f>(S7*B89)/79.76</f>
        <v>0.82055108414674915</v>
      </c>
      <c r="J89" s="86"/>
      <c r="K89" s="87"/>
      <c r="L89" s="3"/>
      <c r="M89" s="3"/>
      <c r="N89" s="3"/>
      <c r="O89" s="3"/>
      <c r="P89" s="3"/>
      <c r="Q89" s="554"/>
      <c r="R89" s="908"/>
      <c r="S89" s="908"/>
      <c r="T89" s="908"/>
      <c r="U89" s="914"/>
    </row>
    <row r="90" spans="1:21" ht="13">
      <c r="A90" s="938"/>
      <c r="B90" s="938">
        <v>700</v>
      </c>
      <c r="C90" s="938">
        <f t="shared" si="9"/>
        <v>2.3873016008267562E-7</v>
      </c>
      <c r="D90" s="938">
        <f t="shared" si="7"/>
        <v>0.23873016008267561</v>
      </c>
      <c r="E90" s="938">
        <f t="shared" si="6"/>
        <v>7.8370493636501274E-4</v>
      </c>
      <c r="F90" s="256">
        <f t="shared" si="8"/>
        <v>-31.058474177091306</v>
      </c>
      <c r="G90" s="252" t="s">
        <v>833</v>
      </c>
      <c r="H90" s="252"/>
      <c r="I90" s="255">
        <f>(S7*B90)/79.76</f>
        <v>0.83244312884452831</v>
      </c>
      <c r="J90" s="86"/>
      <c r="K90" s="87"/>
      <c r="L90" s="3"/>
      <c r="M90" s="3"/>
      <c r="N90" s="3"/>
      <c r="O90" s="3"/>
      <c r="P90" s="3"/>
      <c r="Q90" s="554"/>
      <c r="R90" s="908"/>
      <c r="S90" s="908"/>
      <c r="T90" s="908"/>
      <c r="U90" s="914"/>
    </row>
    <row r="91" spans="1:21" ht="13">
      <c r="A91" s="938"/>
      <c r="B91" s="938">
        <v>710</v>
      </c>
      <c r="C91" s="938">
        <f t="shared" si="9"/>
        <v>5.981688079160069E-8</v>
      </c>
      <c r="D91" s="938">
        <f t="shared" si="7"/>
        <v>5.9816880791600691E-2</v>
      </c>
      <c r="E91" s="938">
        <f t="shared" si="6"/>
        <v>1.9636724885578006E-4</v>
      </c>
      <c r="F91" s="256">
        <f t="shared" si="8"/>
        <v>-37.069309443865997</v>
      </c>
      <c r="G91" s="252" t="s">
        <v>833</v>
      </c>
      <c r="H91" s="252"/>
      <c r="I91" s="255">
        <f>(S7*B91)/79.76</f>
        <v>0.84433517354230725</v>
      </c>
      <c r="J91" s="86"/>
      <c r="K91" s="87"/>
      <c r="L91" s="3"/>
      <c r="M91" s="3"/>
      <c r="N91" s="3"/>
      <c r="O91" s="3"/>
      <c r="P91" s="3"/>
      <c r="Q91" s="554"/>
      <c r="R91" s="908"/>
      <c r="S91" s="909"/>
      <c r="T91" s="908"/>
      <c r="U91" s="914"/>
    </row>
    <row r="92" spans="1:21" ht="13">
      <c r="A92" s="938"/>
      <c r="B92" s="938">
        <v>720</v>
      </c>
      <c r="C92" s="938">
        <f t="shared" si="9"/>
        <v>4.6326812856943794E-37</v>
      </c>
      <c r="D92" s="938">
        <f t="shared" si="7"/>
        <v>4.6326812856943792E-31</v>
      </c>
      <c r="E92" s="938">
        <f t="shared" si="6"/>
        <v>1.5208196530120668E-33</v>
      </c>
      <c r="F92" s="257">
        <f t="shared" si="8"/>
        <v>-328.17922283873054</v>
      </c>
      <c r="G92" s="252" t="s">
        <v>833</v>
      </c>
      <c r="H92" s="252"/>
      <c r="I92" s="258">
        <f>(S7*B92)/79.76</f>
        <v>0.8562272182400863</v>
      </c>
      <c r="J92" s="261" t="s">
        <v>50</v>
      </c>
      <c r="K92" s="87"/>
      <c r="L92" s="3"/>
      <c r="M92" s="3"/>
      <c r="N92" s="3"/>
      <c r="O92" s="3"/>
      <c r="P92" s="3"/>
      <c r="Q92" s="554"/>
      <c r="R92" s="908"/>
      <c r="S92" s="908"/>
      <c r="T92" s="908"/>
      <c r="U92" s="914"/>
    </row>
    <row r="93" spans="1:21" ht="13">
      <c r="A93" s="938"/>
      <c r="B93" s="938">
        <v>730</v>
      </c>
      <c r="C93" s="938">
        <f t="shared" si="9"/>
        <v>5.6584142629096589E-8</v>
      </c>
      <c r="D93" s="938">
        <f t="shared" si="7"/>
        <v>5.6584142629096591E-2</v>
      </c>
      <c r="E93" s="938">
        <f t="shared" si="6"/>
        <v>1.8575479479864446E-4</v>
      </c>
      <c r="F93" s="256">
        <f t="shared" si="8"/>
        <v>-37.310599671893655</v>
      </c>
      <c r="G93" s="252" t="s">
        <v>833</v>
      </c>
      <c r="H93" s="252"/>
      <c r="I93" s="255">
        <f>(S7*B93)/79.76</f>
        <v>0.86811926293786523</v>
      </c>
      <c r="J93" s="86"/>
      <c r="K93" s="87"/>
      <c r="L93" s="3"/>
      <c r="M93" s="3"/>
      <c r="N93" s="3"/>
      <c r="O93" s="3"/>
      <c r="P93" s="3"/>
      <c r="Q93" s="554"/>
      <c r="R93" s="908"/>
      <c r="S93" s="908"/>
      <c r="T93" s="908"/>
      <c r="U93" s="914"/>
    </row>
    <row r="94" spans="1:21" ht="13">
      <c r="A94" s="938"/>
      <c r="B94" s="938">
        <v>740</v>
      </c>
      <c r="C94" s="938">
        <f t="shared" si="9"/>
        <v>2.1361902564008473E-7</v>
      </c>
      <c r="D94" s="938">
        <f t="shared" si="7"/>
        <v>0.21361902564008473</v>
      </c>
      <c r="E94" s="938">
        <f t="shared" si="6"/>
        <v>7.0126993940623468E-4</v>
      </c>
      <c r="F94" s="256">
        <f t="shared" si="8"/>
        <v>-31.541147771425713</v>
      </c>
      <c r="G94" s="252" t="s">
        <v>833</v>
      </c>
      <c r="H94" s="252"/>
      <c r="I94" s="255">
        <f>(S7*B94)/79.76</f>
        <v>0.88001130763564406</v>
      </c>
      <c r="J94" s="86"/>
      <c r="K94" s="87"/>
      <c r="L94" s="3"/>
      <c r="M94" s="3"/>
      <c r="N94" s="3"/>
      <c r="O94" s="3"/>
      <c r="P94" s="3"/>
      <c r="Q94" s="554"/>
      <c r="R94" s="908"/>
      <c r="S94" s="908"/>
      <c r="T94" s="908"/>
      <c r="U94" s="914"/>
    </row>
    <row r="95" spans="1:21" ht="13">
      <c r="A95" s="938"/>
      <c r="B95" s="938">
        <v>750</v>
      </c>
      <c r="C95" s="938">
        <f t="shared" si="9"/>
        <v>4.4444444444444274E-7</v>
      </c>
      <c r="D95" s="938">
        <f t="shared" si="7"/>
        <v>0.44444444444444275</v>
      </c>
      <c r="E95" s="938">
        <f t="shared" si="6"/>
        <v>1.4590251392219971E-3</v>
      </c>
      <c r="F95" s="256">
        <f t="shared" si="8"/>
        <v>-28.359372250830155</v>
      </c>
      <c r="G95" s="252" t="s">
        <v>833</v>
      </c>
      <c r="H95" s="252"/>
      <c r="I95" s="255">
        <f>(S7*B95)/79.76</f>
        <v>0.89190335233342322</v>
      </c>
      <c r="J95" s="86"/>
      <c r="K95" s="87"/>
      <c r="L95" s="3"/>
      <c r="M95" s="3"/>
      <c r="N95" s="3"/>
      <c r="O95" s="3"/>
      <c r="P95" s="3"/>
      <c r="Q95" s="554"/>
      <c r="R95" s="908"/>
      <c r="S95" s="908"/>
      <c r="T95" s="908"/>
      <c r="U95" s="914"/>
    </row>
    <row r="96" spans="1:21" ht="13">
      <c r="A96" s="938"/>
      <c r="B96" s="938">
        <v>760</v>
      </c>
      <c r="C96" s="938">
        <f t="shared" si="9"/>
        <v>7.1533225617474943E-7</v>
      </c>
      <c r="D96" s="938">
        <f t="shared" si="7"/>
        <v>0.71533225617474938</v>
      </c>
      <c r="E96" s="938">
        <f t="shared" si="6"/>
        <v>2.3482974254745441E-3</v>
      </c>
      <c r="F96" s="256">
        <f t="shared" si="8"/>
        <v>-26.292468980283637</v>
      </c>
      <c r="G96" s="252" t="s">
        <v>833</v>
      </c>
      <c r="H96" s="252"/>
      <c r="I96" s="255">
        <f>(S7*B96)/79.76</f>
        <v>0.90379539703120204</v>
      </c>
      <c r="J96" s="86"/>
      <c r="K96" s="87"/>
      <c r="L96" s="3"/>
      <c r="M96" s="3"/>
      <c r="N96" s="3"/>
      <c r="O96" s="3"/>
      <c r="P96" s="3"/>
      <c r="Q96" s="554"/>
      <c r="R96" s="908"/>
      <c r="S96" s="908"/>
      <c r="T96" s="908"/>
      <c r="U96" s="914"/>
    </row>
    <row r="97" spans="1:21" ht="13">
      <c r="A97" s="938"/>
      <c r="B97" s="938">
        <v>770</v>
      </c>
      <c r="C97" s="938">
        <f t="shared" si="9"/>
        <v>9.8975221594445192E-7</v>
      </c>
      <c r="D97" s="938">
        <f t="shared" si="7"/>
        <v>0.98975221594445195</v>
      </c>
      <c r="E97" s="938">
        <f t="shared" si="6"/>
        <v>3.2491650704931894E-3</v>
      </c>
      <c r="F97" s="256">
        <f t="shared" si="8"/>
        <v>-24.882282242095762</v>
      </c>
      <c r="G97" s="252" t="s">
        <v>833</v>
      </c>
      <c r="H97" s="252"/>
      <c r="I97" s="255">
        <f>(S7*B97)/79.76</f>
        <v>0.91568744172898098</v>
      </c>
      <c r="J97" s="86"/>
      <c r="K97" s="87"/>
      <c r="L97" s="3"/>
      <c r="M97" s="3"/>
      <c r="N97" s="3"/>
      <c r="O97" s="3"/>
      <c r="P97" s="3"/>
      <c r="Q97" s="554"/>
      <c r="R97" s="908"/>
      <c r="S97" s="908"/>
      <c r="T97" s="908"/>
      <c r="U97" s="914"/>
    </row>
    <row r="98" spans="1:21" ht="13">
      <c r="A98" s="938"/>
      <c r="B98" s="938">
        <v>780</v>
      </c>
      <c r="C98" s="938">
        <f t="shared" si="9"/>
        <v>1.2327416173570021E-6</v>
      </c>
      <c r="D98" s="938">
        <f t="shared" si="7"/>
        <v>1.2327416173570021</v>
      </c>
      <c r="E98" s="938">
        <f t="shared" si="6"/>
        <v>4.0468522722503777E-3</v>
      </c>
      <c r="F98" s="256">
        <f t="shared" si="8"/>
        <v>-23.928826489609122</v>
      </c>
      <c r="G98" s="252" t="s">
        <v>833</v>
      </c>
      <c r="H98" s="252"/>
      <c r="I98" s="255">
        <f>(S7*B98)/79.76</f>
        <v>0.92757948642676014</v>
      </c>
      <c r="J98" s="86"/>
      <c r="K98" s="87"/>
      <c r="L98" s="3"/>
      <c r="M98" s="3"/>
      <c r="N98" s="3"/>
      <c r="O98" s="3"/>
      <c r="P98" s="3"/>
      <c r="Q98" s="554"/>
      <c r="R98" s="908"/>
      <c r="S98" s="908"/>
      <c r="T98" s="908"/>
      <c r="U98" s="914"/>
    </row>
    <row r="99" spans="1:21" ht="13">
      <c r="A99" s="938"/>
      <c r="B99" s="938">
        <v>790</v>
      </c>
      <c r="C99" s="938">
        <f t="shared" si="9"/>
        <v>1.4148729715742491E-6</v>
      </c>
      <c r="D99" s="938">
        <f t="shared" si="7"/>
        <v>1.414872971574249</v>
      </c>
      <c r="E99" s="938">
        <f t="shared" si="6"/>
        <v>4.6447542772482765E-3</v>
      </c>
      <c r="F99" s="256">
        <f t="shared" si="8"/>
        <v>-23.330372566666618</v>
      </c>
      <c r="G99" s="252" t="s">
        <v>833</v>
      </c>
      <c r="H99" s="252"/>
      <c r="I99" s="255">
        <f>(S7*B99)/79.76</f>
        <v>0.93947153112453896</v>
      </c>
      <c r="J99" s="86"/>
      <c r="K99" s="87"/>
      <c r="L99" s="3"/>
      <c r="M99" s="3"/>
      <c r="N99" s="3"/>
      <c r="O99" s="3"/>
      <c r="P99" s="3"/>
      <c r="Q99" s="554"/>
      <c r="R99" s="908"/>
      <c r="S99" s="908"/>
      <c r="T99" s="908"/>
      <c r="U99" s="914"/>
    </row>
    <row r="100" spans="1:21" ht="13">
      <c r="A100" s="938"/>
      <c r="B100" s="938">
        <v>800</v>
      </c>
      <c r="C100" s="938">
        <f t="shared" si="9"/>
        <v>1.5153848599889908E-6</v>
      </c>
      <c r="D100" s="938">
        <f t="shared" si="7"/>
        <v>1.5153848599889908</v>
      </c>
      <c r="E100" s="938">
        <f t="shared" si="6"/>
        <v>4.9747153642207926E-3</v>
      </c>
      <c r="F100" s="256">
        <f t="shared" si="8"/>
        <v>-23.032317630156676</v>
      </c>
      <c r="G100" s="252" t="s">
        <v>833</v>
      </c>
      <c r="H100" s="252"/>
      <c r="I100" s="255">
        <f>(S7*B100)/79.76</f>
        <v>0.95136357582231812</v>
      </c>
      <c r="J100" s="86"/>
      <c r="K100" s="87"/>
      <c r="L100" s="3"/>
      <c r="M100" s="3"/>
      <c r="N100" s="3"/>
      <c r="O100" s="3"/>
      <c r="P100" s="3"/>
      <c r="Q100" s="554"/>
      <c r="R100" s="908"/>
      <c r="S100" s="909"/>
      <c r="T100" s="908"/>
      <c r="U100" s="914"/>
    </row>
    <row r="101" spans="1:21" ht="13">
      <c r="A101" s="938"/>
      <c r="B101" s="938">
        <v>810</v>
      </c>
      <c r="C101" s="938">
        <f t="shared" si="9"/>
        <v>1.5241579027587259E-6</v>
      </c>
      <c r="D101" s="938">
        <f t="shared" si="7"/>
        <v>1.5241579027587258</v>
      </c>
      <c r="E101" s="938">
        <f t="shared" si="6"/>
        <v>5.003515566604947E-3</v>
      </c>
      <c r="F101" s="259">
        <f t="shared" si="8"/>
        <v>-23.007247447289512</v>
      </c>
      <c r="G101" s="252" t="s">
        <v>833</v>
      </c>
      <c r="H101" s="252"/>
      <c r="I101" s="260">
        <f>(S7*B101)/79.76</f>
        <v>0.96325562052009694</v>
      </c>
      <c r="J101" s="261" t="s">
        <v>51</v>
      </c>
      <c r="K101" s="262"/>
      <c r="L101" s="3"/>
      <c r="M101" s="3"/>
      <c r="N101" s="3"/>
      <c r="O101" s="3"/>
      <c r="P101" s="3"/>
      <c r="Q101" s="554"/>
      <c r="R101" s="908"/>
      <c r="S101" s="908"/>
      <c r="T101" s="908"/>
      <c r="U101" s="914"/>
    </row>
    <row r="102" spans="1:21" ht="13">
      <c r="A102" s="938"/>
      <c r="B102" s="938">
        <v>820</v>
      </c>
      <c r="C102" s="938">
        <f t="shared" si="9"/>
        <v>1.4423651255100455E-6</v>
      </c>
      <c r="D102" s="938">
        <f t="shared" si="7"/>
        <v>1.4423651255100456</v>
      </c>
      <c r="E102" s="938">
        <f t="shared" si="6"/>
        <v>4.7350057006265754E-3</v>
      </c>
      <c r="F102" s="256">
        <f t="shared" si="8"/>
        <v>-23.246794937992135</v>
      </c>
      <c r="G102" s="252" t="s">
        <v>833</v>
      </c>
      <c r="H102" s="252"/>
      <c r="I102" s="255">
        <f>(S7*B102)/79.76</f>
        <v>0.97514766521787588</v>
      </c>
      <c r="J102" s="86"/>
      <c r="K102" s="87"/>
      <c r="L102" s="3"/>
      <c r="M102" s="3"/>
      <c r="N102" s="3"/>
      <c r="O102" s="3"/>
      <c r="P102" s="3"/>
      <c r="Q102" s="554"/>
      <c r="R102" s="908"/>
      <c r="S102" s="908"/>
      <c r="T102" s="908"/>
      <c r="U102" s="914"/>
    </row>
    <row r="103" spans="1:21" ht="13">
      <c r="A103" s="938"/>
      <c r="B103" s="938">
        <v>830</v>
      </c>
      <c r="C103" s="938">
        <f t="shared" si="9"/>
        <v>1.281785776686732E-6</v>
      </c>
      <c r="D103" s="938">
        <f t="shared" si="7"/>
        <v>1.281785776686732</v>
      </c>
      <c r="E103" s="938">
        <f t="shared" si="6"/>
        <v>4.2078547603870697E-3</v>
      </c>
      <c r="F103" s="256">
        <f t="shared" si="8"/>
        <v>-23.75939258837926</v>
      </c>
      <c r="G103" s="252" t="s">
        <v>833</v>
      </c>
      <c r="H103" s="252"/>
      <c r="I103" s="255">
        <f>(S7*B103)/79.76</f>
        <v>0.98703970991565493</v>
      </c>
      <c r="J103" s="86"/>
      <c r="K103" s="87"/>
      <c r="L103" s="3"/>
      <c r="M103" s="3"/>
      <c r="N103" s="3"/>
      <c r="O103" s="3"/>
      <c r="P103" s="3"/>
      <c r="Q103" s="554"/>
      <c r="R103" s="908"/>
      <c r="S103" s="908"/>
      <c r="T103" s="908"/>
      <c r="U103" s="914"/>
    </row>
    <row r="104" spans="1:21" ht="13">
      <c r="A104" s="938"/>
      <c r="B104" s="938">
        <v>840</v>
      </c>
      <c r="C104" s="938">
        <f t="shared" si="9"/>
        <v>1.0629251700680265E-6</v>
      </c>
      <c r="D104" s="938">
        <f t="shared" si="7"/>
        <v>1.0629251700680264</v>
      </c>
      <c r="E104" s="938">
        <f t="shared" si="6"/>
        <v>3.4893777245424145E-3</v>
      </c>
      <c r="F104" s="256">
        <f t="shared" si="8"/>
        <v>-24.572520157037154</v>
      </c>
      <c r="G104" s="252" t="s">
        <v>833</v>
      </c>
      <c r="H104" s="252"/>
      <c r="I104" s="255">
        <f>(S7*B104)/79.76</f>
        <v>0.99893175461343386</v>
      </c>
      <c r="J104" s="86"/>
      <c r="K104" s="87"/>
      <c r="L104" s="3"/>
      <c r="M104" s="3"/>
      <c r="N104" s="3"/>
      <c r="O104" s="3"/>
      <c r="P104" s="3"/>
      <c r="Q104" s="554"/>
      <c r="R104" s="908"/>
      <c r="S104" s="908"/>
      <c r="T104" s="908"/>
      <c r="U104" s="914"/>
    </row>
    <row r="105" spans="1:21">
      <c r="A105" s="938"/>
      <c r="B105" s="938"/>
      <c r="C105" s="938"/>
      <c r="D105" s="938"/>
      <c r="E105" s="938"/>
      <c r="F105" s="85"/>
      <c r="G105" s="86"/>
      <c r="H105" s="86"/>
      <c r="I105" s="86"/>
      <c r="J105" s="86"/>
      <c r="K105" s="87"/>
      <c r="L105" s="3"/>
      <c r="M105" s="3"/>
      <c r="N105" s="3"/>
      <c r="O105" s="3"/>
      <c r="P105" s="3"/>
      <c r="Q105" s="3"/>
      <c r="R105" s="908"/>
      <c r="S105" s="908"/>
      <c r="T105" s="908"/>
      <c r="U105" s="908"/>
    </row>
    <row r="106" spans="1:21">
      <c r="A106" s="938"/>
      <c r="B106" s="938"/>
      <c r="C106" s="938"/>
      <c r="D106" s="938"/>
      <c r="E106" s="938"/>
      <c r="F106" s="88"/>
      <c r="G106" s="89"/>
      <c r="H106" s="89"/>
      <c r="I106" s="89"/>
      <c r="J106" s="89"/>
      <c r="K106" s="90"/>
      <c r="L106" s="3"/>
      <c r="M106" s="3"/>
      <c r="N106" s="3"/>
      <c r="O106" s="3"/>
      <c r="P106" s="3"/>
      <c r="Q106" s="3"/>
      <c r="R106" s="908"/>
      <c r="S106" s="908"/>
      <c r="T106" s="908"/>
      <c r="U106" s="908"/>
    </row>
    <row r="107" spans="1:21">
      <c r="A107" s="531"/>
      <c r="B107" s="531"/>
      <c r="C107" s="531"/>
      <c r="D107" s="531"/>
      <c r="E107" s="531"/>
      <c r="F107" s="3"/>
      <c r="G107" s="3"/>
      <c r="H107" s="3"/>
      <c r="I107" s="3"/>
      <c r="J107" s="3"/>
      <c r="K107" s="3"/>
      <c r="L107" s="3"/>
      <c r="M107" s="3"/>
      <c r="N107" s="3"/>
      <c r="O107" s="3"/>
      <c r="P107" s="3"/>
      <c r="Q107" s="3"/>
      <c r="R107" s="908"/>
      <c r="S107" s="908"/>
      <c r="T107" s="908"/>
      <c r="U107" s="908"/>
    </row>
    <row r="108" spans="1:21">
      <c r="A108" s="531"/>
      <c r="B108" s="531"/>
      <c r="C108" s="531"/>
      <c r="D108" s="531"/>
      <c r="E108" s="531"/>
      <c r="F108" s="3"/>
      <c r="G108" s="3"/>
      <c r="H108" s="3"/>
      <c r="I108" s="3"/>
      <c r="J108" s="3"/>
      <c r="K108" s="3"/>
      <c r="L108" s="3"/>
      <c r="M108" s="3"/>
      <c r="N108" s="3"/>
      <c r="O108" s="3"/>
      <c r="P108" s="3"/>
      <c r="Q108" s="3"/>
      <c r="R108" s="908"/>
      <c r="S108" s="908"/>
      <c r="T108" s="908"/>
      <c r="U108" s="908"/>
    </row>
    <row r="109" spans="1:21">
      <c r="A109" s="531"/>
      <c r="B109" s="531"/>
      <c r="C109" s="531"/>
      <c r="D109" s="531"/>
      <c r="E109" s="531"/>
      <c r="F109" s="3"/>
      <c r="G109" s="3"/>
      <c r="H109" s="3"/>
      <c r="I109" s="3"/>
      <c r="J109" s="3"/>
      <c r="K109" s="3"/>
      <c r="L109" s="3"/>
      <c r="M109" s="3"/>
      <c r="N109" s="3"/>
      <c r="O109" s="3"/>
      <c r="P109" s="3"/>
      <c r="Q109" s="3"/>
      <c r="R109" s="908"/>
      <c r="S109" s="908"/>
      <c r="T109" s="908"/>
      <c r="U109" s="908"/>
    </row>
    <row r="110" spans="1:21">
      <c r="A110" s="531"/>
      <c r="B110" s="531"/>
      <c r="C110" s="531"/>
      <c r="D110" s="531"/>
      <c r="E110" s="531"/>
      <c r="F110" s="3"/>
      <c r="G110" s="3"/>
      <c r="H110" s="3"/>
      <c r="I110" s="3"/>
      <c r="J110" s="3"/>
      <c r="K110" s="3"/>
      <c r="L110" s="3"/>
      <c r="M110" s="3"/>
      <c r="N110" s="3"/>
      <c r="O110" s="3"/>
      <c r="P110" s="3"/>
      <c r="Q110" s="3"/>
      <c r="R110" s="908"/>
      <c r="S110" s="908"/>
      <c r="T110" s="908"/>
      <c r="U110" s="908"/>
    </row>
    <row r="111" spans="1:21">
      <c r="A111" s="531"/>
      <c r="B111" s="531"/>
      <c r="C111" s="531"/>
      <c r="D111" s="531"/>
      <c r="E111" s="531"/>
      <c r="F111" s="3"/>
      <c r="G111" s="3"/>
      <c r="H111" s="3"/>
      <c r="I111" s="3"/>
      <c r="J111" s="3"/>
      <c r="K111" s="3"/>
      <c r="L111" s="3"/>
      <c r="M111" s="3"/>
      <c r="N111" s="3"/>
      <c r="O111" s="3"/>
      <c r="P111" s="3"/>
      <c r="Q111" s="3"/>
      <c r="R111" s="908"/>
      <c r="S111" s="908"/>
      <c r="T111" s="908"/>
      <c r="U111" s="908"/>
    </row>
    <row r="112" spans="1:21">
      <c r="A112" s="3"/>
      <c r="B112" s="3"/>
      <c r="C112" s="3"/>
      <c r="D112" s="3"/>
      <c r="E112" s="3"/>
      <c r="F112" s="3"/>
      <c r="G112" s="3"/>
      <c r="H112" s="3"/>
      <c r="I112" s="3"/>
      <c r="J112" s="3"/>
      <c r="K112" s="3"/>
      <c r="L112" s="3"/>
      <c r="M112" s="3"/>
      <c r="N112" s="3"/>
      <c r="O112" s="3"/>
      <c r="P112" s="3"/>
      <c r="Q112" s="3"/>
      <c r="R112" s="908"/>
      <c r="S112" s="908"/>
      <c r="T112" s="908"/>
      <c r="U112" s="908"/>
    </row>
    <row r="113" spans="1:21">
      <c r="A113" s="3"/>
      <c r="B113" s="3"/>
      <c r="C113" s="3"/>
      <c r="D113" s="3"/>
      <c r="E113" s="3"/>
      <c r="F113" s="3"/>
      <c r="G113" s="3"/>
      <c r="H113" s="3"/>
      <c r="I113" s="3"/>
      <c r="J113" s="3"/>
      <c r="K113" s="3"/>
      <c r="L113" s="3"/>
      <c r="M113" s="3"/>
      <c r="N113" s="3"/>
      <c r="O113" s="3"/>
      <c r="P113" s="3"/>
      <c r="Q113" s="3"/>
      <c r="R113" s="908"/>
      <c r="S113" s="908"/>
      <c r="T113" s="908"/>
      <c r="U113" s="908"/>
    </row>
    <row r="114" spans="1:21">
      <c r="A114" s="3"/>
      <c r="B114" s="3"/>
      <c r="C114" s="3"/>
      <c r="D114" s="3"/>
      <c r="E114" s="3"/>
      <c r="F114" s="3"/>
      <c r="G114" s="3"/>
      <c r="H114" s="3"/>
      <c r="I114" s="3"/>
      <c r="J114" s="3"/>
      <c r="K114" s="3"/>
      <c r="L114" s="3"/>
      <c r="M114" s="3"/>
      <c r="N114" s="3"/>
      <c r="O114" s="3"/>
      <c r="P114" s="3"/>
      <c r="Q114" s="3"/>
      <c r="R114" s="908"/>
      <c r="S114" s="908"/>
      <c r="T114" s="908"/>
      <c r="U114" s="908"/>
    </row>
    <row r="115" spans="1:21">
      <c r="A115" s="3"/>
      <c r="B115" s="3"/>
      <c r="C115" s="3"/>
      <c r="D115" s="3"/>
      <c r="E115" s="3"/>
      <c r="F115" s="3"/>
      <c r="G115" s="3"/>
      <c r="H115" s="3"/>
      <c r="I115" s="3"/>
      <c r="J115" s="3"/>
      <c r="K115" s="3"/>
      <c r="L115" s="3"/>
      <c r="M115" s="3"/>
      <c r="N115" s="3"/>
      <c r="O115" s="3"/>
      <c r="P115" s="3"/>
      <c r="Q115" s="3"/>
      <c r="R115" s="908"/>
      <c r="S115" s="908"/>
      <c r="T115" s="908"/>
      <c r="U115" s="908"/>
    </row>
    <row r="116" spans="1:21">
      <c r="A116" s="3"/>
      <c r="B116" s="3"/>
      <c r="C116" s="3"/>
      <c r="D116" s="3"/>
      <c r="E116" s="3"/>
      <c r="F116" s="3"/>
      <c r="G116" s="3"/>
      <c r="H116" s="3"/>
      <c r="I116" s="3"/>
      <c r="J116" s="3"/>
      <c r="K116" s="3"/>
      <c r="L116" s="3"/>
      <c r="M116" s="3"/>
      <c r="N116" s="3"/>
      <c r="O116" s="3"/>
      <c r="P116" s="3"/>
      <c r="Q116" s="3"/>
      <c r="R116" s="908"/>
      <c r="S116" s="908"/>
      <c r="T116" s="908"/>
      <c r="U116" s="908"/>
    </row>
    <row r="117" spans="1:21">
      <c r="A117" s="3"/>
      <c r="B117" s="3"/>
      <c r="C117" s="3"/>
      <c r="D117" s="3"/>
      <c r="E117" s="3"/>
      <c r="F117" s="3"/>
      <c r="G117" s="3"/>
      <c r="H117" s="3"/>
      <c r="I117" s="3"/>
      <c r="J117" s="3"/>
      <c r="K117" s="3"/>
      <c r="L117" s="3"/>
      <c r="M117" s="3"/>
      <c r="N117" s="3"/>
      <c r="O117" s="3"/>
      <c r="P117" s="3"/>
      <c r="Q117" s="3"/>
      <c r="R117" s="908"/>
      <c r="S117" s="908"/>
      <c r="T117" s="908"/>
      <c r="U117" s="908"/>
    </row>
    <row r="118" spans="1:21">
      <c r="A118" s="3"/>
      <c r="B118" s="3"/>
      <c r="C118" s="3"/>
      <c r="D118" s="3"/>
      <c r="E118" s="3"/>
      <c r="F118" s="3"/>
      <c r="G118" s="3"/>
      <c r="H118" s="3"/>
      <c r="I118" s="3"/>
      <c r="J118" s="3"/>
      <c r="K118" s="3"/>
      <c r="L118" s="3"/>
      <c r="M118" s="3"/>
      <c r="N118" s="3"/>
      <c r="O118" s="3"/>
      <c r="P118" s="3"/>
      <c r="Q118" s="3"/>
      <c r="R118" s="908"/>
      <c r="S118" s="908"/>
      <c r="T118" s="908"/>
      <c r="U118" s="908"/>
    </row>
    <row r="119" spans="1:21">
      <c r="A119" s="3"/>
      <c r="B119" s="3"/>
      <c r="C119" s="3"/>
      <c r="D119" s="3"/>
      <c r="E119" s="3"/>
      <c r="F119" s="3"/>
      <c r="G119" s="3"/>
      <c r="H119" s="3"/>
      <c r="I119" s="3"/>
      <c r="J119" s="3"/>
      <c r="K119" s="3"/>
      <c r="L119" s="3"/>
      <c r="M119" s="3"/>
      <c r="N119" s="3"/>
      <c r="O119" s="3"/>
      <c r="P119" s="3"/>
      <c r="Q119" s="3"/>
      <c r="R119" s="908"/>
      <c r="S119" s="908"/>
      <c r="T119" s="908"/>
      <c r="U119" s="908"/>
    </row>
    <row r="120" spans="1:21">
      <c r="A120" s="3"/>
      <c r="B120" s="3"/>
      <c r="C120" s="3"/>
      <c r="D120" s="3"/>
      <c r="E120" s="3"/>
      <c r="F120" s="3"/>
      <c r="G120" s="3"/>
      <c r="H120" s="3"/>
      <c r="I120" s="3"/>
      <c r="J120" s="3"/>
      <c r="K120" s="3"/>
      <c r="L120" s="3"/>
      <c r="M120" s="3"/>
      <c r="N120" s="3"/>
      <c r="O120" s="3"/>
      <c r="P120" s="3"/>
      <c r="Q120" s="3"/>
      <c r="R120" s="908"/>
      <c r="S120" s="908"/>
      <c r="T120" s="908"/>
      <c r="U120" s="908"/>
    </row>
    <row r="121" spans="1:21">
      <c r="A121" s="3"/>
      <c r="B121" s="3"/>
      <c r="C121" s="3"/>
      <c r="D121" s="3"/>
      <c r="E121" s="3"/>
      <c r="F121" s="3"/>
      <c r="G121" s="3"/>
      <c r="H121" s="3"/>
      <c r="I121" s="3"/>
      <c r="J121" s="3"/>
      <c r="K121" s="3"/>
      <c r="L121" s="3"/>
      <c r="M121" s="3"/>
      <c r="N121" s="3"/>
      <c r="O121" s="3"/>
      <c r="P121" s="3"/>
      <c r="Q121" s="3"/>
      <c r="R121" s="908"/>
      <c r="S121" s="908"/>
      <c r="T121" s="908"/>
      <c r="U121" s="908"/>
    </row>
    <row r="122" spans="1:21">
      <c r="A122" s="3"/>
      <c r="B122" s="3"/>
      <c r="C122" s="3"/>
      <c r="D122" s="3"/>
      <c r="E122" s="3"/>
      <c r="F122" s="3"/>
      <c r="G122" s="3"/>
      <c r="H122" s="3"/>
      <c r="I122" s="3"/>
      <c r="J122" s="3"/>
      <c r="K122" s="3"/>
      <c r="L122" s="3"/>
      <c r="M122" s="3"/>
      <c r="N122" s="3"/>
      <c r="O122" s="3"/>
      <c r="P122" s="3"/>
      <c r="Q122" s="3"/>
      <c r="R122" s="908"/>
      <c r="S122" s="908"/>
      <c r="T122" s="908"/>
      <c r="U122" s="908"/>
    </row>
    <row r="123" spans="1:21">
      <c r="A123" s="3"/>
      <c r="B123" s="3"/>
      <c r="C123" s="3"/>
      <c r="D123" s="3"/>
      <c r="E123" s="3"/>
      <c r="F123" s="3"/>
      <c r="G123" s="3"/>
      <c r="H123" s="3"/>
      <c r="I123" s="3"/>
      <c r="J123" s="3"/>
      <c r="K123" s="3"/>
      <c r="L123" s="3"/>
      <c r="M123" s="3"/>
      <c r="N123" s="3"/>
      <c r="O123" s="3"/>
      <c r="P123" s="3"/>
      <c r="Q123" s="3"/>
      <c r="R123" s="908"/>
      <c r="S123" s="908"/>
      <c r="T123" s="908"/>
      <c r="U123" s="908"/>
    </row>
    <row r="124" spans="1:21">
      <c r="A124" s="3"/>
      <c r="B124" s="3"/>
      <c r="C124" s="3"/>
      <c r="D124" s="3"/>
      <c r="E124" s="3"/>
      <c r="F124" s="3"/>
      <c r="G124" s="3"/>
      <c r="H124" s="3"/>
      <c r="I124" s="3"/>
      <c r="J124" s="3"/>
      <c r="K124" s="3"/>
      <c r="L124" s="3"/>
      <c r="M124" s="3"/>
      <c r="N124" s="3"/>
      <c r="O124" s="3"/>
      <c r="P124" s="3"/>
      <c r="Q124" s="3"/>
      <c r="R124" s="908"/>
      <c r="S124" s="908"/>
      <c r="T124" s="908"/>
      <c r="U124" s="908"/>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636</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6" t="s">
        <v>253</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516</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517</v>
      </c>
      <c r="D10" s="3"/>
      <c r="E10" s="3"/>
      <c r="F10" s="3"/>
      <c r="G10" s="587" t="s">
        <v>520</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519</v>
      </c>
      <c r="D13" s="3"/>
      <c r="E13" s="3"/>
      <c r="F13" s="3"/>
      <c r="G13" s="587" t="s">
        <v>518</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521</v>
      </c>
      <c r="D16" s="3"/>
      <c r="E16" s="3"/>
      <c r="F16" s="3"/>
      <c r="G16" s="3"/>
      <c r="H16" s="3"/>
      <c r="I16" s="3"/>
      <c r="J16" s="3"/>
      <c r="K16" s="3"/>
      <c r="L16" s="3"/>
      <c r="M16" s="3"/>
      <c r="N16" s="3"/>
      <c r="O16" s="3"/>
      <c r="P16" s="3"/>
      <c r="Q16" s="3"/>
      <c r="R16" s="3"/>
      <c r="S16" s="3"/>
    </row>
    <row r="17" spans="1:19">
      <c r="A17" s="3"/>
      <c r="B17" s="3"/>
      <c r="C17" s="3"/>
      <c r="D17" s="3"/>
      <c r="E17" s="3"/>
      <c r="F17" s="3"/>
      <c r="G17" s="587" t="s">
        <v>522</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87" t="s">
        <v>523</v>
      </c>
      <c r="H19" s="3"/>
      <c r="I19" s="3"/>
      <c r="J19" s="3"/>
      <c r="K19" s="3"/>
      <c r="L19" s="3"/>
      <c r="M19" s="3"/>
      <c r="N19" s="3"/>
      <c r="O19" s="3"/>
      <c r="P19" s="3"/>
      <c r="Q19" s="3"/>
      <c r="R19" s="3"/>
      <c r="S19" s="3"/>
    </row>
    <row r="20" spans="1:19">
      <c r="A20" s="3"/>
      <c r="B20" s="3"/>
      <c r="C20" s="3"/>
      <c r="D20" s="3"/>
      <c r="E20" s="3"/>
      <c r="F20" s="3"/>
      <c r="G20" s="587"/>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524</v>
      </c>
      <c r="D22" s="3"/>
      <c r="E22" s="3"/>
      <c r="F22" s="3"/>
      <c r="G22" s="587" t="s">
        <v>635</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633</v>
      </c>
      <c r="D24" s="3"/>
      <c r="E24" s="3"/>
      <c r="F24" s="3"/>
      <c r="G24" s="587" t="s">
        <v>634</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525</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86" t="s">
        <v>547</v>
      </c>
      <c r="C31" s="563"/>
      <c r="D31" s="563"/>
      <c r="E31" s="563"/>
      <c r="F31" s="563"/>
      <c r="G31" s="563"/>
      <c r="H31" s="563"/>
      <c r="I31" s="563"/>
      <c r="J31" s="563"/>
      <c r="K31" s="563"/>
      <c r="L31" s="563"/>
      <c r="M31" s="564"/>
      <c r="N31" s="3"/>
      <c r="O31" s="3"/>
      <c r="P31" s="3"/>
      <c r="Q31" s="3"/>
      <c r="R31" s="3"/>
      <c r="S31" s="3"/>
    </row>
    <row r="32" spans="1:19">
      <c r="A32" s="3"/>
      <c r="B32" s="565"/>
      <c r="C32" s="141" t="s">
        <v>201</v>
      </c>
      <c r="D32" s="141"/>
      <c r="E32" s="141"/>
      <c r="F32" s="141"/>
      <c r="G32" s="141"/>
      <c r="H32" s="141"/>
      <c r="I32" s="141"/>
      <c r="J32" s="141"/>
      <c r="K32" s="141"/>
      <c r="L32" s="141"/>
      <c r="M32" s="143"/>
      <c r="N32" s="3"/>
      <c r="O32" s="3"/>
      <c r="P32" s="3"/>
      <c r="Q32" s="3"/>
      <c r="R32" s="3"/>
      <c r="S32" s="3"/>
    </row>
    <row r="33" spans="1:19">
      <c r="A33" s="3"/>
      <c r="B33" s="565"/>
      <c r="C33" s="141" t="s">
        <v>535</v>
      </c>
      <c r="D33" s="141"/>
      <c r="E33" s="141"/>
      <c r="F33" s="141"/>
      <c r="G33" s="141"/>
      <c r="H33" s="141"/>
      <c r="I33" s="141"/>
      <c r="J33" s="141"/>
      <c r="K33" s="141"/>
      <c r="L33" s="141"/>
      <c r="M33" s="143"/>
      <c r="N33" s="3"/>
      <c r="O33" s="3"/>
      <c r="P33" s="3"/>
      <c r="Q33" s="3"/>
      <c r="R33" s="3"/>
      <c r="S33" s="3"/>
    </row>
    <row r="34" spans="1:19" ht="13" thickBot="1">
      <c r="A34" s="3"/>
      <c r="B34" s="566"/>
      <c r="C34" s="146" t="s">
        <v>606</v>
      </c>
      <c r="D34" s="146"/>
      <c r="E34" s="146"/>
      <c r="F34" s="146"/>
      <c r="G34" s="146"/>
      <c r="H34" s="146"/>
      <c r="I34" s="146"/>
      <c r="J34" s="146"/>
      <c r="K34" s="146"/>
      <c r="L34" s="146"/>
      <c r="M34" s="150"/>
      <c r="N34" s="3"/>
      <c r="O34" s="3"/>
      <c r="P34" s="3"/>
      <c r="Q34" s="3"/>
      <c r="R34" s="3"/>
      <c r="S34" s="3"/>
    </row>
    <row r="35" spans="1:19" ht="13">
      <c r="A35" s="3"/>
      <c r="B35" s="581" t="s">
        <v>532</v>
      </c>
      <c r="C35" s="582" t="s">
        <v>531</v>
      </c>
      <c r="D35" s="583"/>
      <c r="E35" s="584" t="s">
        <v>526</v>
      </c>
      <c r="F35" s="583"/>
      <c r="G35" s="583"/>
      <c r="H35" s="582" t="s">
        <v>527</v>
      </c>
      <c r="I35" s="585"/>
      <c r="J35" s="310"/>
      <c r="K35" s="298"/>
      <c r="L35" s="298"/>
      <c r="M35" s="312"/>
      <c r="N35" s="3"/>
      <c r="O35" s="3"/>
      <c r="P35" s="3"/>
      <c r="Q35" s="3"/>
      <c r="R35" s="3"/>
      <c r="S35" s="3"/>
    </row>
    <row r="36" spans="1:19">
      <c r="A36" s="3"/>
      <c r="B36" s="575">
        <v>1</v>
      </c>
      <c r="C36" s="567">
        <v>10</v>
      </c>
      <c r="D36" s="567" t="s">
        <v>830</v>
      </c>
      <c r="E36" s="569">
        <v>12</v>
      </c>
      <c r="F36" s="567" t="s">
        <v>528</v>
      </c>
      <c r="G36" s="567"/>
      <c r="H36" s="570">
        <f>E36/100</f>
        <v>0.12</v>
      </c>
      <c r="I36" s="568" t="s">
        <v>530</v>
      </c>
      <c r="J36" s="310"/>
      <c r="K36" s="298" t="s">
        <v>791</v>
      </c>
      <c r="L36" s="298"/>
      <c r="M36" s="312"/>
      <c r="N36" s="3"/>
      <c r="O36" s="3"/>
      <c r="P36" s="3"/>
      <c r="Q36" s="3"/>
      <c r="R36" s="3"/>
      <c r="S36" s="3"/>
    </row>
    <row r="37" spans="1:19">
      <c r="A37" s="3"/>
      <c r="B37" s="575">
        <v>2</v>
      </c>
      <c r="C37" s="577">
        <v>30</v>
      </c>
      <c r="D37" s="577" t="s">
        <v>830</v>
      </c>
      <c r="E37" s="569">
        <v>17</v>
      </c>
      <c r="F37" s="567" t="s">
        <v>528</v>
      </c>
      <c r="G37" s="567" t="s">
        <v>791</v>
      </c>
      <c r="H37" s="570">
        <f t="shared" ref="H37:H47" si="0">E37/100</f>
        <v>0.17</v>
      </c>
      <c r="I37" s="568" t="s">
        <v>530</v>
      </c>
      <c r="J37" s="310"/>
      <c r="K37" s="298" t="s">
        <v>532</v>
      </c>
      <c r="L37" s="265">
        <v>8</v>
      </c>
      <c r="M37" s="312"/>
      <c r="N37" s="3"/>
      <c r="O37" s="3"/>
      <c r="P37" s="3"/>
      <c r="Q37" s="3"/>
      <c r="R37" s="3"/>
      <c r="S37" s="3"/>
    </row>
    <row r="38" spans="1:19">
      <c r="A38" s="3"/>
      <c r="B38" s="575">
        <v>3</v>
      </c>
      <c r="C38" s="567">
        <v>50</v>
      </c>
      <c r="D38" s="567" t="s">
        <v>830</v>
      </c>
      <c r="E38" s="569" t="s">
        <v>529</v>
      </c>
      <c r="F38" s="567" t="s">
        <v>528</v>
      </c>
      <c r="G38" s="567"/>
      <c r="H38" s="570" t="s">
        <v>529</v>
      </c>
      <c r="I38" s="568" t="s">
        <v>530</v>
      </c>
      <c r="J38" s="310"/>
      <c r="K38" s="298"/>
      <c r="L38" s="298"/>
      <c r="M38" s="312"/>
      <c r="N38" s="3"/>
      <c r="O38" s="3"/>
      <c r="P38" s="3"/>
      <c r="Q38" s="3"/>
      <c r="R38" s="3"/>
      <c r="S38" s="3"/>
    </row>
    <row r="39" spans="1:19">
      <c r="A39" s="3"/>
      <c r="B39" s="575">
        <v>4</v>
      </c>
      <c r="C39" s="567">
        <v>100</v>
      </c>
      <c r="D39" s="567" t="s">
        <v>830</v>
      </c>
      <c r="E39" s="569">
        <v>28</v>
      </c>
      <c r="F39" s="567" t="s">
        <v>528</v>
      </c>
      <c r="G39" s="567"/>
      <c r="H39" s="570">
        <f t="shared" si="0"/>
        <v>0.28000000000000003</v>
      </c>
      <c r="I39" s="568" t="s">
        <v>530</v>
      </c>
      <c r="J39" s="310"/>
      <c r="K39" s="298" t="s">
        <v>829</v>
      </c>
      <c r="L39" s="578">
        <f>INDEX(C36:C48,L37,1)</f>
        <v>435</v>
      </c>
      <c r="M39" s="312"/>
      <c r="N39" s="3"/>
      <c r="O39" s="3"/>
      <c r="P39" s="3"/>
      <c r="Q39" s="3"/>
      <c r="R39" s="3"/>
      <c r="S39" s="3"/>
    </row>
    <row r="40" spans="1:19">
      <c r="A40" s="3"/>
      <c r="B40" s="575">
        <v>5</v>
      </c>
      <c r="C40" s="577">
        <v>145</v>
      </c>
      <c r="D40" s="577" t="s">
        <v>830</v>
      </c>
      <c r="E40" s="569">
        <v>32</v>
      </c>
      <c r="F40" s="567" t="s">
        <v>528</v>
      </c>
      <c r="G40" s="567"/>
      <c r="H40" s="570">
        <f t="shared" si="0"/>
        <v>0.32</v>
      </c>
      <c r="I40" s="568" t="s">
        <v>530</v>
      </c>
      <c r="J40" s="310"/>
      <c r="K40" s="298"/>
      <c r="L40" s="298"/>
      <c r="M40" s="312"/>
      <c r="N40" s="3"/>
      <c r="O40" s="3"/>
      <c r="P40" s="3"/>
      <c r="Q40" s="3"/>
      <c r="R40" s="3"/>
      <c r="S40" s="3"/>
    </row>
    <row r="41" spans="1:19">
      <c r="A41" s="3"/>
      <c r="B41" s="575">
        <v>6</v>
      </c>
      <c r="C41" s="567">
        <v>200</v>
      </c>
      <c r="D41" s="567" t="s">
        <v>830</v>
      </c>
      <c r="E41" s="569">
        <v>40</v>
      </c>
      <c r="F41" s="567" t="s">
        <v>528</v>
      </c>
      <c r="G41" s="567" t="s">
        <v>791</v>
      </c>
      <c r="H41" s="570">
        <f t="shared" si="0"/>
        <v>0.4</v>
      </c>
      <c r="I41" s="568" t="s">
        <v>530</v>
      </c>
      <c r="J41" s="310"/>
      <c r="K41" s="298" t="s">
        <v>533</v>
      </c>
      <c r="L41" s="579">
        <v>0.25</v>
      </c>
      <c r="M41" s="312"/>
      <c r="N41" s="3"/>
      <c r="O41" s="3"/>
      <c r="P41" s="3"/>
      <c r="Q41" s="3"/>
      <c r="R41" s="3"/>
      <c r="S41" s="3"/>
    </row>
    <row r="42" spans="1:19">
      <c r="A42" s="3"/>
      <c r="B42" s="575">
        <v>7</v>
      </c>
      <c r="C42" s="567">
        <v>400</v>
      </c>
      <c r="D42" s="567" t="s">
        <v>830</v>
      </c>
      <c r="E42" s="569" t="s">
        <v>529</v>
      </c>
      <c r="F42" s="567" t="s">
        <v>528</v>
      </c>
      <c r="G42" s="567"/>
      <c r="H42" s="570" t="s">
        <v>529</v>
      </c>
      <c r="I42" s="568" t="s">
        <v>530</v>
      </c>
      <c r="J42" s="310"/>
      <c r="K42" s="298"/>
      <c r="L42" s="298"/>
      <c r="M42" s="312"/>
      <c r="N42" s="3"/>
      <c r="O42" s="3"/>
      <c r="P42" s="3"/>
      <c r="Q42" s="3"/>
      <c r="R42" s="3"/>
      <c r="S42" s="3"/>
    </row>
    <row r="43" spans="1:19">
      <c r="A43" s="3"/>
      <c r="B43" s="575">
        <v>8</v>
      </c>
      <c r="C43" s="577">
        <v>435</v>
      </c>
      <c r="D43" s="577" t="s">
        <v>830</v>
      </c>
      <c r="E43" s="569">
        <v>58</v>
      </c>
      <c r="F43" s="567" t="s">
        <v>528</v>
      </c>
      <c r="G43" s="567"/>
      <c r="H43" s="570">
        <f t="shared" si="0"/>
        <v>0.57999999999999996</v>
      </c>
      <c r="I43" s="568" t="s">
        <v>530</v>
      </c>
      <c r="J43" s="310"/>
      <c r="K43" s="298" t="s">
        <v>534</v>
      </c>
      <c r="L43" s="580">
        <f>(INDEX(H36:H48,L37,1))*L41</f>
        <v>0.14499999999999999</v>
      </c>
      <c r="M43" s="312"/>
      <c r="N43" s="3"/>
      <c r="O43" s="3"/>
      <c r="P43" s="3"/>
      <c r="Q43" s="3"/>
      <c r="R43" s="3"/>
      <c r="S43" s="3"/>
    </row>
    <row r="44" spans="1:19">
      <c r="A44" s="3"/>
      <c r="B44" s="575">
        <v>9</v>
      </c>
      <c r="C44" s="567">
        <v>500</v>
      </c>
      <c r="D44" s="567" t="s">
        <v>830</v>
      </c>
      <c r="E44" s="569">
        <v>68</v>
      </c>
      <c r="F44" s="567" t="s">
        <v>528</v>
      </c>
      <c r="G44" s="567"/>
      <c r="H44" s="570">
        <f t="shared" si="0"/>
        <v>0.68</v>
      </c>
      <c r="I44" s="568" t="s">
        <v>530</v>
      </c>
      <c r="J44" s="310"/>
      <c r="K44" s="298"/>
      <c r="L44" s="298"/>
      <c r="M44" s="312"/>
      <c r="N44" s="3"/>
      <c r="O44" s="3"/>
      <c r="P44" s="3"/>
      <c r="Q44" s="3"/>
      <c r="R44" s="3"/>
      <c r="S44" s="3"/>
    </row>
    <row r="45" spans="1:19">
      <c r="A45" s="3"/>
      <c r="B45" s="575">
        <v>10</v>
      </c>
      <c r="C45" s="577">
        <v>1270</v>
      </c>
      <c r="D45" s="577" t="s">
        <v>830</v>
      </c>
      <c r="E45" s="569">
        <v>113</v>
      </c>
      <c r="F45" s="567" t="s">
        <v>528</v>
      </c>
      <c r="G45" s="567"/>
      <c r="H45" s="570">
        <f t="shared" si="0"/>
        <v>1.1299999999999999</v>
      </c>
      <c r="I45" s="568" t="s">
        <v>530</v>
      </c>
      <c r="J45" s="310"/>
      <c r="K45" s="298"/>
      <c r="L45" s="298"/>
      <c r="M45" s="312"/>
      <c r="N45" s="3"/>
      <c r="O45" s="3"/>
      <c r="P45" s="3"/>
      <c r="Q45" s="3"/>
      <c r="R45" s="3"/>
      <c r="S45" s="3"/>
    </row>
    <row r="46" spans="1:19">
      <c r="A46" s="3"/>
      <c r="B46" s="575">
        <v>11</v>
      </c>
      <c r="C46" s="577">
        <v>2400</v>
      </c>
      <c r="D46" s="577" t="s">
        <v>830</v>
      </c>
      <c r="E46" s="569">
        <v>165</v>
      </c>
      <c r="F46" s="567" t="s">
        <v>528</v>
      </c>
      <c r="G46" s="567"/>
      <c r="H46" s="570">
        <f t="shared" si="0"/>
        <v>1.65</v>
      </c>
      <c r="I46" s="568" t="s">
        <v>530</v>
      </c>
      <c r="J46" s="310"/>
      <c r="K46" s="298"/>
      <c r="L46" s="346" t="s">
        <v>140</v>
      </c>
      <c r="M46" s="312"/>
      <c r="N46" s="3"/>
      <c r="O46" s="3"/>
      <c r="P46" s="3"/>
      <c r="Q46" s="3"/>
      <c r="R46" s="3"/>
      <c r="S46" s="3"/>
    </row>
    <row r="47" spans="1:19">
      <c r="A47" s="3"/>
      <c r="B47" s="575">
        <v>12</v>
      </c>
      <c r="C47" s="567">
        <v>3300</v>
      </c>
      <c r="D47" s="567" t="s">
        <v>830</v>
      </c>
      <c r="E47" s="569">
        <v>268</v>
      </c>
      <c r="F47" s="567" t="s">
        <v>528</v>
      </c>
      <c r="G47" s="567"/>
      <c r="H47" s="570">
        <f t="shared" si="0"/>
        <v>2.68</v>
      </c>
      <c r="I47" s="568" t="s">
        <v>530</v>
      </c>
      <c r="J47" s="310"/>
      <c r="K47" s="298"/>
      <c r="L47" s="298"/>
      <c r="M47" s="312"/>
      <c r="N47" s="3"/>
      <c r="O47" s="3"/>
      <c r="P47" s="3"/>
      <c r="Q47" s="3"/>
      <c r="R47" s="3"/>
      <c r="S47" s="3"/>
    </row>
    <row r="48" spans="1:19" ht="13" thickBot="1">
      <c r="A48" s="3"/>
      <c r="B48" s="576">
        <v>13</v>
      </c>
      <c r="C48" s="571">
        <v>5000</v>
      </c>
      <c r="D48" s="571" t="s">
        <v>830</v>
      </c>
      <c r="E48" s="572" t="s">
        <v>529</v>
      </c>
      <c r="F48" s="571" t="s">
        <v>528</v>
      </c>
      <c r="G48" s="571"/>
      <c r="H48" s="573" t="s">
        <v>529</v>
      </c>
      <c r="I48" s="574" t="s">
        <v>530</v>
      </c>
      <c r="J48" s="313" t="s">
        <v>609</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791</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86" t="s">
        <v>610</v>
      </c>
      <c r="C52" s="563"/>
      <c r="D52" s="563"/>
      <c r="E52" s="563"/>
      <c r="F52" s="563"/>
      <c r="G52" s="563"/>
      <c r="H52" s="563"/>
      <c r="I52" s="563"/>
      <c r="J52" s="563"/>
      <c r="K52" s="563"/>
      <c r="L52" s="563"/>
      <c r="M52" s="564"/>
      <c r="N52" s="3"/>
      <c r="O52" s="3"/>
      <c r="P52" s="3"/>
      <c r="Q52" s="3"/>
      <c r="R52" s="3"/>
      <c r="S52" s="3"/>
    </row>
    <row r="53" spans="1:19">
      <c r="A53" s="3"/>
      <c r="B53" s="565"/>
      <c r="C53" s="141" t="s">
        <v>550</v>
      </c>
      <c r="D53" s="141"/>
      <c r="E53" s="141"/>
      <c r="F53" s="141"/>
      <c r="G53" s="141"/>
      <c r="H53" s="141"/>
      <c r="I53" s="141"/>
      <c r="J53" s="141"/>
      <c r="K53" s="141"/>
      <c r="L53" s="141"/>
      <c r="M53" s="143"/>
      <c r="N53" s="3"/>
      <c r="O53" s="3"/>
      <c r="P53" s="3"/>
      <c r="Q53" s="3"/>
      <c r="R53" s="3"/>
      <c r="S53" s="3"/>
    </row>
    <row r="54" spans="1:19">
      <c r="A54" s="3"/>
      <c r="B54" s="565"/>
      <c r="C54" s="141" t="s">
        <v>604</v>
      </c>
      <c r="D54" s="141"/>
      <c r="E54" s="141"/>
      <c r="F54" s="141"/>
      <c r="G54" s="141"/>
      <c r="H54" s="141"/>
      <c r="I54" s="141"/>
      <c r="J54" s="141"/>
      <c r="K54" s="141"/>
      <c r="L54" s="141"/>
      <c r="M54" s="143"/>
      <c r="N54" s="3"/>
      <c r="O54" s="3"/>
      <c r="P54" s="3"/>
      <c r="Q54" s="3"/>
      <c r="R54" s="3"/>
      <c r="S54" s="3"/>
    </row>
    <row r="55" spans="1:19" ht="13" thickBot="1">
      <c r="A55" s="3"/>
      <c r="B55" s="566"/>
      <c r="C55" s="146" t="s">
        <v>607</v>
      </c>
      <c r="D55" s="146"/>
      <c r="E55" s="146"/>
      <c r="F55" s="146"/>
      <c r="G55" s="146"/>
      <c r="H55" s="146"/>
      <c r="I55" s="146"/>
      <c r="J55" s="146"/>
      <c r="K55" s="146"/>
      <c r="L55" s="146"/>
      <c r="M55" s="150"/>
      <c r="N55" s="3"/>
      <c r="O55" s="3"/>
      <c r="P55" s="3"/>
      <c r="Q55" s="3"/>
      <c r="R55" s="3"/>
      <c r="S55" s="3"/>
    </row>
    <row r="56" spans="1:19" ht="13">
      <c r="A56" s="3"/>
      <c r="B56" s="581" t="s">
        <v>532</v>
      </c>
      <c r="C56" s="582" t="s">
        <v>531</v>
      </c>
      <c r="D56" s="583"/>
      <c r="E56" s="584" t="s">
        <v>526</v>
      </c>
      <c r="F56" s="583"/>
      <c r="G56" s="583"/>
      <c r="H56" s="582" t="s">
        <v>527</v>
      </c>
      <c r="I56" s="585"/>
      <c r="J56" s="310"/>
      <c r="K56" s="298"/>
      <c r="L56" s="298"/>
      <c r="M56" s="312"/>
      <c r="N56" s="3"/>
      <c r="O56" s="3"/>
      <c r="P56" s="3"/>
      <c r="Q56" s="3"/>
      <c r="R56" s="3"/>
      <c r="S56" s="3"/>
    </row>
    <row r="57" spans="1:19">
      <c r="A57" s="3"/>
      <c r="B57" s="575">
        <v>1</v>
      </c>
      <c r="C57" s="567">
        <v>10</v>
      </c>
      <c r="D57" s="567" t="s">
        <v>830</v>
      </c>
      <c r="E57" s="569">
        <v>7</v>
      </c>
      <c r="F57" s="567" t="s">
        <v>528</v>
      </c>
      <c r="G57" s="567"/>
      <c r="H57" s="570">
        <f>E57/100</f>
        <v>7.0000000000000007E-2</v>
      </c>
      <c r="I57" s="568" t="s">
        <v>530</v>
      </c>
      <c r="J57" s="310"/>
      <c r="K57" s="298" t="s">
        <v>791</v>
      </c>
      <c r="L57" s="298"/>
      <c r="M57" s="312"/>
      <c r="N57" s="3"/>
      <c r="O57" s="3"/>
      <c r="P57" s="3"/>
      <c r="Q57" s="3"/>
      <c r="R57" s="3"/>
      <c r="S57" s="3"/>
    </row>
    <row r="58" spans="1:19">
      <c r="A58" s="3"/>
      <c r="B58" s="575">
        <v>2</v>
      </c>
      <c r="C58" s="577">
        <v>30</v>
      </c>
      <c r="D58" s="577" t="s">
        <v>830</v>
      </c>
      <c r="E58" s="569">
        <v>9</v>
      </c>
      <c r="F58" s="567" t="s">
        <v>528</v>
      </c>
      <c r="G58" s="567" t="s">
        <v>791</v>
      </c>
      <c r="H58" s="570">
        <f>E58/100</f>
        <v>0.09</v>
      </c>
      <c r="I58" s="568" t="s">
        <v>530</v>
      </c>
      <c r="J58" s="310"/>
      <c r="K58" s="298" t="s">
        <v>532</v>
      </c>
      <c r="L58" s="265">
        <v>10</v>
      </c>
      <c r="M58" s="312"/>
      <c r="N58" s="3"/>
      <c r="O58" s="3"/>
      <c r="P58" s="3"/>
      <c r="Q58" s="3"/>
      <c r="R58" s="3"/>
      <c r="S58" s="3"/>
    </row>
    <row r="59" spans="1:19">
      <c r="A59" s="3"/>
      <c r="B59" s="575">
        <v>3</v>
      </c>
      <c r="C59" s="567">
        <v>50</v>
      </c>
      <c r="D59" s="567" t="s">
        <v>830</v>
      </c>
      <c r="E59" s="569" t="s">
        <v>529</v>
      </c>
      <c r="F59" s="567" t="s">
        <v>528</v>
      </c>
      <c r="G59" s="567"/>
      <c r="H59" s="570" t="s">
        <v>529</v>
      </c>
      <c r="I59" s="568" t="s">
        <v>530</v>
      </c>
      <c r="J59" s="310"/>
      <c r="K59" s="298"/>
      <c r="L59" s="298"/>
      <c r="M59" s="312"/>
      <c r="N59" s="3"/>
      <c r="O59" s="3"/>
      <c r="P59" s="3"/>
      <c r="Q59" s="3"/>
      <c r="R59" s="3"/>
      <c r="S59" s="3"/>
    </row>
    <row r="60" spans="1:19">
      <c r="A60" s="3"/>
      <c r="B60" s="575">
        <v>4</v>
      </c>
      <c r="C60" s="567">
        <v>100</v>
      </c>
      <c r="D60" s="567" t="s">
        <v>830</v>
      </c>
      <c r="E60" s="569">
        <v>14</v>
      </c>
      <c r="F60" s="567" t="s">
        <v>528</v>
      </c>
      <c r="G60" s="567"/>
      <c r="H60" s="570">
        <f t="shared" ref="H60:H69" si="1">E60/100</f>
        <v>0.14000000000000001</v>
      </c>
      <c r="I60" s="568" t="s">
        <v>530</v>
      </c>
      <c r="J60" s="310"/>
      <c r="K60" s="298" t="s">
        <v>829</v>
      </c>
      <c r="L60" s="578">
        <f>INDEX(C57:C69,L58,1)</f>
        <v>1270</v>
      </c>
      <c r="M60" s="312"/>
      <c r="N60" s="3"/>
      <c r="O60" s="3"/>
      <c r="P60" s="3"/>
      <c r="Q60" s="3"/>
      <c r="R60" s="3"/>
      <c r="S60" s="3"/>
    </row>
    <row r="61" spans="1:19">
      <c r="A61" s="3"/>
      <c r="B61" s="575">
        <v>5</v>
      </c>
      <c r="C61" s="577">
        <v>145</v>
      </c>
      <c r="D61" s="577" t="s">
        <v>830</v>
      </c>
      <c r="E61" s="569">
        <v>15</v>
      </c>
      <c r="F61" s="567" t="s">
        <v>528</v>
      </c>
      <c r="G61" s="567"/>
      <c r="H61" s="570">
        <f t="shared" si="1"/>
        <v>0.15</v>
      </c>
      <c r="I61" s="568" t="s">
        <v>530</v>
      </c>
      <c r="J61" s="310"/>
      <c r="K61" s="298"/>
      <c r="L61" s="298"/>
      <c r="M61" s="312"/>
      <c r="N61" s="3"/>
      <c r="O61" s="3"/>
      <c r="P61" s="3"/>
      <c r="Q61" s="3"/>
      <c r="R61" s="3"/>
      <c r="S61" s="3"/>
    </row>
    <row r="62" spans="1:19">
      <c r="A62" s="3"/>
      <c r="B62" s="575">
        <v>6</v>
      </c>
      <c r="C62" s="567">
        <v>200</v>
      </c>
      <c r="D62" s="567" t="s">
        <v>830</v>
      </c>
      <c r="E62" s="569">
        <v>20</v>
      </c>
      <c r="F62" s="567" t="s">
        <v>528</v>
      </c>
      <c r="G62" s="567" t="s">
        <v>791</v>
      </c>
      <c r="H62" s="570">
        <f t="shared" si="1"/>
        <v>0.2</v>
      </c>
      <c r="I62" s="568" t="s">
        <v>530</v>
      </c>
      <c r="J62" s="310"/>
      <c r="K62" s="298" t="s">
        <v>533</v>
      </c>
      <c r="L62" s="579">
        <v>0.75</v>
      </c>
      <c r="M62" s="312"/>
      <c r="N62" s="3"/>
      <c r="O62" s="3"/>
      <c r="P62" s="3"/>
      <c r="Q62" s="3"/>
      <c r="R62" s="3"/>
      <c r="S62" s="3"/>
    </row>
    <row r="63" spans="1:19">
      <c r="A63" s="3"/>
      <c r="B63" s="575">
        <v>7</v>
      </c>
      <c r="C63" s="567">
        <v>400</v>
      </c>
      <c r="D63" s="567" t="s">
        <v>830</v>
      </c>
      <c r="E63" s="569">
        <v>28</v>
      </c>
      <c r="F63" s="567" t="s">
        <v>528</v>
      </c>
      <c r="G63" s="567"/>
      <c r="H63" s="570">
        <f t="shared" si="1"/>
        <v>0.28000000000000003</v>
      </c>
      <c r="I63" s="568" t="s">
        <v>530</v>
      </c>
      <c r="J63" s="310"/>
      <c r="K63" s="298"/>
      <c r="L63" s="298"/>
      <c r="M63" s="312"/>
      <c r="N63" s="3"/>
      <c r="O63" s="3"/>
      <c r="P63" s="3"/>
      <c r="Q63" s="3"/>
      <c r="R63" s="3"/>
      <c r="S63" s="3"/>
    </row>
    <row r="64" spans="1:19">
      <c r="A64" s="3"/>
      <c r="B64" s="575">
        <v>8</v>
      </c>
      <c r="C64" s="577">
        <v>435</v>
      </c>
      <c r="D64" s="577" t="s">
        <v>830</v>
      </c>
      <c r="E64" s="569">
        <v>30</v>
      </c>
      <c r="F64" s="567" t="s">
        <v>528</v>
      </c>
      <c r="G64" s="567"/>
      <c r="H64" s="570">
        <f t="shared" si="1"/>
        <v>0.3</v>
      </c>
      <c r="I64" s="568" t="s">
        <v>530</v>
      </c>
      <c r="J64" s="310"/>
      <c r="K64" s="298" t="s">
        <v>534</v>
      </c>
      <c r="L64" s="580">
        <f>(INDEX(H57:H69,L58,1))*L62</f>
        <v>0.36749999999999999</v>
      </c>
      <c r="M64" s="312"/>
      <c r="N64" s="3"/>
      <c r="O64" s="3"/>
      <c r="P64" s="3"/>
      <c r="Q64" s="3"/>
      <c r="R64" s="3"/>
      <c r="S64" s="3"/>
    </row>
    <row r="65" spans="1:19">
      <c r="A65" s="3"/>
      <c r="B65" s="575">
        <v>9</v>
      </c>
      <c r="C65" s="567">
        <v>500</v>
      </c>
      <c r="D65" s="567" t="s">
        <v>830</v>
      </c>
      <c r="E65" s="569">
        <v>35</v>
      </c>
      <c r="F65" s="567" t="s">
        <v>528</v>
      </c>
      <c r="G65" s="567"/>
      <c r="H65" s="570">
        <f t="shared" si="1"/>
        <v>0.35</v>
      </c>
      <c r="I65" s="568" t="s">
        <v>530</v>
      </c>
      <c r="J65" s="310"/>
      <c r="K65" s="298"/>
      <c r="L65" s="298"/>
      <c r="M65" s="312"/>
      <c r="N65" s="3"/>
      <c r="O65" s="3"/>
      <c r="P65" s="3"/>
      <c r="Q65" s="3"/>
      <c r="R65" s="3"/>
      <c r="S65" s="3"/>
    </row>
    <row r="66" spans="1:19">
      <c r="A66" s="3"/>
      <c r="B66" s="575">
        <v>10</v>
      </c>
      <c r="C66" s="577">
        <v>1270</v>
      </c>
      <c r="D66" s="577" t="s">
        <v>830</v>
      </c>
      <c r="E66" s="569">
        <v>49</v>
      </c>
      <c r="F66" s="567" t="s">
        <v>528</v>
      </c>
      <c r="G66" s="567"/>
      <c r="H66" s="570">
        <f t="shared" si="1"/>
        <v>0.49</v>
      </c>
      <c r="I66" s="568" t="s">
        <v>530</v>
      </c>
      <c r="J66" s="310"/>
      <c r="K66" s="298"/>
      <c r="L66" s="298"/>
      <c r="M66" s="312"/>
      <c r="N66" s="3"/>
      <c r="O66" s="3"/>
      <c r="P66" s="3"/>
      <c r="Q66" s="3"/>
      <c r="R66" s="3"/>
      <c r="S66" s="3"/>
    </row>
    <row r="67" spans="1:19">
      <c r="A67" s="3"/>
      <c r="B67" s="575">
        <v>11</v>
      </c>
      <c r="C67" s="577">
        <v>2400</v>
      </c>
      <c r="D67" s="577" t="s">
        <v>830</v>
      </c>
      <c r="E67" s="569">
        <v>72</v>
      </c>
      <c r="F67" s="567" t="s">
        <v>528</v>
      </c>
      <c r="G67" s="567"/>
      <c r="H67" s="570">
        <f t="shared" si="1"/>
        <v>0.72</v>
      </c>
      <c r="I67" s="568" t="s">
        <v>530</v>
      </c>
      <c r="J67" s="310"/>
      <c r="K67" s="298"/>
      <c r="L67" s="346" t="s">
        <v>140</v>
      </c>
      <c r="M67" s="312"/>
      <c r="N67" s="3"/>
      <c r="O67" s="3"/>
      <c r="P67" s="3"/>
      <c r="Q67" s="3"/>
      <c r="R67" s="3"/>
      <c r="S67" s="3"/>
    </row>
    <row r="68" spans="1:19">
      <c r="A68" s="3"/>
      <c r="B68" s="575">
        <v>12</v>
      </c>
      <c r="C68" s="567">
        <v>3300</v>
      </c>
      <c r="D68" s="567" t="s">
        <v>830</v>
      </c>
      <c r="E68" s="569">
        <v>95</v>
      </c>
      <c r="F68" s="567" t="s">
        <v>528</v>
      </c>
      <c r="G68" s="567"/>
      <c r="H68" s="570">
        <f t="shared" si="1"/>
        <v>0.95</v>
      </c>
      <c r="I68" s="568" t="s">
        <v>530</v>
      </c>
      <c r="J68" s="310"/>
      <c r="K68" s="298"/>
      <c r="L68" s="298"/>
      <c r="M68" s="312"/>
      <c r="N68" s="3"/>
      <c r="O68" s="3"/>
      <c r="P68" s="3"/>
      <c r="Q68" s="3"/>
      <c r="R68" s="3"/>
      <c r="S68" s="3"/>
    </row>
    <row r="69" spans="1:19" ht="13" thickBot="1">
      <c r="A69" s="3"/>
      <c r="B69" s="576">
        <v>13</v>
      </c>
      <c r="C69" s="571">
        <v>5000</v>
      </c>
      <c r="D69" s="571" t="s">
        <v>830</v>
      </c>
      <c r="E69" s="572">
        <v>128</v>
      </c>
      <c r="F69" s="571" t="s">
        <v>528</v>
      </c>
      <c r="G69" s="571"/>
      <c r="H69" s="573">
        <f t="shared" si="1"/>
        <v>1.28</v>
      </c>
      <c r="I69" s="574" t="s">
        <v>530</v>
      </c>
      <c r="J69" s="313" t="s">
        <v>608</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791</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86" t="s">
        <v>613</v>
      </c>
      <c r="C73" s="563"/>
      <c r="D73" s="563"/>
      <c r="E73" s="563"/>
      <c r="F73" s="563"/>
      <c r="G73" s="563"/>
      <c r="H73" s="563"/>
      <c r="I73" s="563"/>
      <c r="J73" s="563"/>
      <c r="K73" s="563"/>
      <c r="L73" s="563"/>
      <c r="M73" s="564"/>
      <c r="N73" s="3"/>
      <c r="O73" s="3"/>
      <c r="P73" s="3"/>
      <c r="Q73" s="3"/>
      <c r="R73" s="3"/>
      <c r="S73" s="3"/>
    </row>
    <row r="74" spans="1:19">
      <c r="A74" s="3"/>
      <c r="B74" s="565"/>
      <c r="C74" s="141" t="s">
        <v>605</v>
      </c>
      <c r="D74" s="141"/>
      <c r="E74" s="141"/>
      <c r="F74" s="141"/>
      <c r="G74" s="141"/>
      <c r="H74" s="141"/>
      <c r="I74" s="141"/>
      <c r="J74" s="141"/>
      <c r="K74" s="141"/>
      <c r="L74" s="141"/>
      <c r="M74" s="143"/>
      <c r="N74" s="3"/>
      <c r="O74" s="3"/>
      <c r="P74" s="3"/>
      <c r="Q74" s="3"/>
      <c r="R74" s="3"/>
      <c r="S74" s="3"/>
    </row>
    <row r="75" spans="1:19">
      <c r="A75" s="3"/>
      <c r="B75" s="565"/>
      <c r="C75" s="141" t="s">
        <v>200</v>
      </c>
      <c r="D75" s="141"/>
      <c r="E75" s="141"/>
      <c r="F75" s="141"/>
      <c r="G75" s="141"/>
      <c r="H75" s="141"/>
      <c r="I75" s="141"/>
      <c r="J75" s="141"/>
      <c r="K75" s="141"/>
      <c r="L75" s="141"/>
      <c r="M75" s="143"/>
      <c r="N75" s="3"/>
      <c r="O75" s="3"/>
      <c r="P75" s="3"/>
      <c r="Q75" s="3"/>
      <c r="R75" s="3"/>
      <c r="S75" s="3"/>
    </row>
    <row r="76" spans="1:19" ht="13" thickBot="1">
      <c r="A76" s="3"/>
      <c r="B76" s="566"/>
      <c r="C76" s="146" t="s">
        <v>494</v>
      </c>
      <c r="D76" s="146"/>
      <c r="E76" s="146"/>
      <c r="F76" s="146"/>
      <c r="G76" s="146"/>
      <c r="H76" s="146"/>
      <c r="I76" s="146"/>
      <c r="J76" s="146"/>
      <c r="K76" s="146"/>
      <c r="L76" s="146"/>
      <c r="M76" s="150"/>
      <c r="N76" s="3"/>
      <c r="O76" s="3"/>
      <c r="P76" s="3"/>
      <c r="Q76" s="3"/>
      <c r="R76" s="3"/>
      <c r="S76" s="3"/>
    </row>
    <row r="77" spans="1:19" ht="13">
      <c r="A77" s="3"/>
      <c r="B77" s="581" t="s">
        <v>532</v>
      </c>
      <c r="C77" s="582" t="s">
        <v>531</v>
      </c>
      <c r="D77" s="583"/>
      <c r="E77" s="584" t="s">
        <v>526</v>
      </c>
      <c r="F77" s="583"/>
      <c r="G77" s="583"/>
      <c r="H77" s="582" t="s">
        <v>527</v>
      </c>
      <c r="I77" s="585"/>
      <c r="J77" s="310"/>
      <c r="K77" s="298"/>
      <c r="L77" s="298"/>
      <c r="M77" s="312"/>
      <c r="N77" s="3"/>
      <c r="O77" s="3"/>
      <c r="P77" s="3"/>
      <c r="Q77" s="3"/>
      <c r="R77" s="3"/>
      <c r="S77" s="3"/>
    </row>
    <row r="78" spans="1:19">
      <c r="A78" s="3"/>
      <c r="B78" s="575">
        <v>1</v>
      </c>
      <c r="C78" s="567">
        <v>10</v>
      </c>
      <c r="D78" s="567" t="s">
        <v>830</v>
      </c>
      <c r="E78" s="569">
        <v>9.31</v>
      </c>
      <c r="F78" s="567" t="s">
        <v>528</v>
      </c>
      <c r="G78" s="567"/>
      <c r="H78" s="570">
        <f>E78/100</f>
        <v>9.3100000000000002E-2</v>
      </c>
      <c r="I78" s="568" t="s">
        <v>530</v>
      </c>
      <c r="J78" s="310"/>
      <c r="K78" s="298" t="s">
        <v>791</v>
      </c>
      <c r="L78" s="298"/>
      <c r="M78" s="312"/>
      <c r="N78" s="3"/>
      <c r="O78" s="3"/>
      <c r="P78" s="3"/>
      <c r="Q78" s="3"/>
      <c r="R78" s="3"/>
      <c r="S78" s="3"/>
    </row>
    <row r="79" spans="1:19">
      <c r="A79" s="3"/>
      <c r="B79" s="575">
        <v>2</v>
      </c>
      <c r="C79" s="577">
        <v>30</v>
      </c>
      <c r="D79" s="577" t="s">
        <v>830</v>
      </c>
      <c r="E79" s="569">
        <v>12</v>
      </c>
      <c r="F79" s="567" t="s">
        <v>528</v>
      </c>
      <c r="G79" s="567" t="s">
        <v>791</v>
      </c>
      <c r="H79" s="570">
        <f>E79/100</f>
        <v>0.12</v>
      </c>
      <c r="I79" s="568" t="s">
        <v>530</v>
      </c>
      <c r="J79" s="310"/>
      <c r="K79" s="298" t="s">
        <v>532</v>
      </c>
      <c r="L79" s="265">
        <v>11</v>
      </c>
      <c r="M79" s="312"/>
      <c r="N79" s="3"/>
      <c r="O79" s="3"/>
      <c r="P79" s="3"/>
      <c r="Q79" s="3"/>
      <c r="R79" s="3"/>
      <c r="S79" s="3"/>
    </row>
    <row r="80" spans="1:19">
      <c r="A80" s="3"/>
      <c r="B80" s="575">
        <v>3</v>
      </c>
      <c r="C80" s="567">
        <v>50</v>
      </c>
      <c r="D80" s="567" t="s">
        <v>830</v>
      </c>
      <c r="E80" s="569" t="s">
        <v>529</v>
      </c>
      <c r="F80" s="567" t="s">
        <v>528</v>
      </c>
      <c r="G80" s="567"/>
      <c r="H80" s="570" t="s">
        <v>529</v>
      </c>
      <c r="I80" s="568" t="s">
        <v>530</v>
      </c>
      <c r="J80" s="310"/>
      <c r="K80" s="298"/>
      <c r="L80" s="298"/>
      <c r="M80" s="312"/>
      <c r="N80" s="3"/>
      <c r="O80" s="3"/>
      <c r="P80" s="3"/>
      <c r="Q80" s="3"/>
      <c r="R80" s="3"/>
      <c r="S80" s="3"/>
    </row>
    <row r="81" spans="1:19">
      <c r="A81" s="3"/>
      <c r="B81" s="575">
        <v>4</v>
      </c>
      <c r="C81" s="567">
        <v>100</v>
      </c>
      <c r="D81" s="567" t="s">
        <v>830</v>
      </c>
      <c r="E81" s="569">
        <v>18.600000000000001</v>
      </c>
      <c r="F81" s="567" t="s">
        <v>528</v>
      </c>
      <c r="G81" s="567"/>
      <c r="H81" s="570">
        <f t="shared" ref="H81:H90" si="2">E81/100</f>
        <v>0.18600000000000003</v>
      </c>
      <c r="I81" s="568" t="s">
        <v>530</v>
      </c>
      <c r="J81" s="310"/>
      <c r="K81" s="298" t="s">
        <v>829</v>
      </c>
      <c r="L81" s="578">
        <f>INDEX(C78:C90,L79,1)</f>
        <v>2400</v>
      </c>
      <c r="M81" s="312"/>
      <c r="N81" s="3"/>
      <c r="O81" s="3"/>
      <c r="P81" s="3"/>
      <c r="Q81" s="3"/>
      <c r="R81" s="3"/>
      <c r="S81" s="3"/>
    </row>
    <row r="82" spans="1:19">
      <c r="A82" s="3"/>
      <c r="B82" s="575">
        <v>5</v>
      </c>
      <c r="C82" s="577">
        <v>145</v>
      </c>
      <c r="D82" s="577" t="s">
        <v>830</v>
      </c>
      <c r="E82" s="569">
        <v>19.95</v>
      </c>
      <c r="F82" s="567" t="s">
        <v>528</v>
      </c>
      <c r="G82" s="567"/>
      <c r="H82" s="570">
        <f t="shared" si="2"/>
        <v>0.19949999999999998</v>
      </c>
      <c r="I82" s="568" t="s">
        <v>530</v>
      </c>
      <c r="J82" s="310"/>
      <c r="K82" s="298"/>
      <c r="L82" s="298"/>
      <c r="M82" s="312"/>
      <c r="N82" s="3"/>
      <c r="O82" s="3"/>
      <c r="P82" s="3"/>
      <c r="Q82" s="3"/>
      <c r="R82" s="3"/>
      <c r="S82" s="3"/>
    </row>
    <row r="83" spans="1:19">
      <c r="A83" s="3"/>
      <c r="B83" s="575">
        <v>6</v>
      </c>
      <c r="C83" s="567">
        <v>200</v>
      </c>
      <c r="D83" s="567" t="s">
        <v>830</v>
      </c>
      <c r="E83" s="569">
        <v>26.6</v>
      </c>
      <c r="F83" s="567" t="s">
        <v>528</v>
      </c>
      <c r="G83" s="567" t="s">
        <v>791</v>
      </c>
      <c r="H83" s="570">
        <f t="shared" si="2"/>
        <v>0.26600000000000001</v>
      </c>
      <c r="I83" s="568" t="s">
        <v>530</v>
      </c>
      <c r="J83" s="310"/>
      <c r="K83" s="298" t="s">
        <v>533</v>
      </c>
      <c r="L83" s="579">
        <v>0.5</v>
      </c>
      <c r="M83" s="312"/>
      <c r="N83" s="3"/>
      <c r="O83" s="3"/>
      <c r="P83" s="3"/>
      <c r="Q83" s="3"/>
      <c r="R83" s="3"/>
      <c r="S83" s="3"/>
    </row>
    <row r="84" spans="1:19">
      <c r="A84" s="3"/>
      <c r="B84" s="575">
        <v>7</v>
      </c>
      <c r="C84" s="567">
        <v>400</v>
      </c>
      <c r="D84" s="567" t="s">
        <v>830</v>
      </c>
      <c r="E84" s="569">
        <v>37.24</v>
      </c>
      <c r="F84" s="567" t="s">
        <v>528</v>
      </c>
      <c r="G84" s="567"/>
      <c r="H84" s="570">
        <f>E84/100</f>
        <v>0.37240000000000001</v>
      </c>
      <c r="I84" s="568" t="s">
        <v>530</v>
      </c>
      <c r="J84" s="310"/>
      <c r="K84" s="298"/>
      <c r="L84" s="298"/>
      <c r="M84" s="312"/>
      <c r="N84" s="3"/>
      <c r="O84" s="3"/>
      <c r="P84" s="3"/>
      <c r="Q84" s="3"/>
      <c r="R84" s="3"/>
      <c r="S84" s="3"/>
    </row>
    <row r="85" spans="1:19">
      <c r="A85" s="3"/>
      <c r="B85" s="575">
        <v>8</v>
      </c>
      <c r="C85" s="577">
        <v>435</v>
      </c>
      <c r="D85" s="577" t="s">
        <v>830</v>
      </c>
      <c r="E85" s="569">
        <v>40</v>
      </c>
      <c r="F85" s="567" t="s">
        <v>528</v>
      </c>
      <c r="G85" s="567"/>
      <c r="H85" s="570">
        <f t="shared" si="2"/>
        <v>0.4</v>
      </c>
      <c r="I85" s="568" t="s">
        <v>530</v>
      </c>
      <c r="J85" s="310"/>
      <c r="K85" s="298" t="s">
        <v>534</v>
      </c>
      <c r="L85" s="580">
        <f>(INDEX(H78:H90,L79,1))*L83</f>
        <v>0.47875000000000001</v>
      </c>
      <c r="M85" s="312"/>
      <c r="N85" s="3"/>
      <c r="O85" s="3"/>
      <c r="P85" s="3"/>
      <c r="Q85" s="3"/>
      <c r="R85" s="3"/>
      <c r="S85" s="3"/>
    </row>
    <row r="86" spans="1:19">
      <c r="A86" s="3"/>
      <c r="B86" s="575">
        <v>9</v>
      </c>
      <c r="C86" s="567">
        <v>500</v>
      </c>
      <c r="D86" s="567" t="s">
        <v>830</v>
      </c>
      <c r="E86" s="569">
        <v>46.55</v>
      </c>
      <c r="F86" s="567" t="s">
        <v>528</v>
      </c>
      <c r="G86" s="567"/>
      <c r="H86" s="570">
        <f t="shared" si="2"/>
        <v>0.46549999999999997</v>
      </c>
      <c r="I86" s="568" t="s">
        <v>530</v>
      </c>
      <c r="J86" s="310"/>
      <c r="K86" s="298"/>
      <c r="L86" s="298"/>
      <c r="M86" s="312"/>
      <c r="N86" s="3"/>
      <c r="O86" s="3"/>
      <c r="P86" s="3"/>
      <c r="Q86" s="3"/>
      <c r="R86" s="3"/>
      <c r="S86" s="3"/>
    </row>
    <row r="87" spans="1:19">
      <c r="A87" s="3"/>
      <c r="B87" s="575">
        <v>10</v>
      </c>
      <c r="C87" s="577">
        <v>1270</v>
      </c>
      <c r="D87" s="577" t="s">
        <v>830</v>
      </c>
      <c r="E87" s="569">
        <v>65.2</v>
      </c>
      <c r="F87" s="567" t="s">
        <v>528</v>
      </c>
      <c r="G87" s="567"/>
      <c r="H87" s="570">
        <f t="shared" si="2"/>
        <v>0.65200000000000002</v>
      </c>
      <c r="I87" s="568" t="s">
        <v>530</v>
      </c>
      <c r="J87" s="310"/>
      <c r="K87" s="298"/>
      <c r="L87" s="298"/>
      <c r="M87" s="312"/>
      <c r="N87" s="3"/>
      <c r="O87" s="3"/>
      <c r="P87" s="3"/>
      <c r="Q87" s="3"/>
      <c r="R87" s="3"/>
      <c r="S87" s="3"/>
    </row>
    <row r="88" spans="1:19">
      <c r="A88" s="3"/>
      <c r="B88" s="575">
        <v>11</v>
      </c>
      <c r="C88" s="577">
        <v>2400</v>
      </c>
      <c r="D88" s="577" t="s">
        <v>830</v>
      </c>
      <c r="E88" s="569">
        <v>95.75</v>
      </c>
      <c r="F88" s="567" t="s">
        <v>528</v>
      </c>
      <c r="G88" s="567"/>
      <c r="H88" s="570">
        <f t="shared" si="2"/>
        <v>0.95750000000000002</v>
      </c>
      <c r="I88" s="568" t="s">
        <v>530</v>
      </c>
      <c r="J88" s="310"/>
      <c r="K88" s="298"/>
      <c r="L88" s="346" t="s">
        <v>140</v>
      </c>
      <c r="M88" s="312"/>
      <c r="N88" s="3"/>
      <c r="O88" s="3"/>
      <c r="P88" s="3"/>
      <c r="Q88" s="3"/>
      <c r="R88" s="3"/>
      <c r="S88" s="3"/>
    </row>
    <row r="89" spans="1:19">
      <c r="A89" s="3"/>
      <c r="B89" s="575">
        <v>12</v>
      </c>
      <c r="C89" s="567">
        <v>3300</v>
      </c>
      <c r="D89" s="567" t="s">
        <v>830</v>
      </c>
      <c r="E89" s="569">
        <v>126.4</v>
      </c>
      <c r="F89" s="567" t="s">
        <v>528</v>
      </c>
      <c r="G89" s="567"/>
      <c r="H89" s="570">
        <f t="shared" si="2"/>
        <v>1.264</v>
      </c>
      <c r="I89" s="568" t="s">
        <v>530</v>
      </c>
      <c r="J89" s="310"/>
      <c r="K89" s="298"/>
      <c r="L89" s="298"/>
      <c r="M89" s="312"/>
      <c r="N89" s="3"/>
      <c r="O89" s="3"/>
      <c r="P89" s="3"/>
      <c r="Q89" s="3"/>
      <c r="R89" s="3"/>
      <c r="S89" s="3"/>
    </row>
    <row r="90" spans="1:19" ht="13" thickBot="1">
      <c r="A90" s="3"/>
      <c r="B90" s="576">
        <v>13</v>
      </c>
      <c r="C90" s="571">
        <v>5000</v>
      </c>
      <c r="D90" s="571" t="s">
        <v>830</v>
      </c>
      <c r="E90" s="572">
        <v>170.2</v>
      </c>
      <c r="F90" s="571" t="s">
        <v>528</v>
      </c>
      <c r="G90" s="571"/>
      <c r="H90" s="573">
        <f t="shared" si="2"/>
        <v>1.702</v>
      </c>
      <c r="I90" s="574" t="s">
        <v>530</v>
      </c>
      <c r="J90" s="313" t="s">
        <v>611</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791</v>
      </c>
      <c r="O93" s="3"/>
      <c r="P93" s="3"/>
      <c r="Q93" s="3"/>
      <c r="R93" s="3"/>
      <c r="S93" s="3"/>
    </row>
    <row r="94" spans="1:19" ht="13">
      <c r="A94" s="3"/>
      <c r="B94" s="586" t="s">
        <v>614</v>
      </c>
      <c r="C94" s="563"/>
      <c r="D94" s="563"/>
      <c r="E94" s="563"/>
      <c r="F94" s="563"/>
      <c r="G94" s="563"/>
      <c r="H94" s="563"/>
      <c r="I94" s="563"/>
      <c r="J94" s="563"/>
      <c r="K94" s="563"/>
      <c r="L94" s="563"/>
      <c r="M94" s="564"/>
      <c r="N94" s="3"/>
      <c r="O94" s="3"/>
      <c r="P94" s="3"/>
      <c r="Q94" s="3"/>
      <c r="R94" s="3"/>
      <c r="S94" s="3"/>
    </row>
    <row r="95" spans="1:19">
      <c r="A95" s="3"/>
      <c r="B95" s="565"/>
      <c r="C95" s="141" t="s">
        <v>884</v>
      </c>
      <c r="D95" s="141"/>
      <c r="E95" s="141"/>
      <c r="F95" s="141"/>
      <c r="G95" s="141"/>
      <c r="H95" s="141"/>
      <c r="I95" s="141"/>
      <c r="J95" s="141"/>
      <c r="K95" s="141"/>
      <c r="L95" s="141"/>
      <c r="M95" s="143"/>
      <c r="N95" s="3"/>
      <c r="O95" s="3"/>
      <c r="P95" s="3"/>
      <c r="Q95" s="3"/>
      <c r="R95" s="3"/>
      <c r="S95" s="3"/>
    </row>
    <row r="96" spans="1:19">
      <c r="A96" s="3"/>
      <c r="B96" s="565"/>
      <c r="C96" s="141" t="s">
        <v>618</v>
      </c>
      <c r="D96" s="141"/>
      <c r="E96" s="141"/>
      <c r="F96" s="141"/>
      <c r="G96" s="141"/>
      <c r="H96" s="141"/>
      <c r="I96" s="141"/>
      <c r="J96" s="141"/>
      <c r="K96" s="141"/>
      <c r="L96" s="141"/>
      <c r="M96" s="143"/>
      <c r="N96" s="3"/>
      <c r="O96" s="3"/>
      <c r="P96" s="3"/>
      <c r="Q96" s="3"/>
      <c r="R96" s="3"/>
      <c r="S96" s="3"/>
    </row>
    <row r="97" spans="1:19" ht="13" thickBot="1">
      <c r="A97" s="3"/>
      <c r="B97" s="566"/>
      <c r="C97" s="146" t="s">
        <v>619</v>
      </c>
      <c r="D97" s="146"/>
      <c r="E97" s="146"/>
      <c r="F97" s="146"/>
      <c r="G97" s="146"/>
      <c r="H97" s="146"/>
      <c r="I97" s="146"/>
      <c r="J97" s="146"/>
      <c r="K97" s="146"/>
      <c r="L97" s="146"/>
      <c r="M97" s="150"/>
      <c r="N97" s="3"/>
      <c r="O97" s="3"/>
      <c r="P97" s="3"/>
      <c r="Q97" s="3"/>
      <c r="R97" s="3"/>
      <c r="S97" s="3"/>
    </row>
    <row r="98" spans="1:19" ht="13">
      <c r="A98" s="3"/>
      <c r="B98" s="581" t="s">
        <v>532</v>
      </c>
      <c r="C98" s="582" t="s">
        <v>531</v>
      </c>
      <c r="D98" s="583"/>
      <c r="E98" s="584" t="s">
        <v>526</v>
      </c>
      <c r="F98" s="583"/>
      <c r="G98" s="583"/>
      <c r="H98" s="582" t="s">
        <v>527</v>
      </c>
      <c r="I98" s="583"/>
      <c r="J98" s="592"/>
      <c r="K98" s="308"/>
      <c r="L98" s="308"/>
      <c r="M98" s="309"/>
      <c r="N98" s="3"/>
      <c r="O98" s="3"/>
      <c r="P98" s="3"/>
      <c r="Q98" s="3"/>
      <c r="R98" s="3"/>
      <c r="S98" s="3"/>
    </row>
    <row r="99" spans="1:19">
      <c r="A99" s="3"/>
      <c r="B99" s="575">
        <v>1</v>
      </c>
      <c r="C99" s="577">
        <v>30</v>
      </c>
      <c r="D99" s="577" t="s">
        <v>830</v>
      </c>
      <c r="E99" s="569">
        <v>13</v>
      </c>
      <c r="F99" s="567" t="s">
        <v>528</v>
      </c>
      <c r="G99" s="567" t="s">
        <v>791</v>
      </c>
      <c r="H99" s="570">
        <v>0.13</v>
      </c>
      <c r="I99" s="567" t="s">
        <v>530</v>
      </c>
      <c r="J99" s="310"/>
      <c r="K99" s="298" t="s">
        <v>791</v>
      </c>
      <c r="L99" s="298"/>
      <c r="M99" s="312"/>
      <c r="N99" s="3"/>
      <c r="O99" s="3"/>
      <c r="P99" s="3"/>
      <c r="Q99" s="3"/>
      <c r="R99" s="3"/>
      <c r="S99" s="3"/>
    </row>
    <row r="100" spans="1:19">
      <c r="A100" s="3"/>
      <c r="B100" s="575">
        <v>2</v>
      </c>
      <c r="C100" s="577">
        <v>145</v>
      </c>
      <c r="D100" s="577" t="s">
        <v>830</v>
      </c>
      <c r="E100" s="569">
        <v>25</v>
      </c>
      <c r="F100" s="567" t="s">
        <v>528</v>
      </c>
      <c r="G100" s="567"/>
      <c r="H100" s="570">
        <v>0.25</v>
      </c>
      <c r="I100" s="567" t="s">
        <v>530</v>
      </c>
      <c r="J100" s="310"/>
      <c r="K100" s="298" t="s">
        <v>532</v>
      </c>
      <c r="L100" s="265">
        <v>3</v>
      </c>
      <c r="M100" s="312"/>
      <c r="N100" s="3"/>
      <c r="O100" s="3"/>
      <c r="P100" s="3"/>
      <c r="Q100" s="3"/>
      <c r="R100" s="3"/>
      <c r="S100" s="3"/>
    </row>
    <row r="101" spans="1:19">
      <c r="A101" s="3"/>
      <c r="B101" s="575">
        <v>3</v>
      </c>
      <c r="C101" s="577">
        <v>435</v>
      </c>
      <c r="D101" s="577" t="s">
        <v>830</v>
      </c>
      <c r="E101" s="569">
        <v>33</v>
      </c>
      <c r="F101" s="567" t="s">
        <v>528</v>
      </c>
      <c r="G101" s="567"/>
      <c r="H101" s="570">
        <v>0.33</v>
      </c>
      <c r="I101" s="567" t="s">
        <v>530</v>
      </c>
      <c r="J101" s="310"/>
      <c r="K101" s="298"/>
      <c r="L101" s="298"/>
      <c r="M101" s="312"/>
      <c r="N101" s="3"/>
      <c r="O101" s="3"/>
      <c r="P101" s="3"/>
      <c r="Q101" s="3"/>
      <c r="R101" s="3"/>
      <c r="S101" s="3"/>
    </row>
    <row r="102" spans="1:19">
      <c r="A102" s="3"/>
      <c r="B102" s="575">
        <v>4</v>
      </c>
      <c r="C102" s="577">
        <v>1270</v>
      </c>
      <c r="D102" s="577" t="s">
        <v>830</v>
      </c>
      <c r="E102" s="569">
        <v>53</v>
      </c>
      <c r="F102" s="567" t="s">
        <v>528</v>
      </c>
      <c r="G102" s="567"/>
      <c r="H102" s="570">
        <v>0.53</v>
      </c>
      <c r="I102" s="567" t="s">
        <v>530</v>
      </c>
      <c r="J102" s="310"/>
      <c r="K102" s="298" t="s">
        <v>829</v>
      </c>
      <c r="L102" s="600">
        <f>INDEX(C99:C112,L100,1)</f>
        <v>435</v>
      </c>
      <c r="M102" s="312"/>
      <c r="N102" s="3"/>
      <c r="O102" s="3"/>
      <c r="P102" s="3"/>
      <c r="Q102" s="3"/>
      <c r="R102" s="3"/>
      <c r="S102" s="3"/>
    </row>
    <row r="103" spans="1:19" ht="13">
      <c r="A103" s="3"/>
      <c r="B103" s="575">
        <v>5</v>
      </c>
      <c r="C103" s="567">
        <v>2000</v>
      </c>
      <c r="D103" s="567" t="s">
        <v>830</v>
      </c>
      <c r="E103" s="591">
        <v>88.6</v>
      </c>
      <c r="F103" s="567" t="s">
        <v>528</v>
      </c>
      <c r="G103" s="567"/>
      <c r="H103" s="590">
        <v>0.88600000000000001</v>
      </c>
      <c r="I103" s="567" t="s">
        <v>530</v>
      </c>
      <c r="J103" s="310"/>
      <c r="K103" s="298"/>
      <c r="L103" s="298"/>
      <c r="M103" s="312"/>
      <c r="N103" s="3"/>
      <c r="O103" s="3"/>
      <c r="P103" s="3"/>
      <c r="Q103" s="3"/>
      <c r="R103" s="3"/>
      <c r="S103" s="3"/>
    </row>
    <row r="104" spans="1:19">
      <c r="A104" s="3"/>
      <c r="B104" s="575">
        <v>6</v>
      </c>
      <c r="C104" s="577">
        <v>2400</v>
      </c>
      <c r="D104" s="577" t="s">
        <v>830</v>
      </c>
      <c r="E104" s="569">
        <v>96</v>
      </c>
      <c r="F104" s="567" t="s">
        <v>528</v>
      </c>
      <c r="G104" s="567"/>
      <c r="H104" s="570">
        <v>0.96</v>
      </c>
      <c r="I104" s="567" t="s">
        <v>530</v>
      </c>
      <c r="J104" s="310"/>
      <c r="K104" s="298" t="s">
        <v>533</v>
      </c>
      <c r="L104" s="579">
        <v>0.5</v>
      </c>
      <c r="M104" s="312"/>
      <c r="N104" s="3"/>
      <c r="O104" s="3"/>
      <c r="P104" s="3"/>
      <c r="Q104" s="3"/>
      <c r="R104" s="3"/>
      <c r="S104" s="3"/>
    </row>
    <row r="105" spans="1:19" ht="13">
      <c r="A105" s="3"/>
      <c r="B105" s="575">
        <v>7</v>
      </c>
      <c r="C105" s="599">
        <v>10000</v>
      </c>
      <c r="D105" s="567" t="s">
        <v>830</v>
      </c>
      <c r="E105" s="591">
        <v>200.1</v>
      </c>
      <c r="F105" s="567" t="s">
        <v>528</v>
      </c>
      <c r="G105" s="567"/>
      <c r="H105" s="590">
        <v>2.0009999999999999</v>
      </c>
      <c r="I105" s="567" t="s">
        <v>530</v>
      </c>
      <c r="J105" s="310"/>
      <c r="K105" s="298"/>
      <c r="L105" s="298"/>
      <c r="M105" s="312"/>
      <c r="N105" s="3"/>
      <c r="O105" s="3"/>
      <c r="P105" s="3"/>
      <c r="Q105" s="3"/>
      <c r="R105" s="3"/>
      <c r="S105" s="3"/>
    </row>
    <row r="106" spans="1:19" ht="13">
      <c r="A106" s="3"/>
      <c r="B106" s="575">
        <v>8</v>
      </c>
      <c r="C106" s="599">
        <v>18000</v>
      </c>
      <c r="D106" s="567" t="s">
        <v>830</v>
      </c>
      <c r="E106" s="591">
        <v>275.5</v>
      </c>
      <c r="F106" s="567" t="s">
        <v>528</v>
      </c>
      <c r="G106" s="567"/>
      <c r="H106" s="590">
        <v>2.7549999999999999</v>
      </c>
      <c r="I106" s="567" t="s">
        <v>530</v>
      </c>
      <c r="J106" s="310"/>
      <c r="K106" s="298" t="s">
        <v>534</v>
      </c>
      <c r="L106" s="580">
        <f>(INDEX(H99:H112,L100,1))*L104</f>
        <v>0.16500000000000001</v>
      </c>
      <c r="M106" s="312"/>
      <c r="N106" s="3"/>
      <c r="O106" s="3"/>
      <c r="P106" s="3"/>
      <c r="Q106" s="3"/>
      <c r="R106" s="3"/>
      <c r="S106" s="3"/>
    </row>
    <row r="107" spans="1:19">
      <c r="A107" s="3"/>
      <c r="B107" s="575"/>
      <c r="C107" s="588"/>
      <c r="D107" s="567"/>
      <c r="E107" s="569"/>
      <c r="F107" s="567"/>
      <c r="G107" s="567"/>
      <c r="H107" s="570"/>
      <c r="I107" s="567"/>
      <c r="J107" s="310"/>
      <c r="K107" s="298"/>
      <c r="L107" s="298"/>
      <c r="M107" s="312"/>
      <c r="N107" s="3"/>
      <c r="O107" s="3"/>
      <c r="P107" s="3"/>
      <c r="Q107" s="3"/>
      <c r="R107" s="3"/>
      <c r="S107" s="3"/>
    </row>
    <row r="108" spans="1:19">
      <c r="A108" s="3"/>
      <c r="B108" s="575"/>
      <c r="C108" s="588"/>
      <c r="D108" s="567"/>
      <c r="E108" s="569"/>
      <c r="F108" s="567" t="s">
        <v>791</v>
      </c>
      <c r="G108" s="567"/>
      <c r="H108" s="570"/>
      <c r="I108" s="567"/>
      <c r="J108" s="310"/>
      <c r="K108" s="298"/>
      <c r="L108" s="298"/>
      <c r="M108" s="312"/>
      <c r="N108" s="3" t="s">
        <v>791</v>
      </c>
      <c r="O108" s="3"/>
      <c r="P108" s="3"/>
      <c r="Q108" s="3"/>
      <c r="R108" s="3"/>
      <c r="S108" s="3"/>
    </row>
    <row r="109" spans="1:19">
      <c r="A109" s="3"/>
      <c r="B109" s="575"/>
      <c r="C109" s="588"/>
      <c r="D109" s="567"/>
      <c r="E109" s="569"/>
      <c r="F109" s="567"/>
      <c r="G109" s="567"/>
      <c r="H109" s="570"/>
      <c r="I109" s="567"/>
      <c r="J109" s="310"/>
      <c r="K109" s="298"/>
      <c r="L109" s="298"/>
      <c r="M109" s="312"/>
      <c r="N109" s="3"/>
      <c r="O109" s="3"/>
      <c r="P109" s="3"/>
      <c r="Q109" s="3"/>
      <c r="R109" s="3"/>
      <c r="S109" s="3"/>
    </row>
    <row r="110" spans="1:19">
      <c r="A110" s="3"/>
      <c r="B110" s="575"/>
      <c r="C110" s="588"/>
      <c r="D110" s="567"/>
      <c r="E110" s="569"/>
      <c r="F110" s="567"/>
      <c r="G110" s="567"/>
      <c r="H110" s="570"/>
      <c r="I110" s="567"/>
      <c r="J110" s="310"/>
      <c r="K110" s="298"/>
      <c r="L110" s="346" t="s">
        <v>140</v>
      </c>
      <c r="M110" s="312"/>
      <c r="N110" s="3"/>
      <c r="O110" s="3"/>
      <c r="P110" s="3"/>
      <c r="Q110" s="3"/>
      <c r="R110" s="3"/>
      <c r="S110" s="3"/>
    </row>
    <row r="111" spans="1:19" ht="13">
      <c r="A111" s="3"/>
      <c r="B111" s="575"/>
      <c r="C111" s="588"/>
      <c r="D111" s="567"/>
      <c r="E111" s="569"/>
      <c r="F111" s="567"/>
      <c r="G111" s="567"/>
      <c r="H111" s="570"/>
      <c r="I111" s="567"/>
      <c r="J111" s="310" t="s">
        <v>623</v>
      </c>
      <c r="K111" s="298"/>
      <c r="L111" s="298"/>
      <c r="M111" s="312"/>
      <c r="N111" s="3"/>
      <c r="O111" s="3"/>
      <c r="P111" s="3"/>
      <c r="Q111" s="3"/>
      <c r="R111" s="3"/>
      <c r="S111" s="3"/>
    </row>
    <row r="112" spans="1:19" ht="13" thickBot="1">
      <c r="A112" s="3"/>
      <c r="B112" s="576" t="s">
        <v>791</v>
      </c>
      <c r="C112" s="571" t="s">
        <v>791</v>
      </c>
      <c r="D112" s="571" t="s">
        <v>791</v>
      </c>
      <c r="E112" s="572"/>
      <c r="F112" s="571"/>
      <c r="G112" s="571"/>
      <c r="H112" s="573"/>
      <c r="I112" s="571"/>
      <c r="J112" s="313" t="s">
        <v>620</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791</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86" t="s">
        <v>621</v>
      </c>
      <c r="C116" s="563"/>
      <c r="D116" s="563"/>
      <c r="E116" s="563"/>
      <c r="F116" s="563"/>
      <c r="G116" s="563"/>
      <c r="H116" s="563"/>
      <c r="I116" s="563"/>
      <c r="J116" s="563"/>
      <c r="K116" s="563"/>
      <c r="L116" s="563"/>
      <c r="M116" s="564"/>
      <c r="N116" s="3"/>
      <c r="O116" s="3"/>
      <c r="P116" s="3"/>
      <c r="Q116" s="3"/>
      <c r="R116" s="3"/>
      <c r="S116" s="3"/>
    </row>
    <row r="117" spans="1:19">
      <c r="A117" s="3"/>
      <c r="B117" s="565"/>
      <c r="C117" s="141" t="s">
        <v>885</v>
      </c>
      <c r="D117" s="141"/>
      <c r="E117" s="141"/>
      <c r="F117" s="141"/>
      <c r="G117" s="141"/>
      <c r="H117" s="141"/>
      <c r="I117" s="141"/>
      <c r="J117" s="141"/>
      <c r="K117" s="141"/>
      <c r="L117" s="141"/>
      <c r="M117" s="143"/>
      <c r="N117" s="3"/>
      <c r="O117" s="3"/>
      <c r="P117" s="3"/>
      <c r="Q117" s="3"/>
      <c r="R117" s="3"/>
      <c r="S117" s="3"/>
    </row>
    <row r="118" spans="1:19">
      <c r="A118" s="3"/>
      <c r="B118" s="565"/>
      <c r="C118" s="141" t="s">
        <v>622</v>
      </c>
      <c r="D118" s="141"/>
      <c r="E118" s="141"/>
      <c r="F118" s="141"/>
      <c r="G118" s="141"/>
      <c r="H118" s="141"/>
      <c r="I118" s="141"/>
      <c r="J118" s="141"/>
      <c r="K118" s="141"/>
      <c r="L118" s="141"/>
      <c r="M118" s="143"/>
      <c r="N118" s="3"/>
      <c r="O118" s="3"/>
      <c r="P118" s="3"/>
      <c r="Q118" s="3"/>
      <c r="R118" s="3"/>
      <c r="S118" s="3"/>
    </row>
    <row r="119" spans="1:19" ht="13" thickBot="1">
      <c r="A119" s="3"/>
      <c r="B119" s="566"/>
      <c r="C119" s="146" t="s">
        <v>619</v>
      </c>
      <c r="D119" s="146"/>
      <c r="E119" s="146"/>
      <c r="F119" s="146"/>
      <c r="G119" s="146"/>
      <c r="H119" s="146"/>
      <c r="I119" s="146"/>
      <c r="J119" s="146"/>
      <c r="K119" s="146"/>
      <c r="L119" s="146"/>
      <c r="M119" s="150"/>
      <c r="N119" s="3"/>
      <c r="O119" s="3"/>
      <c r="P119" s="3"/>
      <c r="Q119" s="3"/>
      <c r="R119" s="3"/>
      <c r="S119" s="3"/>
    </row>
    <row r="120" spans="1:19" ht="13">
      <c r="A120" s="3"/>
      <c r="B120" s="581" t="s">
        <v>532</v>
      </c>
      <c r="C120" s="582" t="s">
        <v>531</v>
      </c>
      <c r="D120" s="583"/>
      <c r="E120" s="584" t="s">
        <v>526</v>
      </c>
      <c r="F120" s="583"/>
      <c r="G120" s="583"/>
      <c r="H120" s="582" t="s">
        <v>527</v>
      </c>
      <c r="I120" s="583"/>
      <c r="J120" s="592"/>
      <c r="K120" s="308"/>
      <c r="L120" s="308"/>
      <c r="M120" s="309"/>
      <c r="N120" s="3"/>
      <c r="O120" s="3"/>
      <c r="P120" s="3"/>
      <c r="Q120" s="3"/>
      <c r="R120" s="3"/>
      <c r="S120" s="3"/>
    </row>
    <row r="121" spans="1:19">
      <c r="A121" s="3"/>
      <c r="B121" s="575">
        <v>1</v>
      </c>
      <c r="C121" s="577">
        <v>30</v>
      </c>
      <c r="D121" s="577" t="s">
        <v>830</v>
      </c>
      <c r="E121" s="569">
        <v>8</v>
      </c>
      <c r="F121" s="567" t="s">
        <v>528</v>
      </c>
      <c r="G121" s="567" t="s">
        <v>791</v>
      </c>
      <c r="H121" s="570">
        <v>0.08</v>
      </c>
      <c r="I121" s="567" t="s">
        <v>530</v>
      </c>
      <c r="J121" s="310"/>
      <c r="K121" s="298" t="s">
        <v>791</v>
      </c>
      <c r="L121" s="298"/>
      <c r="M121" s="312"/>
      <c r="N121" s="3"/>
      <c r="O121" s="3"/>
      <c r="P121" s="3"/>
      <c r="Q121" s="3"/>
      <c r="R121" s="3"/>
      <c r="S121" s="3"/>
    </row>
    <row r="122" spans="1:19">
      <c r="A122" s="3"/>
      <c r="B122" s="575">
        <v>2</v>
      </c>
      <c r="C122" s="577">
        <v>145</v>
      </c>
      <c r="D122" s="577" t="s">
        <v>830</v>
      </c>
      <c r="E122" s="569">
        <v>15</v>
      </c>
      <c r="F122" s="567" t="s">
        <v>528</v>
      </c>
      <c r="G122" s="567"/>
      <c r="H122" s="570">
        <v>0.15</v>
      </c>
      <c r="I122" s="567" t="s">
        <v>530</v>
      </c>
      <c r="J122" s="310"/>
      <c r="K122" s="298" t="s">
        <v>532</v>
      </c>
      <c r="L122" s="265">
        <v>7</v>
      </c>
      <c r="M122" s="312"/>
      <c r="N122" s="3"/>
      <c r="O122" s="3"/>
      <c r="P122" s="3"/>
      <c r="Q122" s="3"/>
      <c r="R122" s="3"/>
      <c r="S122" s="3"/>
    </row>
    <row r="123" spans="1:19">
      <c r="A123" s="3"/>
      <c r="B123" s="575">
        <v>3</v>
      </c>
      <c r="C123" s="577">
        <v>435</v>
      </c>
      <c r="D123" s="577" t="s">
        <v>830</v>
      </c>
      <c r="E123" s="569">
        <v>24</v>
      </c>
      <c r="F123" s="567" t="s">
        <v>528</v>
      </c>
      <c r="G123" s="567"/>
      <c r="H123" s="570">
        <v>0.24</v>
      </c>
      <c r="I123" s="567" t="s">
        <v>530</v>
      </c>
      <c r="J123" s="310"/>
      <c r="K123" s="298"/>
      <c r="L123" s="298"/>
      <c r="M123" s="312"/>
      <c r="N123" s="3"/>
      <c r="O123" s="3"/>
      <c r="P123" s="3"/>
      <c r="Q123" s="3"/>
      <c r="R123" s="3"/>
      <c r="S123" s="3"/>
    </row>
    <row r="124" spans="1:19">
      <c r="A124" s="3"/>
      <c r="B124" s="575">
        <v>4</v>
      </c>
      <c r="C124" s="577">
        <v>1270</v>
      </c>
      <c r="D124" s="577" t="s">
        <v>830</v>
      </c>
      <c r="E124" s="569">
        <v>57.5</v>
      </c>
      <c r="F124" s="567" t="s">
        <v>528</v>
      </c>
      <c r="G124" s="567"/>
      <c r="H124" s="589">
        <v>0.57499999999999996</v>
      </c>
      <c r="I124" s="567" t="s">
        <v>530</v>
      </c>
      <c r="J124" s="310"/>
      <c r="K124" s="298" t="s">
        <v>829</v>
      </c>
      <c r="L124" s="578">
        <f>INDEX(C121:C134,L122,1)</f>
        <v>10000</v>
      </c>
      <c r="M124" s="312"/>
      <c r="N124" s="3"/>
      <c r="O124" s="3"/>
      <c r="P124" s="3"/>
      <c r="Q124" s="3"/>
      <c r="R124" s="3"/>
      <c r="S124" s="3"/>
    </row>
    <row r="125" spans="1:19" ht="13">
      <c r="A125" s="3"/>
      <c r="B125" s="575">
        <v>5</v>
      </c>
      <c r="C125" s="567">
        <v>2000</v>
      </c>
      <c r="D125" s="567" t="s">
        <v>830</v>
      </c>
      <c r="E125" s="591">
        <v>65.599999999999994</v>
      </c>
      <c r="F125" s="567" t="s">
        <v>528</v>
      </c>
      <c r="G125" s="567"/>
      <c r="H125" s="590">
        <v>0.65600000000000003</v>
      </c>
      <c r="I125" s="567" t="s">
        <v>530</v>
      </c>
      <c r="J125" s="310"/>
      <c r="K125" s="298"/>
      <c r="L125" s="298"/>
      <c r="M125" s="312"/>
      <c r="N125" s="3"/>
      <c r="O125" s="3"/>
      <c r="P125" s="3"/>
      <c r="Q125" s="3"/>
      <c r="R125" s="3"/>
      <c r="S125" s="3"/>
    </row>
    <row r="126" spans="1:19">
      <c r="A126" s="3"/>
      <c r="B126" s="575">
        <v>6</v>
      </c>
      <c r="C126" s="577">
        <v>2400</v>
      </c>
      <c r="D126" s="577" t="s">
        <v>830</v>
      </c>
      <c r="E126" s="569">
        <v>68.5</v>
      </c>
      <c r="F126" s="567" t="s">
        <v>528</v>
      </c>
      <c r="G126" s="567"/>
      <c r="H126" s="589">
        <v>0.68500000000000005</v>
      </c>
      <c r="I126" s="567" t="s">
        <v>530</v>
      </c>
      <c r="J126" s="310"/>
      <c r="K126" s="298" t="s">
        <v>533</v>
      </c>
      <c r="L126" s="579">
        <v>0.5</v>
      </c>
      <c r="M126" s="312"/>
      <c r="N126" s="3"/>
      <c r="O126" s="3"/>
      <c r="P126" s="3"/>
      <c r="Q126" s="3"/>
      <c r="R126" s="3"/>
      <c r="S126" s="3"/>
    </row>
    <row r="127" spans="1:19" ht="13">
      <c r="A127" s="3"/>
      <c r="B127" s="575">
        <v>7</v>
      </c>
      <c r="C127" s="599">
        <v>10000</v>
      </c>
      <c r="D127" s="567" t="s">
        <v>830</v>
      </c>
      <c r="E127" s="591">
        <v>91.8</v>
      </c>
      <c r="F127" s="567" t="s">
        <v>528</v>
      </c>
      <c r="G127" s="567"/>
      <c r="H127" s="590">
        <v>0.91800000000000004</v>
      </c>
      <c r="I127" s="567" t="s">
        <v>530</v>
      </c>
      <c r="J127" s="310"/>
      <c r="K127" s="298"/>
      <c r="L127" s="298"/>
      <c r="M127" s="312"/>
      <c r="N127" s="3"/>
      <c r="O127" s="3"/>
      <c r="P127" s="3"/>
      <c r="Q127" s="3"/>
      <c r="R127" s="3"/>
      <c r="S127" s="3"/>
    </row>
    <row r="128" spans="1:19" ht="13">
      <c r="A128" s="3"/>
      <c r="B128" s="575">
        <v>8</v>
      </c>
      <c r="C128" s="599">
        <v>18000</v>
      </c>
      <c r="D128" s="567" t="s">
        <v>830</v>
      </c>
      <c r="E128" s="591">
        <v>124.6</v>
      </c>
      <c r="F128" s="567" t="s">
        <v>528</v>
      </c>
      <c r="G128" s="567"/>
      <c r="H128" s="590">
        <v>1.246</v>
      </c>
      <c r="I128" s="567" t="s">
        <v>530</v>
      </c>
      <c r="J128" s="310"/>
      <c r="K128" s="298" t="s">
        <v>534</v>
      </c>
      <c r="L128" s="580">
        <f>(INDEX(H121:H134,L122,1))*L126</f>
        <v>0.45900000000000002</v>
      </c>
      <c r="M128" s="312"/>
      <c r="N128" s="3"/>
      <c r="O128" s="3"/>
      <c r="P128" s="3"/>
      <c r="Q128" s="3"/>
      <c r="R128" s="3"/>
      <c r="S128" s="3"/>
    </row>
    <row r="129" spans="1:19">
      <c r="A129" s="3"/>
      <c r="B129" s="575"/>
      <c r="C129" s="588"/>
      <c r="D129" s="567"/>
      <c r="E129" s="569"/>
      <c r="F129" s="567"/>
      <c r="G129" s="567"/>
      <c r="H129" s="570"/>
      <c r="I129" s="567"/>
      <c r="J129" s="310"/>
      <c r="K129" s="298"/>
      <c r="L129" s="298"/>
      <c r="M129" s="312"/>
      <c r="N129" s="3"/>
      <c r="O129" s="3"/>
      <c r="P129" s="3"/>
      <c r="Q129" s="3"/>
      <c r="R129" s="3"/>
      <c r="S129" s="3"/>
    </row>
    <row r="130" spans="1:19">
      <c r="A130" s="3"/>
      <c r="B130" s="575"/>
      <c r="C130" s="588"/>
      <c r="D130" s="567"/>
      <c r="E130" s="569"/>
      <c r="F130" s="567" t="s">
        <v>791</v>
      </c>
      <c r="G130" s="567"/>
      <c r="H130" s="570"/>
      <c r="I130" s="567"/>
      <c r="J130" s="310"/>
      <c r="K130" s="298"/>
      <c r="L130" s="298"/>
      <c r="M130" s="312"/>
      <c r="N130" s="3"/>
      <c r="O130" s="3"/>
      <c r="P130" s="3"/>
      <c r="Q130" s="3"/>
      <c r="R130" s="3"/>
      <c r="S130" s="3"/>
    </row>
    <row r="131" spans="1:19">
      <c r="A131" s="3"/>
      <c r="B131" s="575"/>
      <c r="C131" s="588"/>
      <c r="D131" s="567"/>
      <c r="E131" s="569"/>
      <c r="F131" s="567"/>
      <c r="G131" s="567"/>
      <c r="H131" s="570"/>
      <c r="I131" s="567"/>
      <c r="J131" s="310"/>
      <c r="K131" s="298"/>
      <c r="L131" s="298"/>
      <c r="M131" s="312"/>
      <c r="N131" s="3"/>
      <c r="O131" s="3"/>
      <c r="P131" s="3"/>
      <c r="Q131" s="3"/>
      <c r="R131" s="3"/>
      <c r="S131" s="3"/>
    </row>
    <row r="132" spans="1:19">
      <c r="A132" s="3"/>
      <c r="B132" s="575"/>
      <c r="C132" s="588"/>
      <c r="D132" s="567"/>
      <c r="E132" s="569"/>
      <c r="F132" s="567"/>
      <c r="G132" s="567"/>
      <c r="H132" s="570"/>
      <c r="I132" s="567"/>
      <c r="J132" s="310"/>
      <c r="K132" s="298"/>
      <c r="L132" s="346" t="s">
        <v>140</v>
      </c>
      <c r="M132" s="312"/>
      <c r="N132" s="3"/>
      <c r="O132" s="3"/>
      <c r="P132" s="3"/>
      <c r="Q132" s="3"/>
      <c r="R132" s="3"/>
      <c r="S132" s="3"/>
    </row>
    <row r="133" spans="1:19" ht="13">
      <c r="A133" s="3"/>
      <c r="B133" s="575"/>
      <c r="C133" s="588"/>
      <c r="D133" s="567"/>
      <c r="E133" s="569"/>
      <c r="F133" s="567"/>
      <c r="G133" s="567"/>
      <c r="H133" s="570"/>
      <c r="I133" s="567"/>
      <c r="J133" s="310" t="s">
        <v>624</v>
      </c>
      <c r="K133" s="298"/>
      <c r="L133" s="298"/>
      <c r="M133" s="312"/>
      <c r="N133" s="3"/>
      <c r="O133" s="3"/>
      <c r="P133" s="3"/>
      <c r="Q133" s="3"/>
      <c r="R133" s="3"/>
      <c r="S133" s="3"/>
    </row>
    <row r="134" spans="1:19" ht="13" thickBot="1">
      <c r="A134" s="3"/>
      <c r="B134" s="576" t="s">
        <v>791</v>
      </c>
      <c r="C134" s="571" t="s">
        <v>791</v>
      </c>
      <c r="D134" s="571" t="s">
        <v>791</v>
      </c>
      <c r="E134" s="572"/>
      <c r="F134" s="571"/>
      <c r="G134" s="571"/>
      <c r="H134" s="573"/>
      <c r="I134" s="571"/>
      <c r="J134" s="313" t="s">
        <v>620</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680</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30"/>
      <c r="I2" s="530"/>
      <c r="J2" s="530"/>
      <c r="K2" s="530"/>
      <c r="L2" s="530"/>
      <c r="M2" s="530"/>
      <c r="N2" s="530"/>
      <c r="O2" s="530"/>
      <c r="P2" s="530"/>
      <c r="Q2" s="530"/>
      <c r="R2" s="530"/>
      <c r="S2" s="530"/>
      <c r="T2" s="3"/>
      <c r="U2" s="3"/>
      <c r="V2" s="3"/>
      <c r="W2" s="3"/>
      <c r="X2" s="3"/>
    </row>
    <row r="3" spans="1:24">
      <c r="A3" s="3"/>
      <c r="B3" s="346" t="s">
        <v>140</v>
      </c>
      <c r="C3" s="3"/>
      <c r="D3" s="3"/>
      <c r="E3" s="3"/>
      <c r="F3" s="3"/>
      <c r="G3" s="3"/>
      <c r="H3" s="530"/>
      <c r="I3" s="530"/>
      <c r="J3" s="530"/>
      <c r="K3" s="530"/>
      <c r="L3" s="530"/>
      <c r="M3" s="530"/>
      <c r="N3" s="530"/>
      <c r="O3" s="530"/>
      <c r="P3" s="530"/>
      <c r="Q3" s="530"/>
      <c r="R3" s="530"/>
      <c r="S3" s="530"/>
      <c r="T3" s="3"/>
      <c r="U3" s="3"/>
      <c r="V3" s="3"/>
      <c r="W3" s="3"/>
      <c r="X3" s="3"/>
    </row>
    <row r="4" spans="1:24">
      <c r="A4" s="3"/>
      <c r="B4" s="528"/>
      <c r="C4" s="3"/>
      <c r="D4" s="3"/>
      <c r="E4" s="3"/>
      <c r="F4" s="3"/>
      <c r="G4" s="3"/>
      <c r="H4" s="530"/>
      <c r="I4" s="530"/>
      <c r="J4" s="530"/>
      <c r="K4" s="530"/>
      <c r="L4" s="530"/>
      <c r="M4" s="530"/>
      <c r="N4" s="530"/>
      <c r="O4" s="530"/>
      <c r="P4" s="530"/>
      <c r="Q4" s="530"/>
      <c r="R4" s="530"/>
      <c r="S4" s="530"/>
      <c r="T4" s="3"/>
      <c r="U4" s="3"/>
      <c r="V4" s="3"/>
      <c r="W4" s="3"/>
      <c r="X4" s="3"/>
    </row>
    <row r="5" spans="1:24">
      <c r="A5" s="3"/>
      <c r="B5" s="528"/>
      <c r="C5" s="3"/>
      <c r="D5" s="3"/>
      <c r="E5" s="3"/>
      <c r="F5" s="3"/>
      <c r="G5" s="3"/>
      <c r="H5" s="530"/>
      <c r="I5" s="530"/>
      <c r="J5" s="530"/>
      <c r="K5" s="530"/>
      <c r="L5" s="530"/>
      <c r="M5" s="530"/>
      <c r="N5" s="530"/>
      <c r="O5" s="530"/>
      <c r="P5" s="530"/>
      <c r="Q5" s="530"/>
      <c r="R5" s="530"/>
      <c r="S5" s="530"/>
      <c r="T5" s="3"/>
      <c r="U5" s="3"/>
      <c r="V5" s="3"/>
      <c r="W5" s="3"/>
      <c r="X5" s="3"/>
    </row>
    <row r="6" spans="1:24">
      <c r="A6" s="3"/>
      <c r="B6" s="3"/>
      <c r="C6" s="3"/>
      <c r="D6" s="3" t="s">
        <v>506</v>
      </c>
      <c r="E6" s="3"/>
      <c r="F6" s="3"/>
      <c r="G6" s="3" t="s">
        <v>791</v>
      </c>
      <c r="H6" s="532">
        <v>2</v>
      </c>
      <c r="I6" s="288" t="s">
        <v>857</v>
      </c>
      <c r="J6" s="531"/>
      <c r="K6" s="531"/>
      <c r="L6" s="531"/>
      <c r="M6" s="531"/>
      <c r="N6" s="531"/>
      <c r="O6" s="531"/>
      <c r="P6" s="531"/>
      <c r="Q6" s="531"/>
      <c r="R6" s="531"/>
      <c r="S6" s="531"/>
      <c r="T6" s="3"/>
      <c r="U6" s="3"/>
      <c r="V6" s="3"/>
      <c r="W6" s="3"/>
      <c r="X6" s="3"/>
    </row>
    <row r="7" spans="1:24">
      <c r="A7" s="3"/>
      <c r="B7" s="3"/>
      <c r="C7" s="3"/>
      <c r="D7" s="3"/>
      <c r="E7" s="3"/>
      <c r="F7" s="3"/>
      <c r="G7" s="3"/>
      <c r="H7" s="3"/>
      <c r="I7" s="3"/>
      <c r="J7" s="3"/>
      <c r="K7" s="3" t="s">
        <v>630</v>
      </c>
      <c r="L7" s="3"/>
      <c r="M7" s="3"/>
      <c r="N7" s="3"/>
      <c r="O7" s="3"/>
      <c r="P7" s="3"/>
      <c r="Q7" s="3"/>
      <c r="R7" s="3"/>
      <c r="S7" s="3"/>
      <c r="T7" s="3"/>
      <c r="U7" s="3"/>
      <c r="V7" s="3"/>
      <c r="W7" s="3"/>
      <c r="X7" s="3"/>
    </row>
    <row r="8" spans="1:24" ht="13">
      <c r="A8" s="3"/>
      <c r="B8" s="3"/>
      <c r="C8" s="3"/>
      <c r="D8" s="3" t="s">
        <v>505</v>
      </c>
      <c r="E8" s="3"/>
      <c r="F8" s="3"/>
      <c r="G8" s="529" t="s">
        <v>791</v>
      </c>
      <c r="H8" s="533">
        <v>1.5</v>
      </c>
      <c r="I8" s="523" t="s">
        <v>509</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507</v>
      </c>
      <c r="E10" s="3"/>
      <c r="F10" s="3"/>
      <c r="G10" s="3"/>
      <c r="H10" s="524">
        <f>(H6*((H8-1)^2))/((H8+1)^2)</f>
        <v>0.08</v>
      </c>
      <c r="I10" s="185" t="s">
        <v>857</v>
      </c>
      <c r="J10" s="3"/>
      <c r="K10" s="526">
        <f>H10/H6</f>
        <v>0.04</v>
      </c>
      <c r="L10" s="3" t="s">
        <v>629</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508</v>
      </c>
      <c r="E12" s="3"/>
      <c r="F12" s="3"/>
      <c r="G12" s="3"/>
      <c r="H12" s="524">
        <f>H6-H10</f>
        <v>1.92</v>
      </c>
      <c r="I12" s="185" t="s">
        <v>857</v>
      </c>
      <c r="J12" s="3"/>
      <c r="K12" s="525">
        <f>1-K10</f>
        <v>0.96</v>
      </c>
      <c r="L12" s="3" t="s">
        <v>629</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512</v>
      </c>
      <c r="E14" s="3"/>
      <c r="F14" s="3"/>
      <c r="G14" s="3"/>
      <c r="H14" s="527">
        <f>-10*LOG10(H12/H6)</f>
        <v>0.17728766960431602</v>
      </c>
      <c r="I14" s="185" t="s">
        <v>833</v>
      </c>
      <c r="J14" s="3"/>
      <c r="K14" s="3" t="s">
        <v>510</v>
      </c>
      <c r="L14" s="3"/>
      <c r="M14" s="3"/>
      <c r="N14" s="3"/>
      <c r="O14" s="3"/>
      <c r="P14" s="3"/>
      <c r="Q14" s="3"/>
      <c r="R14" s="3"/>
      <c r="S14" s="3"/>
      <c r="T14" s="3"/>
      <c r="U14" s="3"/>
      <c r="V14" s="3"/>
      <c r="W14" s="3"/>
      <c r="X14" s="3"/>
    </row>
    <row r="15" spans="1:24">
      <c r="A15" s="3"/>
      <c r="B15" s="3"/>
      <c r="C15" s="3"/>
      <c r="D15" s="3"/>
      <c r="E15" s="3"/>
      <c r="F15" s="3"/>
      <c r="G15" s="3"/>
      <c r="H15" s="531"/>
      <c r="I15" s="531"/>
      <c r="J15" s="531"/>
      <c r="K15" s="530" t="s">
        <v>511</v>
      </c>
      <c r="L15" s="531"/>
      <c r="M15" s="531"/>
      <c r="N15" s="531"/>
      <c r="O15" s="531"/>
      <c r="P15" s="531"/>
      <c r="Q15" s="531"/>
      <c r="R15" s="531"/>
      <c r="S15" s="531"/>
      <c r="T15" s="3"/>
      <c r="U15" s="3"/>
      <c r="V15" s="3"/>
      <c r="W15" s="3"/>
      <c r="X15" s="3"/>
    </row>
    <row r="16" spans="1:24">
      <c r="A16" s="3"/>
      <c r="B16" s="3"/>
      <c r="C16" s="3"/>
      <c r="D16" s="3"/>
      <c r="E16" s="3"/>
      <c r="F16" s="3"/>
      <c r="G16" s="3"/>
      <c r="H16" s="531"/>
      <c r="I16" s="531"/>
      <c r="J16" s="531"/>
      <c r="K16" s="531"/>
      <c r="L16" s="531"/>
      <c r="M16" s="531"/>
      <c r="N16" s="531"/>
      <c r="O16" s="531"/>
      <c r="P16" s="531"/>
      <c r="Q16" s="531"/>
      <c r="R16" s="531"/>
      <c r="S16" s="531"/>
      <c r="T16" s="3"/>
      <c r="U16" s="3"/>
      <c r="V16" s="3"/>
      <c r="W16" s="3"/>
      <c r="X16" s="3"/>
    </row>
    <row r="17" spans="1:24">
      <c r="A17" s="3"/>
      <c r="B17" s="3"/>
      <c r="C17" s="3"/>
      <c r="D17" s="3"/>
      <c r="E17" s="3"/>
      <c r="F17" s="3"/>
      <c r="G17" s="3"/>
      <c r="H17" s="531"/>
      <c r="I17" s="531"/>
      <c r="J17" s="531"/>
      <c r="K17" s="531"/>
      <c r="L17" s="531"/>
      <c r="M17" s="531"/>
      <c r="N17" s="531"/>
      <c r="O17" s="531"/>
      <c r="P17" s="531"/>
      <c r="Q17" s="531"/>
      <c r="R17" s="531"/>
      <c r="S17" s="531"/>
      <c r="T17" s="3"/>
      <c r="U17" s="37" t="s">
        <v>625</v>
      </c>
      <c r="V17" s="37"/>
      <c r="W17" s="37"/>
      <c r="X17" s="3"/>
    </row>
    <row r="18" spans="1:24">
      <c r="A18" s="3"/>
      <c r="B18" s="3"/>
      <c r="C18" s="3"/>
      <c r="D18" s="3"/>
      <c r="E18" s="3"/>
      <c r="F18" s="3"/>
      <c r="G18" s="3"/>
      <c r="H18" s="531"/>
      <c r="I18" s="531"/>
      <c r="J18" s="531"/>
      <c r="K18" s="531"/>
      <c r="L18" s="531"/>
      <c r="M18" s="531"/>
      <c r="N18" s="531"/>
      <c r="O18" s="531"/>
      <c r="P18" s="531"/>
      <c r="Q18" s="531"/>
      <c r="R18" s="531"/>
      <c r="S18" s="531"/>
      <c r="T18" s="3"/>
      <c r="U18" s="3" t="s">
        <v>631</v>
      </c>
      <c r="V18" s="33">
        <f>SQRT(O19^2+Q19^2)</f>
        <v>50</v>
      </c>
      <c r="W18" s="598" t="s">
        <v>626</v>
      </c>
      <c r="X18" s="3"/>
    </row>
    <row r="19" spans="1:24" ht="13">
      <c r="A19" s="3"/>
      <c r="B19" s="3"/>
      <c r="C19" s="3"/>
      <c r="D19" s="3"/>
      <c r="E19" s="3"/>
      <c r="F19" s="3"/>
      <c r="G19" s="3"/>
      <c r="H19" s="531"/>
      <c r="I19" s="531"/>
      <c r="J19" s="531"/>
      <c r="K19" s="531"/>
      <c r="L19" s="531"/>
      <c r="M19" s="94" t="s">
        <v>548</v>
      </c>
      <c r="N19" s="531"/>
      <c r="O19" s="265">
        <v>50</v>
      </c>
      <c r="P19" s="595" t="s">
        <v>886</v>
      </c>
      <c r="Q19" s="596">
        <v>0</v>
      </c>
      <c r="R19" s="531"/>
      <c r="S19" s="531"/>
      <c r="T19" s="3"/>
      <c r="U19" s="3"/>
      <c r="V19" s="33"/>
      <c r="W19" s="3"/>
      <c r="X19" s="3"/>
    </row>
    <row r="20" spans="1:24">
      <c r="A20" s="3"/>
      <c r="B20" s="3"/>
      <c r="C20" s="3"/>
      <c r="D20" s="3"/>
      <c r="E20" s="3"/>
      <c r="F20" s="3"/>
      <c r="G20" s="3"/>
      <c r="H20" s="531"/>
      <c r="I20" s="531"/>
      <c r="J20" s="531"/>
      <c r="K20" s="531"/>
      <c r="L20" s="531"/>
      <c r="M20" s="531"/>
      <c r="N20" s="531"/>
      <c r="O20" s="531"/>
      <c r="P20" s="531"/>
      <c r="Q20" s="530"/>
      <c r="R20" s="531"/>
      <c r="S20" s="531"/>
      <c r="T20" s="3"/>
      <c r="U20" s="3" t="s">
        <v>632</v>
      </c>
      <c r="V20" s="33">
        <f>SQRT(O21^2+Q21^2)</f>
        <v>79.05694150420949</v>
      </c>
      <c r="W20" s="598" t="s">
        <v>626</v>
      </c>
      <c r="X20" s="3"/>
    </row>
    <row r="21" spans="1:24" ht="13">
      <c r="A21" s="3"/>
      <c r="B21" s="3"/>
      <c r="C21" s="3"/>
      <c r="D21" s="3"/>
      <c r="E21" s="3"/>
      <c r="F21" s="3"/>
      <c r="G21" s="3"/>
      <c r="H21" s="531"/>
      <c r="I21" s="531"/>
      <c r="J21" s="531"/>
      <c r="K21" s="531"/>
      <c r="L21" s="531"/>
      <c r="M21" s="94" t="s">
        <v>549</v>
      </c>
      <c r="N21" s="531"/>
      <c r="O21" s="265">
        <v>75</v>
      </c>
      <c r="P21" s="595" t="s">
        <v>886</v>
      </c>
      <c r="Q21" s="596">
        <v>-25</v>
      </c>
      <c r="R21" s="531"/>
      <c r="S21" s="531"/>
      <c r="T21" s="3"/>
      <c r="U21" s="3"/>
      <c r="V21" s="3"/>
      <c r="W21" s="3"/>
      <c r="X21" s="3"/>
    </row>
    <row r="22" spans="1:24">
      <c r="A22" s="3"/>
      <c r="B22" s="3"/>
      <c r="C22" s="3"/>
      <c r="D22" s="3"/>
      <c r="E22" s="3"/>
      <c r="F22" s="3"/>
      <c r="G22" s="3"/>
      <c r="H22" s="531"/>
      <c r="I22" s="531"/>
      <c r="J22" s="531"/>
      <c r="K22" s="531"/>
      <c r="L22" s="531"/>
      <c r="M22" s="531"/>
      <c r="N22" s="531"/>
      <c r="O22" s="531"/>
      <c r="P22" s="531"/>
      <c r="Q22" s="531"/>
      <c r="R22" s="531"/>
      <c r="S22" s="531"/>
      <c r="T22" s="3"/>
      <c r="U22" s="3"/>
      <c r="V22" s="346" t="s">
        <v>140</v>
      </c>
      <c r="W22" s="3"/>
      <c r="X22" s="3"/>
    </row>
    <row r="23" spans="1:24">
      <c r="A23" s="3"/>
      <c r="B23" s="3"/>
      <c r="C23" s="3"/>
      <c r="D23" s="3"/>
      <c r="E23" s="3"/>
      <c r="F23" s="3"/>
      <c r="G23" s="3"/>
      <c r="H23" s="531"/>
      <c r="I23" s="531"/>
      <c r="J23" s="531"/>
      <c r="K23" s="531"/>
      <c r="L23" s="531"/>
      <c r="M23" s="94" t="s">
        <v>515</v>
      </c>
      <c r="N23" s="531"/>
      <c r="O23" s="705">
        <f>IF(V18&gt;V20, V18/V20, V20/V18)</f>
        <v>1.5811388300841898</v>
      </c>
      <c r="P23" s="500"/>
      <c r="Q23" s="531"/>
      <c r="R23" s="531"/>
      <c r="S23" s="531"/>
      <c r="T23" s="3"/>
      <c r="U23" s="3"/>
      <c r="V23" s="3"/>
      <c r="W23" s="3"/>
      <c r="X23" s="3"/>
    </row>
    <row r="24" spans="1:24">
      <c r="A24" s="3"/>
      <c r="B24" s="3"/>
      <c r="C24" s="3"/>
      <c r="D24" s="3"/>
      <c r="E24" s="3"/>
      <c r="F24" s="3"/>
      <c r="G24" s="3"/>
      <c r="H24" s="531"/>
      <c r="I24" s="531"/>
      <c r="J24" s="531"/>
      <c r="K24" s="531"/>
      <c r="L24" s="531"/>
      <c r="M24" s="531"/>
      <c r="N24" s="531"/>
      <c r="O24" s="531"/>
      <c r="P24" s="531"/>
      <c r="Q24" s="94" t="s">
        <v>627</v>
      </c>
      <c r="R24" s="531"/>
      <c r="S24" s="531"/>
      <c r="T24" s="3"/>
      <c r="U24" s="3"/>
      <c r="V24" s="3"/>
      <c r="W24" s="3"/>
      <c r="X24" s="3"/>
    </row>
    <row r="25" spans="1:24">
      <c r="A25" s="3"/>
      <c r="B25" s="3"/>
      <c r="C25" s="3"/>
      <c r="D25" s="3"/>
      <c r="E25" s="3"/>
      <c r="F25" s="3"/>
      <c r="G25" s="3"/>
      <c r="H25" s="531"/>
      <c r="I25" s="531"/>
      <c r="J25" s="531"/>
      <c r="K25" s="531"/>
      <c r="L25" s="531"/>
      <c r="M25" s="531"/>
      <c r="N25" s="531"/>
      <c r="O25" s="531"/>
      <c r="P25" s="531"/>
      <c r="Q25" s="531"/>
      <c r="R25" s="531"/>
      <c r="S25" s="531"/>
      <c r="T25" s="3"/>
      <c r="U25" s="3"/>
      <c r="V25" s="3"/>
      <c r="W25" s="3"/>
      <c r="X25" s="3"/>
    </row>
    <row r="26" spans="1:24">
      <c r="A26" s="3"/>
      <c r="B26" s="3"/>
      <c r="C26" s="3"/>
      <c r="D26" s="3"/>
      <c r="E26" s="3"/>
      <c r="F26" s="3"/>
      <c r="G26" s="3"/>
      <c r="H26" s="531"/>
      <c r="I26" s="531"/>
      <c r="J26" s="531"/>
      <c r="K26" s="531"/>
      <c r="L26" s="531"/>
      <c r="M26" s="531"/>
      <c r="N26" s="531"/>
      <c r="O26" s="531"/>
      <c r="P26" s="531"/>
      <c r="Q26" s="531"/>
      <c r="R26" s="531"/>
      <c r="S26" s="531"/>
      <c r="T26" s="3"/>
      <c r="U26" s="3"/>
      <c r="V26" s="3"/>
      <c r="W26" s="3"/>
      <c r="X26" s="3"/>
    </row>
    <row r="27" spans="1:24">
      <c r="A27" s="3"/>
      <c r="B27" s="3"/>
      <c r="C27" s="3"/>
      <c r="D27" s="3"/>
      <c r="E27" s="3"/>
      <c r="F27" s="3"/>
      <c r="G27" s="3"/>
      <c r="H27" s="531"/>
      <c r="I27" s="531"/>
      <c r="J27" s="531"/>
      <c r="K27" s="531"/>
      <c r="L27" s="531"/>
      <c r="M27" s="531"/>
      <c r="N27" s="531"/>
      <c r="O27" s="531"/>
      <c r="P27" s="531"/>
      <c r="Q27" s="531"/>
      <c r="R27" s="530" t="s">
        <v>232</v>
      </c>
      <c r="S27" s="531"/>
      <c r="T27" s="3"/>
      <c r="U27" s="3"/>
      <c r="V27" s="3"/>
      <c r="W27" s="3"/>
      <c r="X27" s="3"/>
    </row>
    <row r="28" spans="1:24">
      <c r="A28" s="3"/>
      <c r="B28" s="3"/>
      <c r="C28" s="3"/>
      <c r="D28" s="3"/>
      <c r="E28" s="3"/>
      <c r="F28" s="3"/>
      <c r="G28" s="3"/>
      <c r="H28" s="531"/>
      <c r="I28" s="531"/>
      <c r="J28" s="531"/>
      <c r="K28" s="531"/>
      <c r="L28" s="531"/>
      <c r="M28" s="531"/>
      <c r="N28" s="531"/>
      <c r="O28" s="531"/>
      <c r="P28" s="531"/>
      <c r="Q28" s="531"/>
      <c r="R28" s="530" t="s">
        <v>791</v>
      </c>
      <c r="S28" s="531"/>
      <c r="T28" s="3"/>
      <c r="U28" s="3"/>
      <c r="V28" s="3"/>
      <c r="W28" s="3"/>
      <c r="X28" s="3"/>
    </row>
    <row r="29" spans="1:24">
      <c r="A29" s="3"/>
      <c r="B29" s="3"/>
      <c r="C29" s="3"/>
      <c r="D29" s="3"/>
      <c r="E29" s="3"/>
      <c r="F29" s="3"/>
      <c r="G29" s="3"/>
      <c r="H29" s="531"/>
      <c r="I29" s="531"/>
      <c r="J29" s="531"/>
      <c r="K29" s="531"/>
      <c r="L29" s="531"/>
      <c r="M29" s="531"/>
      <c r="N29" s="531"/>
      <c r="O29" s="531"/>
      <c r="P29" s="531"/>
      <c r="Q29" s="531"/>
      <c r="R29" s="531"/>
      <c r="S29" s="531"/>
      <c r="T29" s="3"/>
      <c r="U29" s="3"/>
      <c r="V29" s="3"/>
      <c r="W29" s="3"/>
      <c r="X29" s="3"/>
    </row>
    <row r="30" spans="1:24">
      <c r="A30" s="3"/>
      <c r="B30" s="3"/>
      <c r="C30" s="3"/>
      <c r="D30" s="3"/>
      <c r="E30" s="3"/>
      <c r="F30" s="3"/>
      <c r="G30" s="3"/>
      <c r="H30" s="531"/>
      <c r="I30" s="531"/>
      <c r="J30" s="531"/>
      <c r="K30" s="531"/>
      <c r="L30" s="531"/>
      <c r="M30" s="531"/>
      <c r="N30" s="531"/>
      <c r="O30" s="531"/>
      <c r="P30" s="531"/>
      <c r="Q30" s="530" t="s">
        <v>628</v>
      </c>
      <c r="R30" s="531"/>
      <c r="S30" s="531"/>
      <c r="T30" s="3"/>
      <c r="U30" s="3"/>
      <c r="V30" s="3"/>
      <c r="W30" s="3"/>
      <c r="X30" s="3"/>
    </row>
    <row r="31" spans="1:24">
      <c r="A31" s="3"/>
      <c r="B31" s="3"/>
      <c r="C31" s="3"/>
      <c r="D31" s="3"/>
      <c r="E31" s="3"/>
      <c r="F31" s="3"/>
      <c r="G31" s="3"/>
      <c r="H31" s="531"/>
      <c r="I31" s="531"/>
      <c r="J31" s="531"/>
      <c r="K31" s="531"/>
      <c r="L31" s="531"/>
      <c r="M31" s="531"/>
      <c r="N31" s="531"/>
      <c r="O31" s="531"/>
      <c r="P31" s="531"/>
      <c r="Q31" s="531"/>
      <c r="R31" s="531"/>
      <c r="S31" s="531"/>
      <c r="T31" s="3"/>
      <c r="U31" s="3"/>
      <c r="V31" s="3"/>
      <c r="W31" s="3"/>
      <c r="X31" s="3"/>
    </row>
    <row r="32" spans="1:24">
      <c r="A32" s="3"/>
      <c r="B32" s="3"/>
      <c r="C32" s="3"/>
      <c r="D32" s="3"/>
      <c r="E32" s="3"/>
      <c r="F32" s="3"/>
      <c r="G32" s="3"/>
      <c r="H32" s="531"/>
      <c r="I32" s="531"/>
      <c r="J32" s="531"/>
      <c r="K32" s="531"/>
      <c r="L32" s="531"/>
      <c r="M32" s="495" t="s">
        <v>513</v>
      </c>
      <c r="N32" s="530"/>
      <c r="O32" s="530"/>
      <c r="P32" s="530"/>
      <c r="Q32" s="534">
        <v>5</v>
      </c>
      <c r="R32" s="530"/>
      <c r="S32" s="531"/>
      <c r="T32" s="3"/>
      <c r="U32" s="3"/>
      <c r="V32" s="3"/>
      <c r="W32" s="3"/>
      <c r="X32" s="3"/>
    </row>
    <row r="33" spans="1:24">
      <c r="A33" s="3"/>
      <c r="B33" s="3"/>
      <c r="C33" s="3"/>
      <c r="D33" s="3"/>
      <c r="E33" s="3"/>
      <c r="F33" s="3"/>
      <c r="G33" s="3"/>
      <c r="H33" s="531"/>
      <c r="I33" s="531"/>
      <c r="J33" s="531"/>
      <c r="K33" s="531"/>
      <c r="L33" s="531"/>
      <c r="M33" s="530"/>
      <c r="N33" s="530"/>
      <c r="O33" s="530"/>
      <c r="P33" s="530"/>
      <c r="Q33" s="530"/>
      <c r="R33" s="530"/>
      <c r="S33" s="531"/>
      <c r="T33" s="3"/>
      <c r="U33" s="3"/>
      <c r="V33" s="3"/>
      <c r="W33" s="3"/>
      <c r="X33" s="3"/>
    </row>
    <row r="34" spans="1:24">
      <c r="A34" s="3"/>
      <c r="B34" s="3"/>
      <c r="C34" s="3"/>
      <c r="D34" s="3"/>
      <c r="E34" s="3"/>
      <c r="F34" s="3"/>
      <c r="G34" s="3"/>
      <c r="H34" s="531"/>
      <c r="I34" s="531"/>
      <c r="J34" s="531"/>
      <c r="K34" s="531"/>
      <c r="L34" s="531"/>
      <c r="M34" s="530" t="s">
        <v>514</v>
      </c>
      <c r="N34" s="530"/>
      <c r="O34" s="530"/>
      <c r="P34" s="530"/>
      <c r="Q34" s="749">
        <v>0.25</v>
      </c>
      <c r="R34" s="530"/>
      <c r="S34" s="531"/>
      <c r="T34" s="3"/>
      <c r="U34" s="3"/>
      <c r="V34" s="3"/>
      <c r="W34" s="3"/>
      <c r="X34" s="3"/>
    </row>
    <row r="35" spans="1:24">
      <c r="A35" s="3"/>
      <c r="B35" s="3"/>
      <c r="C35" s="3"/>
      <c r="D35" s="3"/>
      <c r="E35" s="3"/>
      <c r="F35" s="3"/>
      <c r="G35" s="3"/>
      <c r="H35" s="531"/>
      <c r="I35" s="531"/>
      <c r="J35" s="531"/>
      <c r="K35" s="531"/>
      <c r="L35" s="531"/>
      <c r="M35" s="530"/>
      <c r="N35" s="530"/>
      <c r="O35" s="530"/>
      <c r="P35" s="530"/>
      <c r="Q35" s="530"/>
      <c r="R35" s="530"/>
      <c r="S35" s="531"/>
      <c r="T35" s="3"/>
      <c r="U35" s="3"/>
      <c r="V35" s="3"/>
      <c r="W35" s="3"/>
      <c r="X35" s="3"/>
    </row>
    <row r="36" spans="1:24">
      <c r="A36" s="3"/>
      <c r="B36" s="3"/>
      <c r="C36" s="3"/>
      <c r="D36" s="3"/>
      <c r="E36" s="3"/>
      <c r="F36" s="3"/>
      <c r="G36" s="3"/>
      <c r="H36" s="531"/>
      <c r="I36" s="531"/>
      <c r="J36" s="531"/>
      <c r="K36" s="531"/>
      <c r="L36" s="531"/>
      <c r="M36" s="530" t="s">
        <v>515</v>
      </c>
      <c r="N36" s="530"/>
      <c r="O36" s="530"/>
      <c r="P36" s="530"/>
      <c r="Q36" s="705">
        <f>(SQRT(Q32)+SQRT(Q34))/(SQRT(Q32)-SQRT(Q34))</f>
        <v>1.5760143110525873</v>
      </c>
      <c r="R36" s="530"/>
      <c r="S36" s="531"/>
      <c r="T36" s="3"/>
      <c r="U36" s="3"/>
      <c r="V36" s="3"/>
      <c r="W36" s="3"/>
      <c r="X36" s="3"/>
    </row>
    <row r="37" spans="1:24">
      <c r="A37" s="3"/>
      <c r="B37" s="3"/>
      <c r="C37" s="3"/>
      <c r="D37" s="3"/>
      <c r="E37" s="3"/>
      <c r="F37" s="3"/>
      <c r="G37" s="3"/>
      <c r="H37" s="531"/>
      <c r="I37" s="531"/>
      <c r="J37" s="531"/>
      <c r="K37" s="531"/>
      <c r="L37" s="531"/>
      <c r="M37" s="530"/>
      <c r="N37" s="530"/>
      <c r="O37" s="530"/>
      <c r="P37" s="530"/>
      <c r="Q37" s="530"/>
      <c r="R37" s="530"/>
      <c r="S37" s="531"/>
      <c r="T37" s="3"/>
      <c r="U37" s="3"/>
      <c r="V37" s="3"/>
      <c r="W37" s="3"/>
      <c r="X37" s="3"/>
    </row>
    <row r="38" spans="1:24">
      <c r="A38" s="3"/>
      <c r="B38" s="3"/>
      <c r="C38" s="3"/>
      <c r="D38" s="3"/>
      <c r="E38" s="3"/>
      <c r="F38" s="3"/>
      <c r="G38" s="3"/>
      <c r="H38" s="531"/>
      <c r="I38" s="531"/>
      <c r="J38" s="531"/>
      <c r="K38" s="531"/>
      <c r="L38" s="531"/>
      <c r="M38" s="530"/>
      <c r="N38" s="530"/>
      <c r="O38" s="530"/>
      <c r="P38" s="530"/>
      <c r="Q38" s="530"/>
      <c r="R38" s="530"/>
      <c r="S38" s="531"/>
      <c r="T38" s="3"/>
      <c r="U38" s="3"/>
      <c r="V38" s="3"/>
      <c r="W38" s="3"/>
      <c r="X38" s="3"/>
    </row>
    <row r="39" spans="1:24">
      <c r="A39" s="3"/>
      <c r="B39" s="3"/>
      <c r="C39" s="3"/>
      <c r="D39" s="3"/>
      <c r="E39" s="3"/>
      <c r="F39" s="3"/>
      <c r="G39" s="3"/>
      <c r="H39" s="531"/>
      <c r="I39" s="531"/>
      <c r="J39" s="531"/>
      <c r="K39" s="531"/>
      <c r="L39" s="531"/>
      <c r="M39" s="530"/>
      <c r="N39" s="530"/>
      <c r="O39" s="530"/>
      <c r="P39" s="530"/>
      <c r="Q39" s="531"/>
      <c r="R39" s="531"/>
      <c r="S39" s="531"/>
      <c r="T39" s="3"/>
      <c r="U39" s="3"/>
      <c r="V39" s="3"/>
      <c r="W39" s="3"/>
      <c r="X39" s="3"/>
    </row>
    <row r="40" spans="1:24">
      <c r="A40" s="3"/>
      <c r="B40" s="3"/>
      <c r="C40" s="3"/>
      <c r="D40" s="3"/>
      <c r="E40" s="3"/>
      <c r="F40" s="3"/>
      <c r="G40" s="3"/>
      <c r="H40" s="531"/>
      <c r="I40" s="531"/>
      <c r="J40" s="531"/>
      <c r="K40" s="531"/>
      <c r="L40" s="531"/>
      <c r="M40" s="530"/>
      <c r="N40" s="530"/>
      <c r="O40" s="530"/>
      <c r="P40" s="530"/>
      <c r="Q40" s="531"/>
      <c r="R40" s="531"/>
      <c r="S40" s="531"/>
      <c r="T40" s="3"/>
      <c r="U40" s="3"/>
      <c r="V40" s="3"/>
      <c r="W40" s="3"/>
      <c r="X40" s="3"/>
    </row>
    <row r="41" spans="1:24">
      <c r="A41" s="3"/>
      <c r="B41" s="3"/>
      <c r="C41" s="3"/>
      <c r="D41" s="3"/>
      <c r="E41" s="3"/>
      <c r="F41" s="3"/>
      <c r="G41" s="3"/>
      <c r="H41" s="531"/>
      <c r="I41" s="531"/>
      <c r="J41" s="531"/>
      <c r="K41" s="531"/>
      <c r="L41" s="531"/>
      <c r="M41" s="531"/>
      <c r="N41" s="531"/>
      <c r="O41" s="531"/>
      <c r="P41" s="531"/>
      <c r="Q41" s="531"/>
      <c r="R41" s="531"/>
      <c r="S41" s="531"/>
      <c r="T41" s="3"/>
      <c r="U41" s="3"/>
      <c r="V41" s="3"/>
      <c r="W41" s="3"/>
      <c r="X41" s="3"/>
    </row>
    <row r="42" spans="1:24">
      <c r="A42" s="3"/>
      <c r="B42" s="3"/>
      <c r="C42" s="3"/>
      <c r="D42" s="3"/>
      <c r="E42" s="3"/>
      <c r="F42" s="3"/>
      <c r="G42" s="346" t="s">
        <v>140</v>
      </c>
      <c r="H42" s="531"/>
      <c r="I42" s="531"/>
      <c r="J42" s="531"/>
      <c r="K42" s="531"/>
      <c r="L42" s="531"/>
      <c r="M42" s="531"/>
      <c r="N42" s="531"/>
      <c r="O42" s="531"/>
      <c r="P42" s="531"/>
      <c r="Q42" s="531"/>
      <c r="R42" s="531"/>
      <c r="S42" s="531"/>
      <c r="T42" s="3"/>
      <c r="U42" s="3"/>
      <c r="V42" s="3"/>
      <c r="W42" s="3"/>
      <c r="X42" s="3"/>
    </row>
    <row r="43" spans="1:24">
      <c r="A43" s="3"/>
      <c r="B43" s="3"/>
      <c r="C43" s="3"/>
      <c r="D43" s="3"/>
      <c r="E43" s="3"/>
      <c r="F43" s="3"/>
      <c r="G43" s="3"/>
      <c r="H43" s="531"/>
      <c r="I43" s="531"/>
      <c r="J43" s="531"/>
      <c r="K43" s="531"/>
      <c r="L43" s="531"/>
      <c r="M43" s="531"/>
      <c r="N43" s="531"/>
      <c r="O43" s="531"/>
      <c r="P43" s="531"/>
      <c r="Q43" s="531"/>
      <c r="R43" s="531"/>
      <c r="S43" s="531"/>
      <c r="T43" s="3"/>
      <c r="U43" s="3"/>
      <c r="V43" s="3"/>
      <c r="W43" s="3"/>
      <c r="X43" s="3"/>
    </row>
    <row r="44" spans="1:24">
      <c r="A44" s="3"/>
      <c r="B44" s="3"/>
      <c r="C44" s="3"/>
      <c r="D44" s="3"/>
      <c r="E44" s="3"/>
      <c r="F44" s="3"/>
      <c r="G44" s="3"/>
      <c r="H44" s="531"/>
      <c r="I44" s="531"/>
      <c r="J44" s="531"/>
      <c r="K44" s="531"/>
      <c r="L44" s="531"/>
      <c r="M44" s="531"/>
      <c r="N44" s="531"/>
      <c r="O44" s="531"/>
      <c r="P44" s="531"/>
      <c r="Q44" s="531"/>
      <c r="R44" s="531"/>
      <c r="S44" s="531"/>
      <c r="T44" s="3"/>
      <c r="U44" s="3"/>
      <c r="V44" s="3"/>
      <c r="W44" s="3"/>
      <c r="X44" s="3"/>
    </row>
    <row r="45" spans="1:24">
      <c r="A45" s="3"/>
      <c r="B45" s="3"/>
      <c r="C45" s="3"/>
      <c r="D45" s="3"/>
      <c r="E45" s="3"/>
      <c r="F45" s="3"/>
      <c r="G45" s="3"/>
      <c r="H45" s="531"/>
      <c r="I45" s="531"/>
      <c r="J45" s="531"/>
      <c r="K45" s="531"/>
      <c r="L45" s="531"/>
      <c r="M45" s="531"/>
      <c r="N45" s="531"/>
      <c r="O45" s="531"/>
      <c r="P45" s="531"/>
      <c r="Q45" s="531"/>
      <c r="R45" s="531"/>
      <c r="S45" s="531"/>
      <c r="T45" s="3"/>
      <c r="U45" s="3"/>
      <c r="V45" s="3"/>
      <c r="W45" s="3"/>
      <c r="X45" s="3"/>
    </row>
    <row r="46" spans="1:24">
      <c r="A46" s="3"/>
      <c r="B46" s="3"/>
      <c r="C46" s="3"/>
      <c r="D46" s="3"/>
      <c r="E46" s="3"/>
      <c r="F46" s="3"/>
      <c r="G46" s="3"/>
      <c r="H46" s="531"/>
      <c r="I46" s="531"/>
      <c r="J46" s="531"/>
      <c r="K46" s="531"/>
      <c r="L46" s="531"/>
      <c r="M46" s="531"/>
      <c r="N46" s="531"/>
      <c r="O46" s="531"/>
      <c r="P46" s="531"/>
      <c r="Q46" s="531"/>
      <c r="R46" s="531"/>
      <c r="S46" s="531"/>
      <c r="T46" s="3"/>
      <c r="U46" s="3"/>
      <c r="V46" s="3"/>
      <c r="W46" s="3"/>
      <c r="X46" s="3"/>
    </row>
    <row r="47" spans="1:24">
      <c r="A47" s="3"/>
      <c r="B47" s="3"/>
      <c r="C47" s="3"/>
      <c r="D47" s="3"/>
      <c r="E47" s="3"/>
      <c r="F47" s="3"/>
      <c r="G47" s="3"/>
      <c r="H47" s="531"/>
      <c r="I47" s="531"/>
      <c r="J47" s="531"/>
      <c r="K47" s="531"/>
      <c r="L47" s="531"/>
      <c r="M47" s="531"/>
      <c r="N47" s="531"/>
      <c r="O47" s="531"/>
      <c r="P47" s="531"/>
      <c r="Q47" s="531"/>
      <c r="R47" s="531"/>
      <c r="S47" s="531"/>
      <c r="T47" s="3"/>
      <c r="U47" s="3"/>
      <c r="V47" s="3"/>
      <c r="W47" s="3"/>
      <c r="X47" s="3"/>
    </row>
    <row r="48" spans="1:24">
      <c r="A48" s="3"/>
      <c r="B48" s="3"/>
      <c r="C48" s="3"/>
      <c r="D48" s="3"/>
      <c r="E48" s="3"/>
      <c r="F48" s="3"/>
      <c r="G48" s="3"/>
      <c r="H48" s="531"/>
      <c r="I48" s="531"/>
      <c r="J48" s="531"/>
      <c r="K48" s="531"/>
      <c r="L48" s="531"/>
      <c r="M48" s="531"/>
      <c r="N48" s="531"/>
      <c r="O48" s="531"/>
      <c r="P48" s="531"/>
      <c r="Q48" s="531"/>
      <c r="R48" s="531"/>
      <c r="S48" s="531"/>
      <c r="T48" s="3"/>
      <c r="U48" s="3"/>
      <c r="V48" s="3"/>
      <c r="W48" s="3"/>
      <c r="X48" s="3"/>
    </row>
    <row r="49" spans="1:24">
      <c r="A49" s="3"/>
      <c r="B49" s="3"/>
      <c r="C49" s="3"/>
      <c r="D49" s="3"/>
      <c r="E49" s="3"/>
      <c r="F49" s="3"/>
      <c r="G49" s="3"/>
      <c r="H49" s="531"/>
      <c r="I49" s="531"/>
      <c r="J49" s="531"/>
      <c r="K49" s="531"/>
      <c r="L49" s="531"/>
      <c r="M49" s="531"/>
      <c r="N49" s="531"/>
      <c r="O49" s="531"/>
      <c r="P49" s="531"/>
      <c r="Q49" s="531"/>
      <c r="R49" s="531"/>
      <c r="S49" s="531"/>
      <c r="T49" s="3"/>
      <c r="U49" s="3"/>
      <c r="V49" s="3"/>
      <c r="W49" s="3"/>
      <c r="X49" s="3"/>
    </row>
    <row r="50" spans="1:24">
      <c r="A50" s="3"/>
      <c r="B50" s="3"/>
      <c r="C50" s="3"/>
      <c r="D50" s="3"/>
      <c r="E50" s="3"/>
      <c r="F50" s="3"/>
      <c r="G50" s="3"/>
      <c r="H50" s="531"/>
      <c r="I50" s="531"/>
      <c r="J50" s="531"/>
      <c r="K50" s="531"/>
      <c r="L50" s="531"/>
      <c r="M50" s="531"/>
      <c r="N50" s="531"/>
      <c r="O50" s="531"/>
      <c r="P50" s="531"/>
      <c r="Q50" s="531"/>
      <c r="R50" s="531"/>
      <c r="S50" s="531"/>
      <c r="T50" s="3"/>
      <c r="U50" s="3"/>
      <c r="V50" s="3"/>
      <c r="W50" s="3"/>
      <c r="X50" s="3"/>
    </row>
    <row r="51" spans="1:24">
      <c r="A51" s="3"/>
      <c r="B51" s="3"/>
      <c r="C51" s="3"/>
      <c r="D51" s="3"/>
      <c r="E51" s="3"/>
      <c r="F51" s="3"/>
      <c r="G51" s="3"/>
      <c r="H51" s="531"/>
      <c r="I51" s="531"/>
      <c r="J51" s="531"/>
      <c r="K51" s="531"/>
      <c r="L51" s="531"/>
      <c r="M51" s="531"/>
      <c r="N51" s="531"/>
      <c r="O51" s="531"/>
      <c r="P51" s="531"/>
      <c r="Q51" s="531"/>
      <c r="R51" s="531"/>
      <c r="S51" s="531"/>
      <c r="T51" s="3"/>
      <c r="U51" s="3"/>
      <c r="V51" s="3"/>
      <c r="W51" s="3"/>
      <c r="X51" s="3"/>
    </row>
    <row r="52" spans="1:24">
      <c r="A52" s="3"/>
      <c r="B52" s="3"/>
      <c r="C52" s="3"/>
      <c r="D52" s="3"/>
      <c r="E52" s="3"/>
      <c r="F52" s="3"/>
      <c r="G52" s="3"/>
      <c r="H52" s="531"/>
      <c r="I52" s="531"/>
      <c r="J52" s="531"/>
      <c r="K52" s="531"/>
      <c r="L52" s="531"/>
      <c r="M52" s="531"/>
      <c r="N52" s="531"/>
      <c r="O52" s="531"/>
      <c r="P52" s="531"/>
      <c r="Q52" s="531"/>
      <c r="R52" s="531"/>
      <c r="S52" s="531"/>
      <c r="T52" s="3"/>
      <c r="U52" s="3"/>
      <c r="V52" s="3"/>
      <c r="W52" s="3"/>
      <c r="X52" s="3"/>
    </row>
    <row r="53" spans="1:24">
      <c r="A53" s="3"/>
      <c r="B53" s="3"/>
      <c r="C53" s="3"/>
      <c r="D53" s="3"/>
      <c r="E53" s="3"/>
      <c r="F53" s="3"/>
      <c r="G53" s="3"/>
      <c r="H53" s="531"/>
      <c r="I53" s="531"/>
      <c r="J53" s="531"/>
      <c r="K53" s="531"/>
      <c r="L53" s="531"/>
      <c r="M53" s="531"/>
      <c r="N53" s="531"/>
      <c r="O53" s="531"/>
      <c r="P53" s="531"/>
      <c r="Q53" s="531"/>
      <c r="R53" s="531"/>
      <c r="S53" s="531"/>
      <c r="T53" s="3"/>
      <c r="U53" s="3"/>
      <c r="V53" s="3"/>
      <c r="W53" s="3"/>
      <c r="X53" s="3"/>
    </row>
    <row r="54" spans="1:24">
      <c r="A54" s="3"/>
      <c r="B54" s="3"/>
      <c r="C54" s="3"/>
      <c r="D54" s="3"/>
      <c r="E54" s="3"/>
      <c r="F54" s="3"/>
      <c r="G54" s="3"/>
      <c r="H54" s="531"/>
      <c r="I54" s="531"/>
      <c r="J54" s="531"/>
      <c r="K54" s="531"/>
      <c r="L54" s="531"/>
      <c r="M54" s="531"/>
      <c r="N54" s="531"/>
      <c r="O54" s="531"/>
      <c r="P54" s="531"/>
      <c r="Q54" s="531"/>
      <c r="R54" s="531"/>
      <c r="S54" s="531"/>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683</v>
      </c>
      <c r="B1" s="127"/>
      <c r="C1" s="127"/>
      <c r="D1" s="127"/>
      <c r="E1" s="127"/>
      <c r="F1" s="127"/>
      <c r="G1" s="127"/>
      <c r="H1" s="127"/>
      <c r="I1" s="127"/>
      <c r="J1" s="676" t="str">
        <f>'Title Page'!F3</f>
        <v>OreSat - CS0</v>
      </c>
      <c r="K1" s="127"/>
      <c r="L1" s="127"/>
      <c r="M1" s="675" t="str">
        <f>'Title Page'!F23</f>
        <v>2019 May 5</v>
      </c>
      <c r="N1" s="127"/>
      <c r="O1" s="127"/>
      <c r="P1" s="127"/>
      <c r="Q1" s="127"/>
      <c r="R1" s="127"/>
      <c r="S1" s="127"/>
    </row>
    <row r="2" spans="1:19">
      <c r="A2" s="234"/>
      <c r="B2" s="663"/>
      <c r="C2" s="663"/>
      <c r="D2" s="663"/>
      <c r="E2" s="663"/>
      <c r="F2" s="663"/>
      <c r="G2" s="663"/>
      <c r="H2" s="663"/>
      <c r="I2" s="663"/>
      <c r="J2" s="663"/>
      <c r="K2" s="663"/>
      <c r="L2" s="663"/>
      <c r="M2" s="663"/>
      <c r="N2" s="663"/>
      <c r="O2" s="663"/>
      <c r="P2" s="663"/>
      <c r="Q2" s="663"/>
      <c r="R2" s="663"/>
      <c r="S2" s="234"/>
    </row>
    <row r="3" spans="1:19">
      <c r="A3" s="234"/>
      <c r="B3" s="689"/>
      <c r="C3" s="663"/>
      <c r="D3" s="663"/>
      <c r="E3" s="663"/>
      <c r="F3" s="663"/>
      <c r="G3" s="663"/>
      <c r="H3" s="663"/>
      <c r="I3" s="663"/>
      <c r="J3" s="663"/>
      <c r="K3" s="663"/>
      <c r="L3" s="663"/>
      <c r="M3" s="663"/>
      <c r="N3" s="663"/>
      <c r="O3" s="663"/>
      <c r="P3" s="663"/>
      <c r="Q3" s="663"/>
      <c r="R3" s="663"/>
      <c r="S3" s="234"/>
    </row>
    <row r="4" spans="1:19">
      <c r="A4" s="234"/>
      <c r="B4" s="663"/>
      <c r="C4" s="663"/>
      <c r="D4" s="663"/>
      <c r="E4" s="663"/>
      <c r="F4" s="663"/>
      <c r="G4" s="663"/>
      <c r="H4" s="663"/>
      <c r="I4" s="663"/>
      <c r="J4" s="663"/>
      <c r="K4" s="663"/>
      <c r="L4" s="663"/>
      <c r="M4" s="663"/>
      <c r="N4" s="663"/>
      <c r="O4" s="663"/>
      <c r="P4" s="663"/>
      <c r="Q4" s="663"/>
      <c r="R4" s="663"/>
      <c r="S4" s="234"/>
    </row>
    <row r="5" spans="1:19" ht="15.5">
      <c r="A5" s="234"/>
      <c r="B5" s="659" t="s">
        <v>684</v>
      </c>
      <c r="C5" s="660"/>
      <c r="D5" s="664"/>
      <c r="E5" s="664"/>
      <c r="F5" s="664"/>
      <c r="G5" s="664"/>
      <c r="H5" s="664"/>
      <c r="I5" s="664"/>
      <c r="J5" s="664"/>
      <c r="K5" s="664"/>
      <c r="L5" s="664"/>
      <c r="M5" s="664"/>
      <c r="N5" s="664"/>
      <c r="O5" s="664"/>
      <c r="P5" s="664"/>
      <c r="Q5" s="664"/>
      <c r="R5" s="664"/>
      <c r="S5" s="234"/>
    </row>
    <row r="6" spans="1:19">
      <c r="A6" s="234"/>
      <c r="B6" s="664"/>
      <c r="C6" s="664"/>
      <c r="D6" s="664"/>
      <c r="E6" s="664"/>
      <c r="F6" s="664"/>
      <c r="G6" s="664"/>
      <c r="H6" s="664"/>
      <c r="I6" s="664"/>
      <c r="J6" s="664"/>
      <c r="K6" s="664"/>
      <c r="L6" s="664"/>
      <c r="M6" s="664"/>
      <c r="N6" s="664"/>
      <c r="O6" s="664"/>
      <c r="P6" s="664"/>
      <c r="Q6" s="664"/>
      <c r="R6" s="664"/>
      <c r="S6" s="234"/>
    </row>
    <row r="7" spans="1:19">
      <c r="A7" s="234"/>
      <c r="B7" s="664" t="s">
        <v>685</v>
      </c>
      <c r="C7" s="664"/>
      <c r="D7" s="664"/>
      <c r="E7" s="664"/>
      <c r="F7" s="664"/>
      <c r="G7" s="664"/>
      <c r="H7" s="664"/>
      <c r="I7" s="664"/>
      <c r="J7" s="664"/>
      <c r="K7" s="664"/>
      <c r="L7" s="664"/>
      <c r="M7" s="664"/>
      <c r="N7" s="664"/>
      <c r="O7" s="664"/>
      <c r="P7" s="664"/>
      <c r="Q7" s="664"/>
      <c r="R7" s="664"/>
      <c r="S7" s="234"/>
    </row>
    <row r="8" spans="1:19">
      <c r="A8" s="234"/>
      <c r="B8" s="664" t="s">
        <v>746</v>
      </c>
      <c r="C8" s="664"/>
      <c r="D8" s="664"/>
      <c r="E8" s="664"/>
      <c r="F8" s="664"/>
      <c r="G8" s="664"/>
      <c r="H8" s="664"/>
      <c r="I8" s="664"/>
      <c r="J8" s="664"/>
      <c r="K8" s="664"/>
      <c r="L8" s="664"/>
      <c r="M8" s="664"/>
      <c r="N8" s="664"/>
      <c r="O8" s="664"/>
      <c r="P8" s="664"/>
      <c r="Q8" s="664"/>
      <c r="R8" s="664"/>
      <c r="S8" s="234"/>
    </row>
    <row r="9" spans="1:19">
      <c r="A9" s="234"/>
      <c r="B9" s="664" t="s">
        <v>769</v>
      </c>
      <c r="C9" s="664"/>
      <c r="D9" s="664"/>
      <c r="E9" s="664"/>
      <c r="F9" s="664"/>
      <c r="G9" s="664"/>
      <c r="H9" s="664"/>
      <c r="I9" s="664"/>
      <c r="J9" s="664"/>
      <c r="K9" s="664"/>
      <c r="L9" s="664"/>
      <c r="M9" s="664"/>
      <c r="N9" s="664"/>
      <c r="O9" s="664"/>
      <c r="P9" s="664"/>
      <c r="Q9" s="664"/>
      <c r="R9" s="664"/>
      <c r="S9" s="234"/>
    </row>
    <row r="10" spans="1:19">
      <c r="A10" s="234"/>
      <c r="B10" s="664" t="s">
        <v>770</v>
      </c>
      <c r="C10" s="664"/>
      <c r="D10" s="664"/>
      <c r="E10" s="664"/>
      <c r="F10" s="664"/>
      <c r="G10" s="664"/>
      <c r="H10" s="664"/>
      <c r="I10" s="664"/>
      <c r="J10" s="664"/>
      <c r="K10" s="664"/>
      <c r="L10" s="664"/>
      <c r="M10" s="664"/>
      <c r="N10" s="664"/>
      <c r="O10" s="664"/>
      <c r="P10" s="664"/>
      <c r="Q10" s="664"/>
      <c r="R10" s="664"/>
      <c r="S10" s="234"/>
    </row>
    <row r="11" spans="1:19">
      <c r="A11" s="234"/>
      <c r="B11" s="664" t="s">
        <v>711</v>
      </c>
      <c r="C11" s="664"/>
      <c r="D11" s="664"/>
      <c r="E11" s="664"/>
      <c r="F11" s="664"/>
      <c r="G11" s="664"/>
      <c r="H11" s="664"/>
      <c r="I11" s="664"/>
      <c r="J11" s="664"/>
      <c r="K11" s="664"/>
      <c r="L11" s="664"/>
      <c r="M11" s="664"/>
      <c r="N11" s="664"/>
      <c r="O11" s="664"/>
      <c r="P11" s="664"/>
      <c r="Q11" s="664"/>
      <c r="R11" s="664"/>
      <c r="S11" s="234"/>
    </row>
    <row r="12" spans="1:19">
      <c r="A12" s="234"/>
      <c r="B12" s="664"/>
      <c r="C12" s="664"/>
      <c r="D12" s="664"/>
      <c r="E12" s="664"/>
      <c r="F12" s="664"/>
      <c r="G12" s="664"/>
      <c r="H12" s="664"/>
      <c r="I12" s="664"/>
      <c r="J12" s="664"/>
      <c r="K12" s="664"/>
      <c r="L12" s="664"/>
      <c r="M12" s="664"/>
      <c r="N12" s="664"/>
      <c r="O12" s="664"/>
      <c r="P12" s="664"/>
      <c r="Q12" s="664"/>
      <c r="R12" s="664"/>
      <c r="S12" s="234"/>
    </row>
    <row r="13" spans="1:19" ht="15.5">
      <c r="A13" s="234"/>
      <c r="B13" s="659" t="s">
        <v>686</v>
      </c>
      <c r="C13" s="661"/>
      <c r="D13" s="660"/>
      <c r="E13" s="664"/>
      <c r="F13" s="664"/>
      <c r="G13" s="664"/>
      <c r="H13" s="664"/>
      <c r="I13" s="664"/>
      <c r="J13" s="664"/>
      <c r="K13" s="664"/>
      <c r="L13" s="664"/>
      <c r="M13" s="664"/>
      <c r="N13" s="664"/>
      <c r="O13" s="664"/>
      <c r="P13" s="664"/>
      <c r="Q13" s="664"/>
      <c r="R13" s="664"/>
      <c r="S13" s="234"/>
    </row>
    <row r="14" spans="1:19">
      <c r="A14" s="234"/>
      <c r="B14" s="664"/>
      <c r="C14" s="664"/>
      <c r="D14" s="664"/>
      <c r="E14" s="664"/>
      <c r="F14" s="664"/>
      <c r="G14" s="664"/>
      <c r="H14" s="664"/>
      <c r="I14" s="664"/>
      <c r="J14" s="664"/>
      <c r="K14" s="664"/>
      <c r="L14" s="664"/>
      <c r="M14" s="664"/>
      <c r="N14" s="664"/>
      <c r="O14" s="664"/>
      <c r="P14" s="664"/>
      <c r="Q14" s="664"/>
      <c r="R14" s="664"/>
      <c r="S14" s="234"/>
    </row>
    <row r="15" spans="1:19" ht="13">
      <c r="A15" s="234"/>
      <c r="B15" s="664"/>
      <c r="C15" s="662" t="s">
        <v>687</v>
      </c>
      <c r="D15" s="664" t="s">
        <v>737</v>
      </c>
      <c r="E15" s="664"/>
      <c r="F15" s="664"/>
      <c r="G15" s="664"/>
      <c r="H15" s="664"/>
      <c r="I15" s="664"/>
      <c r="J15" s="664"/>
      <c r="K15" s="664"/>
      <c r="L15" s="664"/>
      <c r="M15" s="664"/>
      <c r="N15" s="664"/>
      <c r="O15" s="664"/>
      <c r="P15" s="664"/>
      <c r="Q15" s="664"/>
      <c r="R15" s="664"/>
      <c r="S15" s="234"/>
    </row>
    <row r="16" spans="1:19">
      <c r="A16" s="234"/>
      <c r="B16" s="234"/>
      <c r="C16" s="234" t="s">
        <v>703</v>
      </c>
      <c r="D16" s="234"/>
      <c r="E16" s="234"/>
      <c r="F16" s="234"/>
      <c r="G16" s="234"/>
      <c r="H16" s="234"/>
      <c r="I16" s="234"/>
      <c r="J16" s="234"/>
      <c r="K16" s="234"/>
      <c r="L16" s="234"/>
      <c r="M16" s="234"/>
      <c r="N16" s="234"/>
      <c r="O16" s="234"/>
      <c r="P16" s="234"/>
      <c r="Q16" s="234"/>
      <c r="R16" s="234"/>
      <c r="S16" s="234"/>
    </row>
    <row r="17" spans="1:19">
      <c r="A17" s="234"/>
      <c r="B17" s="234"/>
      <c r="C17" s="234" t="s">
        <v>688</v>
      </c>
      <c r="D17" s="234"/>
      <c r="E17" s="234"/>
      <c r="F17" s="234"/>
      <c r="G17" s="234"/>
      <c r="H17" s="234"/>
      <c r="I17" s="234"/>
      <c r="J17" s="234"/>
      <c r="K17" s="234"/>
      <c r="L17" s="234"/>
      <c r="M17" s="234"/>
      <c r="N17" s="234"/>
      <c r="O17" s="234"/>
      <c r="P17" s="234"/>
      <c r="Q17" s="234"/>
      <c r="R17" s="234"/>
      <c r="S17" s="234"/>
    </row>
    <row r="18" spans="1:19">
      <c r="A18" s="234"/>
      <c r="B18" s="234"/>
      <c r="C18" s="234" t="s">
        <v>702</v>
      </c>
      <c r="D18" s="234"/>
      <c r="E18" s="234"/>
      <c r="F18" s="234"/>
      <c r="G18" s="234"/>
      <c r="H18" s="234"/>
      <c r="I18" s="234"/>
      <c r="J18" s="234"/>
      <c r="K18" s="234"/>
      <c r="L18" s="234"/>
      <c r="M18" s="234"/>
      <c r="N18" s="234"/>
      <c r="O18" s="234"/>
      <c r="P18" s="234"/>
      <c r="Q18" s="234"/>
      <c r="R18" s="234"/>
      <c r="S18" s="234"/>
    </row>
    <row r="19" spans="1:19">
      <c r="A19" s="234"/>
      <c r="B19" s="234"/>
      <c r="C19" s="234" t="s">
        <v>689</v>
      </c>
      <c r="D19" s="234"/>
      <c r="E19" s="234"/>
      <c r="F19" s="234"/>
      <c r="G19" s="234"/>
      <c r="H19" s="234"/>
      <c r="I19" s="234"/>
      <c r="J19" s="234"/>
      <c r="K19" s="234"/>
      <c r="L19" s="234"/>
      <c r="M19" s="234"/>
      <c r="N19" s="234"/>
      <c r="O19" s="234"/>
      <c r="P19" s="234"/>
      <c r="Q19" s="234"/>
      <c r="R19" s="234"/>
      <c r="S19" s="234"/>
    </row>
    <row r="20" spans="1:19">
      <c r="A20" s="234"/>
      <c r="B20" s="234"/>
      <c r="C20" t="s">
        <v>690</v>
      </c>
      <c r="H20" s="3"/>
      <c r="I20" t="s">
        <v>691</v>
      </c>
      <c r="J20" s="638"/>
      <c r="K20" t="s">
        <v>692</v>
      </c>
      <c r="L20" s="422"/>
      <c r="M20" s="234" t="s">
        <v>693</v>
      </c>
      <c r="N20" s="234"/>
      <c r="O20" s="234"/>
      <c r="P20" s="234"/>
      <c r="Q20" s="234"/>
      <c r="R20" s="234"/>
      <c r="S20" s="234"/>
    </row>
    <row r="21" spans="1:19">
      <c r="A21" s="234"/>
      <c r="B21" s="234"/>
      <c r="C21" s="234" t="s">
        <v>758</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46" t="s">
        <v>140</v>
      </c>
      <c r="E23" s="234" t="s">
        <v>736</v>
      </c>
      <c r="F23" s="234"/>
      <c r="G23" s="234"/>
      <c r="H23" s="234"/>
      <c r="I23" s="234"/>
      <c r="J23" s="234"/>
      <c r="K23" s="234"/>
      <c r="L23" s="234"/>
      <c r="M23" s="234"/>
      <c r="N23" s="234"/>
      <c r="O23" s="234"/>
      <c r="P23" s="234"/>
      <c r="Q23" s="234"/>
      <c r="R23" s="234"/>
      <c r="S23" s="234"/>
    </row>
    <row r="24" spans="1:19">
      <c r="A24" s="234"/>
      <c r="B24" s="234"/>
      <c r="C24" s="234"/>
      <c r="D24" s="234" t="s">
        <v>694</v>
      </c>
      <c r="E24" s="234"/>
      <c r="F24" s="234"/>
      <c r="G24" s="234"/>
      <c r="H24" s="234"/>
      <c r="I24" s="234"/>
      <c r="J24" s="234"/>
      <c r="K24" s="234"/>
      <c r="L24" s="234"/>
      <c r="M24" s="234"/>
      <c r="N24" s="234"/>
      <c r="O24" s="234"/>
      <c r="P24" s="234"/>
      <c r="Q24" s="234"/>
      <c r="R24" s="234"/>
      <c r="S24" s="234"/>
    </row>
    <row r="25" spans="1:19">
      <c r="A25" s="234"/>
      <c r="B25" s="234"/>
      <c r="C25" s="234"/>
      <c r="D25" s="234" t="s">
        <v>695</v>
      </c>
      <c r="E25" s="234"/>
      <c r="F25" s="234"/>
      <c r="G25" s="234"/>
      <c r="H25" s="234"/>
      <c r="I25" s="234"/>
      <c r="J25" s="234"/>
      <c r="K25" s="234"/>
      <c r="L25" s="234"/>
      <c r="M25" s="234"/>
      <c r="N25" s="234"/>
      <c r="O25" s="234"/>
      <c r="P25" s="234"/>
      <c r="Q25" s="234"/>
      <c r="R25" s="234"/>
      <c r="S25" s="234"/>
    </row>
    <row r="26" spans="1:19">
      <c r="A26" s="234"/>
      <c r="B26" s="234"/>
      <c r="C26" s="234"/>
      <c r="D26" s="234" t="s">
        <v>697</v>
      </c>
      <c r="E26" s="234"/>
      <c r="F26" s="234"/>
      <c r="G26" s="234"/>
      <c r="H26" s="234"/>
      <c r="I26" s="234"/>
      <c r="J26" s="234"/>
      <c r="K26" s="234"/>
      <c r="L26" s="234"/>
      <c r="M26" s="234"/>
      <c r="N26" s="234"/>
      <c r="O26" s="234"/>
      <c r="P26" s="234"/>
      <c r="Q26" s="234"/>
      <c r="R26" s="234"/>
      <c r="S26" s="234"/>
    </row>
    <row r="27" spans="1:19">
      <c r="A27" s="234"/>
      <c r="B27" s="234"/>
      <c r="C27" s="234"/>
      <c r="D27" s="234" t="s">
        <v>696</v>
      </c>
      <c r="E27" s="234"/>
      <c r="F27" s="234"/>
      <c r="G27" s="234"/>
      <c r="H27" s="234"/>
      <c r="I27" s="234"/>
      <c r="J27" s="234"/>
      <c r="K27" s="234"/>
      <c r="L27" s="234"/>
      <c r="M27" s="234"/>
      <c r="N27" s="234"/>
      <c r="O27" s="234"/>
      <c r="P27" s="234"/>
      <c r="Q27" s="234"/>
      <c r="R27" s="234"/>
      <c r="S27" s="234"/>
    </row>
    <row r="28" spans="1:19">
      <c r="A28" s="234"/>
      <c r="B28" s="234"/>
      <c r="C28" s="234"/>
      <c r="D28" s="234" t="s">
        <v>352</v>
      </c>
      <c r="E28" s="234"/>
      <c r="F28" s="234"/>
      <c r="G28" s="234"/>
      <c r="H28" s="234"/>
      <c r="I28" s="234"/>
      <c r="J28" s="234"/>
      <c r="K28" s="234"/>
      <c r="L28" s="234"/>
      <c r="M28" s="234"/>
      <c r="N28" s="234"/>
      <c r="O28" s="234"/>
      <c r="P28" s="234"/>
      <c r="Q28" s="234"/>
      <c r="R28" s="234"/>
      <c r="S28" s="234"/>
    </row>
    <row r="29" spans="1:19">
      <c r="A29" s="234"/>
      <c r="B29" s="234"/>
      <c r="C29" s="234"/>
      <c r="D29" s="234" t="s">
        <v>536</v>
      </c>
      <c r="E29" s="234"/>
      <c r="F29" s="234"/>
      <c r="G29" s="234"/>
      <c r="H29" s="234"/>
      <c r="I29" s="234"/>
      <c r="J29" s="234"/>
      <c r="K29" s="234"/>
      <c r="L29" s="234"/>
      <c r="M29" s="234"/>
      <c r="N29" s="234"/>
      <c r="O29" s="234"/>
      <c r="P29" s="234"/>
      <c r="Q29" s="234"/>
      <c r="R29" s="234"/>
      <c r="S29" s="234"/>
    </row>
    <row r="30" spans="1:19">
      <c r="A30" s="234"/>
      <c r="B30" s="234"/>
      <c r="C30" s="234"/>
      <c r="D30" s="234" t="s">
        <v>698</v>
      </c>
      <c r="E30" s="234"/>
      <c r="F30" s="234"/>
      <c r="G30" s="234"/>
      <c r="H30" s="234"/>
      <c r="I30" s="234"/>
      <c r="J30" s="234"/>
      <c r="K30" s="234"/>
      <c r="L30" s="234"/>
      <c r="M30" s="234"/>
      <c r="N30" s="234"/>
      <c r="O30" s="234"/>
      <c r="P30" s="234"/>
      <c r="Q30" s="234"/>
      <c r="R30" s="234"/>
      <c r="S30" s="234"/>
    </row>
    <row r="31" spans="1:19">
      <c r="A31" s="234"/>
      <c r="B31" s="234"/>
      <c r="C31" s="234"/>
      <c r="D31" s="234" t="s">
        <v>338</v>
      </c>
      <c r="E31" s="234"/>
      <c r="F31" s="234"/>
      <c r="G31" s="234"/>
      <c r="H31" s="234"/>
      <c r="I31" s="234"/>
      <c r="J31" s="234"/>
      <c r="K31" s="234"/>
      <c r="L31" s="234"/>
      <c r="M31" s="234"/>
      <c r="N31" s="234"/>
      <c r="O31" s="234"/>
      <c r="P31" s="234"/>
      <c r="Q31" s="234"/>
      <c r="R31" s="234"/>
      <c r="S31" s="234"/>
    </row>
    <row r="32" spans="1:19">
      <c r="A32" s="234"/>
      <c r="B32" s="234"/>
      <c r="C32" s="234"/>
      <c r="D32" s="234" t="s">
        <v>339</v>
      </c>
      <c r="E32" s="234"/>
      <c r="F32" s="234"/>
      <c r="G32" s="234"/>
      <c r="H32" s="234"/>
      <c r="I32" s="234"/>
      <c r="J32" s="234"/>
      <c r="K32" s="234"/>
      <c r="L32" s="234"/>
      <c r="M32" s="234"/>
      <c r="N32" s="234"/>
      <c r="O32" s="234"/>
      <c r="P32" s="234"/>
      <c r="Q32" s="234"/>
      <c r="R32" s="234"/>
      <c r="S32" s="234"/>
    </row>
    <row r="33" spans="1:19">
      <c r="A33" s="234"/>
      <c r="B33" s="234"/>
      <c r="C33" s="234"/>
      <c r="D33" s="234" t="s">
        <v>340</v>
      </c>
      <c r="E33" s="234"/>
      <c r="F33" s="234"/>
      <c r="G33" s="234"/>
      <c r="H33" s="234"/>
      <c r="I33" s="234"/>
      <c r="J33" s="234"/>
      <c r="K33" s="234"/>
      <c r="L33" s="234"/>
      <c r="M33" s="234"/>
      <c r="N33" s="234"/>
      <c r="O33" s="234"/>
      <c r="P33" s="234"/>
      <c r="Q33" s="234"/>
      <c r="R33" s="234"/>
      <c r="S33" s="234"/>
    </row>
    <row r="34" spans="1:19">
      <c r="A34" s="234"/>
      <c r="B34" s="234"/>
      <c r="C34" s="234"/>
      <c r="D34" s="234" t="s">
        <v>341</v>
      </c>
      <c r="E34" s="234"/>
      <c r="F34" s="234"/>
      <c r="G34" s="234"/>
      <c r="H34" s="234"/>
      <c r="I34" s="234"/>
      <c r="J34" s="234"/>
      <c r="K34" s="234"/>
      <c r="L34" s="234"/>
      <c r="M34" s="234"/>
      <c r="N34" s="234"/>
      <c r="O34" s="234"/>
      <c r="P34" s="234"/>
      <c r="Q34" s="234"/>
      <c r="R34" s="234"/>
      <c r="S34" s="234"/>
    </row>
    <row r="35" spans="1:19">
      <c r="A35" s="234"/>
      <c r="B35" s="234"/>
      <c r="C35" s="234"/>
      <c r="D35" s="234" t="s">
        <v>342</v>
      </c>
      <c r="E35" s="234"/>
      <c r="F35" s="234"/>
      <c r="G35" s="234"/>
      <c r="H35" s="234"/>
      <c r="I35" s="234"/>
      <c r="J35" s="234"/>
      <c r="K35" s="234"/>
      <c r="L35" s="234"/>
      <c r="M35" s="234"/>
      <c r="N35" s="234"/>
      <c r="O35" s="234"/>
      <c r="P35" s="234"/>
      <c r="Q35" s="234"/>
      <c r="R35" s="234"/>
      <c r="S35" s="234"/>
    </row>
    <row r="36" spans="1:19">
      <c r="A36" s="234"/>
      <c r="B36" s="234"/>
      <c r="C36" s="234"/>
      <c r="D36" s="234" t="s">
        <v>343</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700</v>
      </c>
      <c r="E38" s="234" t="s">
        <v>722</v>
      </c>
      <c r="F38" s="234"/>
      <c r="G38" s="234"/>
      <c r="H38" s="234"/>
      <c r="I38" s="234"/>
      <c r="J38" s="234"/>
      <c r="K38" s="234"/>
      <c r="L38" s="234"/>
      <c r="M38" s="234"/>
      <c r="N38" s="234"/>
      <c r="O38" s="234"/>
      <c r="P38" s="234"/>
      <c r="Q38" s="234"/>
      <c r="R38" s="234"/>
      <c r="S38" s="234"/>
    </row>
    <row r="39" spans="1:19">
      <c r="A39" s="234"/>
      <c r="B39" s="234"/>
      <c r="C39" s="234"/>
      <c r="D39" s="234" t="s">
        <v>353</v>
      </c>
      <c r="E39" s="234"/>
      <c r="F39" s="234"/>
      <c r="G39" s="234"/>
      <c r="H39" s="234"/>
      <c r="I39" s="234"/>
      <c r="J39" s="234"/>
      <c r="K39" s="234"/>
      <c r="L39" s="234"/>
      <c r="M39" s="234"/>
      <c r="N39" s="234"/>
      <c r="O39" s="234"/>
      <c r="P39" s="234"/>
      <c r="Q39" s="234"/>
      <c r="R39" s="234"/>
      <c r="S39" s="234"/>
    </row>
    <row r="40" spans="1:19">
      <c r="A40" s="234"/>
      <c r="B40" s="234"/>
      <c r="C40" s="234"/>
      <c r="D40" s="234" t="s">
        <v>701</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85"/>
      <c r="C42" s="234"/>
      <c r="D42" s="639" t="s">
        <v>700</v>
      </c>
      <c r="E42" s="234" t="s">
        <v>354</v>
      </c>
      <c r="F42" s="234"/>
      <c r="G42" s="234"/>
      <c r="H42" s="234"/>
      <c r="I42" s="234"/>
      <c r="J42" s="234"/>
      <c r="K42" s="234"/>
      <c r="L42" s="234"/>
      <c r="M42" s="234"/>
      <c r="N42" s="234"/>
      <c r="O42" s="234"/>
      <c r="P42" s="234"/>
      <c r="Q42" s="234"/>
      <c r="R42" s="234"/>
      <c r="S42" s="234"/>
    </row>
    <row r="43" spans="1:19">
      <c r="A43" s="234"/>
      <c r="B43" s="234"/>
      <c r="C43" s="234"/>
      <c r="D43" s="686"/>
      <c r="E43" s="234" t="s">
        <v>355</v>
      </c>
      <c r="F43" s="234"/>
      <c r="G43" s="234"/>
      <c r="H43" s="234"/>
      <c r="I43" s="234"/>
      <c r="J43" s="234"/>
      <c r="K43" s="234"/>
      <c r="L43" s="234"/>
      <c r="M43" s="234"/>
      <c r="N43" s="234"/>
      <c r="O43" s="234"/>
      <c r="P43" s="234"/>
      <c r="Q43" s="234"/>
      <c r="R43" s="234"/>
      <c r="S43" s="234"/>
    </row>
    <row r="44" spans="1:19">
      <c r="A44" s="234"/>
      <c r="B44" s="234"/>
      <c r="C44" s="234"/>
      <c r="D44" s="684"/>
      <c r="E44" s="234"/>
      <c r="F44" s="234"/>
      <c r="G44" s="234"/>
      <c r="H44" s="234"/>
      <c r="I44" s="234"/>
      <c r="J44" s="234"/>
      <c r="K44" s="234"/>
      <c r="L44" s="234"/>
      <c r="M44" s="234"/>
      <c r="N44" s="234"/>
      <c r="O44" s="234"/>
      <c r="P44" s="234"/>
      <c r="Q44" s="234"/>
      <c r="R44" s="234"/>
      <c r="S44" s="234"/>
    </row>
    <row r="45" spans="1:19" ht="13">
      <c r="A45" s="234"/>
      <c r="B45" s="234"/>
      <c r="C45" s="234"/>
      <c r="D45" s="687" t="s">
        <v>700</v>
      </c>
      <c r="E45" s="234" t="s">
        <v>721</v>
      </c>
      <c r="F45" s="234"/>
      <c r="G45" s="234"/>
      <c r="H45" s="234"/>
      <c r="I45" s="234"/>
      <c r="J45" s="234"/>
      <c r="K45" s="234"/>
      <c r="L45" s="234"/>
      <c r="M45" s="234"/>
      <c r="N45" s="234"/>
      <c r="O45" s="234"/>
      <c r="P45" s="234"/>
      <c r="Q45" s="234"/>
      <c r="R45" s="234"/>
      <c r="S45" s="234"/>
    </row>
    <row r="46" spans="1:19">
      <c r="A46" s="234"/>
      <c r="B46" s="234"/>
      <c r="C46" s="234"/>
      <c r="D46" s="234" t="s">
        <v>704</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46" t="s">
        <v>700</v>
      </c>
      <c r="E48" s="246" t="s">
        <v>230</v>
      </c>
      <c r="F48" s="640" t="s">
        <v>700</v>
      </c>
      <c r="G48" s="234" t="s">
        <v>344</v>
      </c>
      <c r="H48" s="234"/>
      <c r="I48" s="234"/>
      <c r="J48" s="234"/>
      <c r="K48" s="234"/>
      <c r="L48" s="234"/>
      <c r="M48" s="234"/>
      <c r="N48" s="234"/>
      <c r="O48" s="234"/>
      <c r="P48" s="234"/>
      <c r="Q48" s="234"/>
      <c r="R48" s="234"/>
      <c r="S48" s="234"/>
    </row>
    <row r="49" spans="1:19">
      <c r="A49" s="234"/>
      <c r="B49" s="234"/>
      <c r="C49" s="234"/>
      <c r="D49" s="234" t="s">
        <v>347</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700</v>
      </c>
      <c r="E51" s="234" t="s">
        <v>718</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41" t="s">
        <v>809</v>
      </c>
      <c r="E53" s="246" t="s">
        <v>230</v>
      </c>
      <c r="F53" s="642" t="s">
        <v>809</v>
      </c>
      <c r="G53" s="18" t="s">
        <v>230</v>
      </c>
      <c r="H53" s="643" t="s">
        <v>809</v>
      </c>
      <c r="I53" t="s">
        <v>712</v>
      </c>
      <c r="Q53" s="86"/>
      <c r="R53" s="86"/>
      <c r="S53" s="234"/>
    </row>
    <row r="54" spans="1:19">
      <c r="A54" s="234"/>
      <c r="B54" s="234"/>
      <c r="C54" s="234"/>
      <c r="D54" s="234" t="s">
        <v>705</v>
      </c>
      <c r="E54" s="234"/>
      <c r="F54" s="234"/>
      <c r="G54" s="234"/>
      <c r="H54" s="234"/>
      <c r="I54" s="234"/>
      <c r="J54" s="234"/>
      <c r="K54" s="234"/>
      <c r="L54" s="234"/>
      <c r="M54" s="234"/>
      <c r="N54" s="234"/>
      <c r="O54" s="234"/>
      <c r="P54" s="234"/>
      <c r="Q54" s="234"/>
      <c r="R54" s="234"/>
      <c r="S54" s="234"/>
    </row>
    <row r="55" spans="1:19">
      <c r="A55" s="234"/>
      <c r="B55" s="234"/>
      <c r="C55" s="234"/>
      <c r="D55" s="234" t="s">
        <v>706</v>
      </c>
      <c r="E55" s="234"/>
      <c r="F55" s="234"/>
      <c r="G55" s="234"/>
      <c r="H55" s="234"/>
      <c r="I55" s="234"/>
      <c r="J55" s="234"/>
      <c r="K55" s="234"/>
      <c r="L55" s="234"/>
      <c r="M55" s="234"/>
      <c r="N55" s="234"/>
      <c r="O55" s="234"/>
      <c r="P55" s="234"/>
      <c r="Q55" s="234"/>
      <c r="R55" s="234"/>
      <c r="S55" s="234"/>
    </row>
    <row r="56" spans="1:19">
      <c r="A56" s="234"/>
      <c r="B56" s="234"/>
      <c r="C56" s="234"/>
      <c r="D56" s="234" t="s">
        <v>537</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707</v>
      </c>
      <c r="E58" s="249"/>
      <c r="F58" t="s">
        <v>715</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688" t="s">
        <v>700</v>
      </c>
      <c r="E60" s="234" t="s">
        <v>714</v>
      </c>
      <c r="F60" s="234"/>
      <c r="G60" s="234"/>
      <c r="H60" s="234"/>
      <c r="I60" s="234"/>
      <c r="J60" s="234"/>
      <c r="K60" s="234"/>
      <c r="L60" s="234"/>
      <c r="M60" s="234"/>
      <c r="N60" s="234"/>
      <c r="O60" s="234"/>
      <c r="P60" s="234"/>
      <c r="Q60" s="234"/>
      <c r="R60" s="234"/>
      <c r="S60" s="234"/>
    </row>
    <row r="61" spans="1:19">
      <c r="A61" s="234"/>
      <c r="B61" s="234"/>
      <c r="C61" s="234"/>
      <c r="D61" s="234" t="s">
        <v>708</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57" t="s">
        <v>709</v>
      </c>
      <c r="E63" s="234" t="s">
        <v>356</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58" t="s">
        <v>710</v>
      </c>
      <c r="E65" s="475"/>
      <c r="F65" s="234" t="s">
        <v>699</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65" t="s">
        <v>751</v>
      </c>
      <c r="D70" s="667"/>
      <c r="E70" s="234" t="s">
        <v>164</v>
      </c>
      <c r="F70" s="234"/>
      <c r="G70" s="234"/>
      <c r="H70" s="234"/>
      <c r="I70" s="234"/>
      <c r="J70" s="234"/>
      <c r="K70" s="234"/>
      <c r="L70" s="234"/>
      <c r="M70" s="234"/>
      <c r="N70" s="234"/>
      <c r="O70" s="234"/>
      <c r="P70" s="234"/>
      <c r="Q70" s="234"/>
      <c r="R70" s="234"/>
    </row>
    <row r="71" spans="1:19">
      <c r="A71" s="234"/>
      <c r="B71" s="234"/>
      <c r="C71" s="234" t="s">
        <v>539</v>
      </c>
      <c r="D71" s="234"/>
      <c r="E71" s="234"/>
      <c r="F71" s="234"/>
      <c r="G71" s="234"/>
      <c r="H71" s="234"/>
      <c r="I71" s="234"/>
      <c r="J71" s="234"/>
      <c r="K71" s="234"/>
      <c r="L71" s="234"/>
      <c r="M71" s="234"/>
      <c r="N71" s="234"/>
      <c r="O71" s="234"/>
      <c r="P71" s="234"/>
      <c r="Q71" s="234"/>
      <c r="R71" s="234"/>
    </row>
    <row r="72" spans="1:19">
      <c r="A72" s="234"/>
      <c r="B72" s="234"/>
      <c r="C72" s="234" t="s">
        <v>713</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749</v>
      </c>
      <c r="D74" s="234"/>
      <c r="E74" s="234"/>
      <c r="F74" s="234"/>
      <c r="G74" s="234"/>
      <c r="H74" s="234"/>
      <c r="I74" s="234"/>
      <c r="J74" s="234"/>
      <c r="K74" s="234"/>
      <c r="L74" s="234"/>
      <c r="M74" s="234"/>
      <c r="N74" s="234"/>
      <c r="O74" s="234"/>
      <c r="P74" s="234"/>
      <c r="Q74" s="234"/>
      <c r="R74" s="234"/>
    </row>
    <row r="75" spans="1:19" ht="13">
      <c r="A75" s="234"/>
      <c r="B75" s="234"/>
      <c r="C75" s="234" t="s">
        <v>361</v>
      </c>
      <c r="D75" s="234"/>
      <c r="E75" s="234"/>
      <c r="F75" s="234"/>
      <c r="G75" s="234"/>
      <c r="H75" s="234"/>
      <c r="I75" s="234"/>
      <c r="J75" s="234"/>
      <c r="K75" s="234"/>
      <c r="L75" s="234"/>
      <c r="M75" s="234"/>
      <c r="N75" s="234"/>
      <c r="O75" s="234"/>
      <c r="P75" s="234"/>
      <c r="Q75" s="234"/>
      <c r="R75" s="234"/>
    </row>
    <row r="76" spans="1:19">
      <c r="A76" s="234"/>
      <c r="B76" s="234"/>
      <c r="C76" s="234" t="s">
        <v>542</v>
      </c>
      <c r="D76" s="234"/>
      <c r="E76" s="234"/>
      <c r="F76" s="234"/>
      <c r="G76" s="234"/>
      <c r="H76" s="234"/>
      <c r="I76" s="234"/>
      <c r="J76" s="234"/>
      <c r="K76" s="234"/>
      <c r="L76" s="234"/>
      <c r="M76" s="234"/>
      <c r="N76" s="234"/>
      <c r="O76" s="234"/>
      <c r="P76" s="234"/>
      <c r="Q76" s="234"/>
      <c r="R76" s="234"/>
    </row>
    <row r="77" spans="1:19" ht="13">
      <c r="A77" s="234"/>
      <c r="B77" s="234"/>
      <c r="C77" s="234" t="s">
        <v>362</v>
      </c>
      <c r="D77" s="234"/>
      <c r="E77" s="234"/>
      <c r="F77" s="234"/>
      <c r="G77" s="234"/>
      <c r="H77" s="234"/>
      <c r="I77" s="234"/>
      <c r="J77" s="234"/>
      <c r="K77" s="234"/>
      <c r="L77" s="234"/>
      <c r="M77" s="234"/>
      <c r="N77" s="234"/>
      <c r="O77" s="234"/>
      <c r="P77" s="234"/>
      <c r="Q77" s="234"/>
      <c r="R77" s="234"/>
    </row>
    <row r="78" spans="1:19" ht="13">
      <c r="A78" s="234"/>
      <c r="B78" s="234"/>
      <c r="C78" s="234" t="s">
        <v>363</v>
      </c>
      <c r="D78" s="234"/>
      <c r="E78" s="234"/>
      <c r="F78" s="234"/>
      <c r="G78" s="234"/>
      <c r="H78" s="234"/>
      <c r="I78" s="234"/>
      <c r="J78" s="234"/>
      <c r="K78" s="234"/>
      <c r="L78" s="234"/>
      <c r="M78" s="234"/>
      <c r="N78" s="234"/>
      <c r="O78" s="234"/>
      <c r="P78" s="234"/>
      <c r="Q78" s="234"/>
      <c r="R78" s="234"/>
    </row>
    <row r="79" spans="1:19">
      <c r="A79" s="234"/>
      <c r="B79" s="234"/>
      <c r="C79" s="234" t="s">
        <v>364</v>
      </c>
      <c r="D79" s="234"/>
      <c r="E79" s="234"/>
      <c r="F79" s="234"/>
      <c r="G79" s="234"/>
      <c r="H79" s="234"/>
      <c r="I79" s="234"/>
      <c r="J79" s="234"/>
      <c r="K79" s="234"/>
      <c r="L79" s="234"/>
      <c r="M79" s="234"/>
      <c r="N79" s="234"/>
      <c r="O79" s="234"/>
      <c r="P79" s="234"/>
      <c r="Q79" s="234"/>
      <c r="R79" s="234"/>
    </row>
    <row r="80" spans="1:19">
      <c r="A80" s="234"/>
      <c r="B80" s="234"/>
      <c r="C80" s="234" t="s">
        <v>791</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65" t="s">
        <v>750</v>
      </c>
      <c r="D83" s="666"/>
      <c r="E83" s="667"/>
      <c r="F83" s="234" t="s">
        <v>748</v>
      </c>
      <c r="G83" s="234"/>
      <c r="H83" s="234"/>
      <c r="I83" s="234"/>
      <c r="J83" s="234"/>
      <c r="K83" s="234"/>
      <c r="L83" s="234"/>
      <c r="M83" s="234"/>
      <c r="N83" s="234"/>
      <c r="O83" s="234"/>
      <c r="P83" s="234"/>
      <c r="Q83" s="234"/>
      <c r="R83" s="234"/>
    </row>
    <row r="84" spans="1:18">
      <c r="A84" s="234"/>
      <c r="B84" s="234"/>
      <c r="C84" s="234" t="s">
        <v>543</v>
      </c>
      <c r="D84" s="234"/>
      <c r="E84" s="234"/>
      <c r="F84" s="234"/>
      <c r="G84" s="234"/>
      <c r="H84" s="234"/>
      <c r="I84" s="234"/>
      <c r="J84" s="234"/>
      <c r="K84" s="234"/>
      <c r="L84" s="234"/>
      <c r="M84" s="234"/>
      <c r="N84" s="234"/>
      <c r="O84" s="234"/>
      <c r="P84" s="234"/>
      <c r="Q84" s="234"/>
      <c r="R84" s="234"/>
    </row>
    <row r="85" spans="1:18" ht="13">
      <c r="A85" s="234"/>
      <c r="B85" s="234"/>
      <c r="C85" s="234" t="s">
        <v>747</v>
      </c>
      <c r="D85" s="234"/>
      <c r="E85" s="234"/>
      <c r="F85" s="234"/>
      <c r="G85" s="234"/>
      <c r="H85" s="234"/>
      <c r="I85" s="234"/>
      <c r="J85" s="234"/>
      <c r="K85" s="234"/>
      <c r="L85" s="234"/>
      <c r="M85" s="234"/>
      <c r="N85" s="234"/>
      <c r="O85" s="234"/>
      <c r="P85" s="234"/>
      <c r="Q85" s="234"/>
      <c r="R85" s="234"/>
    </row>
    <row r="86" spans="1:18">
      <c r="A86" s="234"/>
      <c r="B86" s="234"/>
      <c r="C86" s="234" t="s">
        <v>752</v>
      </c>
      <c r="D86" s="234"/>
      <c r="E86" s="234"/>
      <c r="F86" s="234"/>
      <c r="G86" s="234"/>
      <c r="H86" s="234"/>
      <c r="I86" s="234"/>
      <c r="J86" s="234"/>
      <c r="K86" s="234"/>
      <c r="L86" s="234"/>
      <c r="M86" s="234"/>
      <c r="N86" s="234"/>
      <c r="O86" s="234"/>
      <c r="P86" s="234"/>
      <c r="Q86" s="234"/>
      <c r="R86" s="234"/>
    </row>
    <row r="87" spans="1:18" ht="13">
      <c r="A87" s="234"/>
      <c r="B87" s="234"/>
      <c r="C87" s="234" t="s">
        <v>293</v>
      </c>
      <c r="D87" s="234"/>
      <c r="E87" s="234"/>
      <c r="F87" s="234"/>
      <c r="G87" s="234"/>
      <c r="H87" s="234"/>
      <c r="I87" s="234"/>
      <c r="J87" s="234"/>
      <c r="K87" s="234"/>
      <c r="L87" s="234"/>
      <c r="M87" s="234"/>
      <c r="N87" s="234"/>
      <c r="O87" s="234"/>
      <c r="P87" s="234"/>
      <c r="Q87" s="234"/>
      <c r="R87" s="234"/>
    </row>
    <row r="88" spans="1:18">
      <c r="A88" s="234"/>
      <c r="B88" s="234"/>
      <c r="C88" s="234" t="s">
        <v>366</v>
      </c>
      <c r="D88" s="234"/>
      <c r="E88" s="234"/>
      <c r="F88" s="234"/>
      <c r="G88" s="234"/>
      <c r="H88" s="234"/>
      <c r="I88" s="234"/>
      <c r="J88" s="234"/>
      <c r="K88" s="234"/>
      <c r="L88" s="234"/>
      <c r="M88" s="234"/>
      <c r="N88" s="234"/>
      <c r="O88" s="234"/>
      <c r="P88" s="234"/>
      <c r="Q88" s="234"/>
      <c r="R88" s="234"/>
    </row>
    <row r="89" spans="1:18">
      <c r="A89" s="234"/>
      <c r="B89" s="234"/>
      <c r="C89" s="234" t="s">
        <v>365</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757</v>
      </c>
      <c r="D91" s="234"/>
      <c r="E91" s="234"/>
      <c r="F91" s="234"/>
      <c r="G91" s="234"/>
      <c r="H91" s="234"/>
      <c r="I91" s="234"/>
      <c r="J91" s="234"/>
      <c r="K91" s="234"/>
      <c r="L91" s="234"/>
      <c r="M91" s="234"/>
      <c r="N91" s="234"/>
      <c r="O91" s="234"/>
      <c r="P91" s="234"/>
      <c r="Q91" s="234"/>
      <c r="R91" s="234"/>
    </row>
    <row r="92" spans="1:18" ht="13">
      <c r="A92" s="234"/>
      <c r="B92" s="234"/>
      <c r="C92" s="234" t="s">
        <v>754</v>
      </c>
      <c r="D92" s="234"/>
      <c r="E92" s="234"/>
      <c r="F92" s="234"/>
      <c r="G92" s="234"/>
      <c r="H92" s="234"/>
      <c r="I92" s="234"/>
      <c r="J92" s="234"/>
      <c r="K92" s="234"/>
      <c r="L92" s="234"/>
      <c r="M92" s="234"/>
      <c r="N92" s="234"/>
      <c r="O92" s="234"/>
      <c r="P92" s="234"/>
      <c r="Q92" s="234"/>
      <c r="R92" s="234"/>
    </row>
    <row r="93" spans="1:18" ht="13">
      <c r="A93" s="234"/>
      <c r="B93" s="234"/>
      <c r="C93" s="234" t="s">
        <v>756</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791</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65" t="s">
        <v>759</v>
      </c>
      <c r="D98" s="669"/>
      <c r="E98" s="669"/>
      <c r="F98" s="667"/>
      <c r="G98" s="234" t="s">
        <v>367</v>
      </c>
      <c r="H98" s="234"/>
      <c r="I98" s="234"/>
      <c r="J98" s="234"/>
      <c r="K98" s="234"/>
      <c r="L98" s="234"/>
      <c r="M98" s="234"/>
      <c r="N98" s="234"/>
      <c r="O98" s="234"/>
      <c r="P98" s="234"/>
      <c r="Q98" s="234"/>
      <c r="R98" s="234"/>
    </row>
    <row r="99" spans="1:19">
      <c r="A99" s="234"/>
      <c r="B99" s="234"/>
      <c r="C99" s="234" t="s">
        <v>368</v>
      </c>
      <c r="D99" s="234"/>
      <c r="E99" s="234"/>
      <c r="F99" s="234"/>
      <c r="G99" s="234"/>
      <c r="H99" s="234"/>
      <c r="I99" s="234"/>
      <c r="J99" s="234"/>
      <c r="K99" s="234"/>
      <c r="L99" s="234"/>
      <c r="M99" s="234"/>
      <c r="N99" s="234"/>
      <c r="O99" s="234"/>
      <c r="P99" s="234"/>
      <c r="Q99" s="234"/>
      <c r="R99" s="234"/>
    </row>
    <row r="100" spans="1:19">
      <c r="A100" s="234"/>
      <c r="B100" s="234"/>
      <c r="C100" s="234" t="s">
        <v>761</v>
      </c>
      <c r="D100" s="234"/>
      <c r="E100" s="234"/>
      <c r="F100" s="234"/>
      <c r="G100" s="234"/>
      <c r="H100" s="234"/>
      <c r="I100" s="234"/>
      <c r="J100" s="234"/>
      <c r="K100" s="234"/>
      <c r="L100" s="234"/>
      <c r="M100" s="234"/>
      <c r="N100" s="234"/>
      <c r="O100" s="234"/>
      <c r="P100" s="234"/>
      <c r="Q100" s="234"/>
      <c r="R100" s="234"/>
    </row>
    <row r="101" spans="1:19" ht="13">
      <c r="A101" s="234"/>
      <c r="B101" s="234"/>
      <c r="C101" s="234" t="s">
        <v>369</v>
      </c>
      <c r="D101" s="234"/>
      <c r="E101" s="234"/>
      <c r="F101" s="234"/>
      <c r="G101" s="234"/>
      <c r="H101" s="234"/>
      <c r="I101" s="234"/>
      <c r="J101" s="234"/>
      <c r="K101" s="234"/>
      <c r="L101" s="234"/>
      <c r="M101" s="234"/>
      <c r="N101" s="234"/>
      <c r="O101" s="234"/>
      <c r="P101" s="234"/>
      <c r="Q101" s="234"/>
      <c r="R101" s="234"/>
    </row>
    <row r="102" spans="1:19">
      <c r="A102" s="234"/>
      <c r="B102" s="234"/>
      <c r="C102" s="234" t="s">
        <v>760</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771</v>
      </c>
      <c r="C107" s="190"/>
      <c r="D107" s="234" t="s">
        <v>772</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70">
        <v>1</v>
      </c>
      <c r="C109" s="234" t="s">
        <v>773</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883</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774</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775</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776</v>
      </c>
      <c r="D117" s="234"/>
      <c r="E117" s="234"/>
      <c r="F117" s="234"/>
      <c r="G117" s="234"/>
      <c r="H117" s="234"/>
      <c r="I117" s="234"/>
      <c r="J117" s="234"/>
      <c r="K117" s="234"/>
      <c r="L117" s="234"/>
      <c r="M117" s="234"/>
      <c r="N117" s="234"/>
      <c r="O117" s="234"/>
      <c r="P117" s="234"/>
      <c r="Q117" s="234"/>
      <c r="R117" s="234"/>
      <c r="S117" s="234"/>
    </row>
    <row r="118" spans="1:19">
      <c r="A118" s="234"/>
      <c r="B118" s="246"/>
      <c r="C118" s="234" t="s">
        <v>777</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778</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779</v>
      </c>
      <c r="D122" s="234"/>
      <c r="E122" s="234"/>
      <c r="F122" s="234"/>
      <c r="G122" s="234"/>
      <c r="H122" s="234"/>
      <c r="I122" s="234"/>
      <c r="J122" s="234"/>
      <c r="K122" s="234"/>
      <c r="L122" s="234"/>
      <c r="M122" s="234"/>
      <c r="N122" s="234"/>
      <c r="O122" s="234"/>
      <c r="P122" s="234"/>
      <c r="Q122" s="234"/>
      <c r="R122" s="234"/>
      <c r="S122" s="234"/>
    </row>
    <row r="123" spans="1:19">
      <c r="A123" s="234"/>
      <c r="B123" s="671"/>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780</v>
      </c>
      <c r="D124" s="234"/>
      <c r="E124" s="234"/>
      <c r="F124" s="234"/>
      <c r="G124" s="234"/>
      <c r="H124" s="234"/>
      <c r="I124" s="234"/>
      <c r="J124" s="234"/>
      <c r="K124" s="234"/>
      <c r="L124" s="234"/>
      <c r="M124" s="234"/>
      <c r="N124" s="234"/>
      <c r="O124" s="234"/>
      <c r="P124" s="234"/>
      <c r="Q124" s="234"/>
      <c r="R124" s="234"/>
      <c r="S124" s="234"/>
    </row>
    <row r="125" spans="1:19">
      <c r="A125" s="234"/>
      <c r="B125" s="671"/>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370</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781</v>
      </c>
      <c r="C129" s="190"/>
      <c r="D129" s="234" t="s">
        <v>782</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75" t="s">
        <v>783</v>
      </c>
      <c r="C131" s="875" t="s">
        <v>784</v>
      </c>
      <c r="D131" s="877" t="s">
        <v>195</v>
      </c>
      <c r="E131" s="876"/>
      <c r="F131" s="651"/>
      <c r="G131" s="651"/>
      <c r="H131" s="651"/>
      <c r="I131" s="651"/>
      <c r="J131" s="651"/>
      <c r="K131" s="651"/>
      <c r="L131" s="651"/>
      <c r="M131" s="651"/>
      <c r="N131" s="651"/>
      <c r="O131" s="668"/>
      <c r="P131" s="234"/>
      <c r="Q131" s="234"/>
      <c r="R131" s="234"/>
      <c r="S131" s="234"/>
    </row>
    <row r="132" spans="1:19">
      <c r="A132" s="234"/>
      <c r="B132" s="673">
        <v>2</v>
      </c>
      <c r="C132" s="706">
        <v>38382</v>
      </c>
      <c r="D132" s="674" t="s">
        <v>785</v>
      </c>
      <c r="E132" s="651"/>
      <c r="F132" s="651"/>
      <c r="G132" s="651"/>
      <c r="H132" s="651"/>
      <c r="I132" s="651"/>
      <c r="J132" s="651"/>
      <c r="K132" s="651"/>
      <c r="L132" s="651"/>
      <c r="M132" s="651"/>
      <c r="N132" s="651"/>
      <c r="O132" s="668"/>
      <c r="P132" s="234"/>
      <c r="Q132" s="234"/>
      <c r="R132" s="234"/>
      <c r="S132" s="234"/>
    </row>
    <row r="133" spans="1:19">
      <c r="A133" s="234"/>
      <c r="B133" s="707">
        <v>2.1</v>
      </c>
      <c r="C133" s="706">
        <v>38390</v>
      </c>
      <c r="D133" s="672" t="s">
        <v>546</v>
      </c>
      <c r="E133" s="651"/>
      <c r="F133" s="651"/>
      <c r="G133" s="651"/>
      <c r="H133" s="651"/>
      <c r="I133" s="651"/>
      <c r="J133" s="651"/>
      <c r="K133" s="651"/>
      <c r="L133" s="651"/>
      <c r="M133" s="651"/>
      <c r="N133" s="651"/>
      <c r="O133" s="668"/>
      <c r="P133" s="234"/>
      <c r="Q133" s="234"/>
      <c r="R133" s="234"/>
      <c r="S133" s="234"/>
    </row>
    <row r="134" spans="1:19">
      <c r="A134" s="234"/>
      <c r="B134" s="707" t="s">
        <v>716</v>
      </c>
      <c r="C134" s="706">
        <v>38395</v>
      </c>
      <c r="D134" s="672" t="s">
        <v>717</v>
      </c>
      <c r="E134" s="651"/>
      <c r="F134" s="651"/>
      <c r="G134" s="651"/>
      <c r="H134" s="651"/>
      <c r="I134" s="651"/>
      <c r="J134" s="651"/>
      <c r="K134" s="651"/>
      <c r="L134" s="651"/>
      <c r="M134" s="651"/>
      <c r="N134" s="651"/>
      <c r="O134" s="668"/>
      <c r="P134" s="234"/>
      <c r="Q134" s="234"/>
      <c r="R134" s="234"/>
      <c r="S134" s="234"/>
    </row>
    <row r="135" spans="1:19">
      <c r="A135" s="234"/>
      <c r="B135" s="707" t="s">
        <v>146</v>
      </c>
      <c r="C135" s="706">
        <v>38404</v>
      </c>
      <c r="D135" s="672" t="s">
        <v>147</v>
      </c>
      <c r="E135" s="651"/>
      <c r="F135" s="651"/>
      <c r="G135" s="651"/>
      <c r="H135" s="651"/>
      <c r="I135" s="651"/>
      <c r="J135" s="651"/>
      <c r="K135" s="651"/>
      <c r="L135" s="651"/>
      <c r="M135" s="651"/>
      <c r="N135" s="651"/>
      <c r="O135" s="668"/>
      <c r="P135" s="234"/>
      <c r="Q135" s="234"/>
      <c r="R135" s="234"/>
      <c r="S135" s="234"/>
    </row>
    <row r="136" spans="1:19">
      <c r="A136" s="234"/>
      <c r="B136" s="707" t="s">
        <v>738</v>
      </c>
      <c r="C136" s="706">
        <v>38409</v>
      </c>
      <c r="D136" s="672" t="s">
        <v>739</v>
      </c>
      <c r="E136" s="651"/>
      <c r="F136" s="651"/>
      <c r="G136" s="651"/>
      <c r="H136" s="651"/>
      <c r="I136" s="651"/>
      <c r="J136" s="651"/>
      <c r="K136" s="651"/>
      <c r="L136" s="651"/>
      <c r="M136" s="651"/>
      <c r="N136" s="651"/>
      <c r="O136" s="668"/>
      <c r="P136" s="234"/>
      <c r="Q136" s="234"/>
      <c r="R136" s="234"/>
      <c r="S136" s="234"/>
    </row>
    <row r="137" spans="1:19">
      <c r="A137" s="234"/>
      <c r="B137" s="707" t="s">
        <v>616</v>
      </c>
      <c r="C137" s="706">
        <v>38410</v>
      </c>
      <c r="D137" s="672" t="s">
        <v>617</v>
      </c>
      <c r="E137" s="651"/>
      <c r="F137" s="651"/>
      <c r="G137" s="651"/>
      <c r="H137" s="651"/>
      <c r="I137" s="651"/>
      <c r="J137" s="651"/>
      <c r="K137" s="651"/>
      <c r="L137" s="651"/>
      <c r="M137" s="651"/>
      <c r="N137" s="651"/>
      <c r="O137" s="668"/>
      <c r="P137" s="234"/>
      <c r="Q137" s="234"/>
      <c r="R137" s="234"/>
      <c r="S137" s="234"/>
    </row>
    <row r="138" spans="1:19">
      <c r="A138" s="234"/>
      <c r="B138" s="707">
        <v>2.2000000000000002</v>
      </c>
      <c r="C138" s="706">
        <v>38410</v>
      </c>
      <c r="D138" s="672" t="s">
        <v>78</v>
      </c>
      <c r="E138" s="651"/>
      <c r="F138" s="651"/>
      <c r="G138" s="651"/>
      <c r="H138" s="651"/>
      <c r="I138" s="651"/>
      <c r="J138" s="651"/>
      <c r="K138" s="651"/>
      <c r="L138" s="651"/>
      <c r="M138" s="651"/>
      <c r="N138" s="651"/>
      <c r="O138" s="668"/>
      <c r="P138" s="234"/>
      <c r="Q138" s="234"/>
      <c r="R138" s="234"/>
      <c r="S138" s="234"/>
    </row>
    <row r="139" spans="1:19">
      <c r="A139" s="234"/>
      <c r="B139" s="707" t="s">
        <v>165</v>
      </c>
      <c r="C139" s="706">
        <v>38487</v>
      </c>
      <c r="D139" s="672" t="s">
        <v>166</v>
      </c>
      <c r="E139" s="651"/>
      <c r="F139" s="651"/>
      <c r="G139" s="651"/>
      <c r="H139" s="651"/>
      <c r="I139" s="651"/>
      <c r="J139" s="651"/>
      <c r="K139" s="651"/>
      <c r="L139" s="651"/>
      <c r="M139" s="651"/>
      <c r="N139" s="651"/>
      <c r="O139" s="668"/>
      <c r="P139" s="234"/>
      <c r="Q139" s="234"/>
      <c r="R139" s="234"/>
      <c r="S139" s="234"/>
    </row>
    <row r="140" spans="1:19">
      <c r="A140" s="234"/>
      <c r="B140" s="707" t="s">
        <v>719</v>
      </c>
      <c r="C140" s="706">
        <v>38526</v>
      </c>
      <c r="D140" s="672" t="s">
        <v>720</v>
      </c>
      <c r="E140" s="651"/>
      <c r="F140" s="651"/>
      <c r="G140" s="651"/>
      <c r="H140" s="651"/>
      <c r="I140" s="651"/>
      <c r="J140" s="651"/>
      <c r="K140" s="651"/>
      <c r="L140" s="651"/>
      <c r="M140" s="651"/>
      <c r="N140" s="651"/>
      <c r="O140" s="668"/>
      <c r="P140" s="234"/>
      <c r="Q140" s="234"/>
      <c r="R140" s="234"/>
      <c r="S140" s="234"/>
    </row>
    <row r="141" spans="1:19">
      <c r="A141" s="234"/>
      <c r="B141" s="707">
        <v>2.2999999999999998</v>
      </c>
      <c r="C141" s="706">
        <v>38549</v>
      </c>
      <c r="D141" s="672" t="s">
        <v>735</v>
      </c>
      <c r="E141" s="651"/>
      <c r="F141" s="651"/>
      <c r="G141" s="651"/>
      <c r="H141" s="651"/>
      <c r="I141" s="651"/>
      <c r="J141" s="651"/>
      <c r="K141" s="651"/>
      <c r="L141" s="651"/>
      <c r="M141" s="651"/>
      <c r="N141" s="651"/>
      <c r="O141" s="668"/>
      <c r="P141" s="234"/>
      <c r="Q141" s="234"/>
      <c r="R141" s="234"/>
      <c r="S141" s="234"/>
    </row>
    <row r="142" spans="1:19" ht="13">
      <c r="A142" s="234"/>
      <c r="B142" s="707" t="s">
        <v>294</v>
      </c>
      <c r="C142" s="706">
        <v>38623</v>
      </c>
      <c r="D142" s="672" t="s">
        <v>295</v>
      </c>
      <c r="E142" s="651"/>
      <c r="F142" s="651"/>
      <c r="G142" s="651"/>
      <c r="H142" s="651"/>
      <c r="I142" s="651"/>
      <c r="J142" s="651"/>
      <c r="K142" s="651"/>
      <c r="L142" s="651"/>
      <c r="M142" s="651"/>
      <c r="N142" s="651"/>
      <c r="O142" s="668"/>
      <c r="P142" s="234"/>
      <c r="Q142" s="234"/>
      <c r="R142" s="234"/>
      <c r="S142" s="234"/>
    </row>
    <row r="143" spans="1:19">
      <c r="A143" s="234"/>
      <c r="B143" s="707" t="s">
        <v>824</v>
      </c>
      <c r="C143" s="706">
        <v>38629</v>
      </c>
      <c r="D143" s="672" t="s">
        <v>825</v>
      </c>
      <c r="E143" s="651"/>
      <c r="F143" s="651"/>
      <c r="G143" s="651"/>
      <c r="H143" s="651"/>
      <c r="I143" s="651"/>
      <c r="J143" s="651"/>
      <c r="K143" s="651"/>
      <c r="L143" s="651"/>
      <c r="M143" s="651"/>
      <c r="N143" s="651"/>
      <c r="O143" s="668"/>
      <c r="P143" s="234"/>
      <c r="Q143" s="234"/>
      <c r="R143" s="234"/>
      <c r="S143" s="234"/>
    </row>
    <row r="144" spans="1:19">
      <c r="A144" s="234"/>
      <c r="B144" s="707">
        <v>2.4</v>
      </c>
      <c r="C144" s="706">
        <v>39012</v>
      </c>
      <c r="D144" s="672" t="s">
        <v>15</v>
      </c>
      <c r="E144" s="651"/>
      <c r="F144" s="651"/>
      <c r="G144" s="651"/>
      <c r="H144" s="651"/>
      <c r="I144" s="651"/>
      <c r="J144" s="651"/>
      <c r="K144" s="651"/>
      <c r="L144" s="651"/>
      <c r="M144" s="651"/>
      <c r="N144" s="651"/>
      <c r="O144" s="668"/>
      <c r="P144" s="234"/>
      <c r="Q144" s="234"/>
      <c r="R144" s="234"/>
      <c r="S144" s="234"/>
    </row>
    <row r="145" spans="1:19">
      <c r="A145" s="234"/>
      <c r="B145" s="707">
        <v>2.5</v>
      </c>
      <c r="C145" s="878" t="s">
        <v>210</v>
      </c>
      <c r="D145" s="672" t="s">
        <v>209</v>
      </c>
      <c r="E145" s="651"/>
      <c r="F145" s="651"/>
      <c r="G145" s="651"/>
      <c r="H145" s="651"/>
      <c r="I145" s="651"/>
      <c r="J145" s="651"/>
      <c r="K145" s="651"/>
      <c r="L145" s="651"/>
      <c r="M145" s="651"/>
      <c r="N145" s="651"/>
      <c r="O145" s="668"/>
      <c r="P145" s="234"/>
      <c r="Q145" s="234"/>
      <c r="R145" s="234"/>
      <c r="S145" s="234"/>
    </row>
    <row r="146" spans="1:19">
      <c r="A146" s="234"/>
      <c r="B146" s="896" t="s">
        <v>996</v>
      </c>
      <c r="C146" s="706">
        <v>39513</v>
      </c>
      <c r="D146" s="897" t="s">
        <v>998</v>
      </c>
      <c r="E146" s="651"/>
      <c r="F146" s="651"/>
      <c r="G146" s="651"/>
      <c r="H146" s="651"/>
      <c r="I146" s="651"/>
      <c r="J146" s="651"/>
      <c r="K146" s="651"/>
      <c r="L146" s="651"/>
      <c r="M146" s="651"/>
      <c r="N146" s="651"/>
      <c r="O146" s="668"/>
      <c r="P146" s="234"/>
      <c r="Q146" s="234"/>
      <c r="R146" s="234"/>
      <c r="S146" s="234"/>
    </row>
    <row r="147" spans="1:19">
      <c r="A147" s="234"/>
      <c r="B147" s="707" t="s">
        <v>997</v>
      </c>
      <c r="C147" s="706">
        <v>39525</v>
      </c>
      <c r="D147" s="672" t="s">
        <v>999</v>
      </c>
      <c r="E147" s="651"/>
      <c r="F147" s="651"/>
      <c r="G147" s="651"/>
      <c r="H147" s="651"/>
      <c r="I147" s="651"/>
      <c r="J147" s="651"/>
      <c r="K147" s="651"/>
      <c r="L147" s="651"/>
      <c r="M147" s="651"/>
      <c r="N147" s="651"/>
      <c r="O147" s="668"/>
      <c r="P147" s="234"/>
      <c r="Q147" s="234"/>
      <c r="R147" s="234"/>
      <c r="S147" s="234"/>
    </row>
    <row r="148" spans="1:19">
      <c r="A148" s="234"/>
      <c r="B148" s="896" t="s">
        <v>1000</v>
      </c>
      <c r="C148" s="706">
        <v>39799</v>
      </c>
      <c r="D148" s="897" t="s">
        <v>1001</v>
      </c>
      <c r="E148" s="651"/>
      <c r="F148" s="651"/>
      <c r="G148" s="651"/>
      <c r="H148" s="651"/>
      <c r="I148" s="651"/>
      <c r="J148" s="651"/>
      <c r="K148" s="651"/>
      <c r="L148" s="651"/>
      <c r="M148" s="651"/>
      <c r="N148" s="651"/>
      <c r="O148" s="668"/>
      <c r="P148" s="234"/>
      <c r="Q148" s="234"/>
      <c r="R148" s="234"/>
      <c r="S148" s="234"/>
    </row>
    <row r="149" spans="1:19">
      <c r="A149" s="234"/>
      <c r="B149" s="707" t="s">
        <v>1003</v>
      </c>
      <c r="C149" s="706">
        <v>41709</v>
      </c>
      <c r="D149" s="672" t="s">
        <v>1008</v>
      </c>
      <c r="E149" s="651"/>
      <c r="F149" s="651"/>
      <c r="G149" s="651"/>
      <c r="H149" s="651"/>
      <c r="I149" s="651"/>
      <c r="J149" s="651"/>
      <c r="K149" s="651"/>
      <c r="L149" s="651"/>
      <c r="M149" s="651"/>
      <c r="N149" s="651"/>
      <c r="O149" s="668"/>
      <c r="P149" s="234"/>
      <c r="Q149" s="234"/>
      <c r="R149" s="234"/>
      <c r="S149" s="234"/>
    </row>
    <row r="150" spans="1:19">
      <c r="A150" s="234"/>
      <c r="B150" s="957" t="s">
        <v>1011</v>
      </c>
      <c r="C150" s="956">
        <v>42663</v>
      </c>
      <c r="D150" s="672" t="s">
        <v>1013</v>
      </c>
      <c r="E150" s="651"/>
      <c r="F150" s="651"/>
      <c r="G150" s="651"/>
      <c r="H150" s="651"/>
      <c r="I150" s="651"/>
      <c r="J150" s="651"/>
      <c r="K150" s="651"/>
      <c r="L150" s="651"/>
      <c r="M150" s="651"/>
      <c r="N150" s="651"/>
      <c r="O150" s="668"/>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62" t="s">
        <v>29</v>
      </c>
      <c r="B1" s="385"/>
      <c r="C1" s="385"/>
      <c r="D1" s="385"/>
      <c r="E1" s="385"/>
      <c r="F1" s="385"/>
      <c r="G1" s="385"/>
      <c r="H1" s="385"/>
      <c r="I1" s="385"/>
      <c r="J1" s="385"/>
      <c r="K1" s="385"/>
      <c r="L1" s="385"/>
      <c r="M1" s="385"/>
      <c r="N1" s="385"/>
      <c r="O1" s="385"/>
      <c r="P1" s="385"/>
      <c r="Q1" s="385"/>
      <c r="R1" s="385"/>
      <c r="S1" s="385"/>
      <c r="T1" s="385"/>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63" t="s">
        <v>574</v>
      </c>
      <c r="C3" s="101"/>
      <c r="D3" s="101"/>
      <c r="E3" s="101"/>
      <c r="F3" s="101"/>
      <c r="G3" s="101"/>
      <c r="H3" s="101"/>
      <c r="I3" s="101"/>
      <c r="J3" s="105"/>
      <c r="K3" s="23"/>
      <c r="L3" s="23"/>
      <c r="M3" s="23"/>
      <c r="N3" s="23"/>
      <c r="O3" s="23"/>
      <c r="P3" s="23"/>
      <c r="Q3" s="23"/>
      <c r="R3" s="23"/>
      <c r="S3" s="23"/>
      <c r="T3" s="23"/>
      <c r="U3" s="23"/>
    </row>
    <row r="4" spans="1:21">
      <c r="A4" s="23"/>
      <c r="B4" s="100" t="s">
        <v>307</v>
      </c>
      <c r="C4" s="101"/>
      <c r="D4" s="101"/>
      <c r="E4" s="101"/>
      <c r="F4" s="101"/>
      <c r="G4" s="101"/>
      <c r="H4" s="101"/>
      <c r="I4" s="101"/>
      <c r="J4" s="105"/>
      <c r="K4" s="23"/>
      <c r="L4" s="23"/>
      <c r="M4" s="23"/>
      <c r="N4" s="23"/>
      <c r="O4" s="23"/>
      <c r="P4" s="23"/>
      <c r="Q4" s="23"/>
      <c r="R4" s="23"/>
      <c r="S4" s="23"/>
      <c r="T4" s="23"/>
      <c r="U4" s="23"/>
    </row>
    <row r="5" spans="1:21" ht="13">
      <c r="A5" s="23"/>
      <c r="B5" s="857" t="s">
        <v>316</v>
      </c>
      <c r="C5" s="854">
        <f>Orbit!B98</f>
        <v>19.062200000000001</v>
      </c>
      <c r="D5" s="101" t="s">
        <v>4</v>
      </c>
      <c r="E5" s="101"/>
      <c r="F5" s="101"/>
      <c r="G5" s="101"/>
      <c r="H5" s="101"/>
      <c r="I5" s="101"/>
      <c r="J5" s="105"/>
      <c r="K5" s="23"/>
      <c r="L5" s="23"/>
      <c r="M5" s="23"/>
      <c r="N5" s="23"/>
      <c r="O5" s="23"/>
      <c r="P5" s="23"/>
      <c r="Q5" s="23"/>
      <c r="R5" s="23"/>
      <c r="S5" s="23"/>
      <c r="T5" s="23"/>
      <c r="U5" s="23"/>
    </row>
    <row r="6" spans="1:21">
      <c r="A6" s="23"/>
      <c r="B6" s="100" t="s">
        <v>317</v>
      </c>
      <c r="C6" s="31">
        <f>IF(C5&gt;0,1,0)</f>
        <v>1</v>
      </c>
      <c r="D6" s="101"/>
      <c r="E6" s="101" t="s">
        <v>791</v>
      </c>
      <c r="F6" s="101"/>
      <c r="G6" s="101" t="s">
        <v>318</v>
      </c>
      <c r="H6" s="101"/>
      <c r="I6" s="101"/>
      <c r="J6" s="105"/>
      <c r="K6" s="23"/>
      <c r="L6" s="23"/>
      <c r="M6" s="23"/>
      <c r="N6" s="23"/>
      <c r="O6" s="23"/>
      <c r="P6" s="23"/>
      <c r="Q6" s="23"/>
      <c r="R6" s="23"/>
      <c r="S6" s="23"/>
      <c r="T6" s="23"/>
      <c r="U6" s="23"/>
    </row>
    <row r="7" spans="1:21">
      <c r="A7" s="23"/>
      <c r="B7" s="100"/>
      <c r="C7" s="31">
        <f>N(NOT(C6))</f>
        <v>0</v>
      </c>
      <c r="D7" s="101"/>
      <c r="E7" s="101"/>
      <c r="F7" s="101"/>
      <c r="G7" s="101" t="s">
        <v>319</v>
      </c>
      <c r="H7" s="101"/>
      <c r="I7" s="101"/>
      <c r="J7" s="105"/>
      <c r="K7" s="23"/>
      <c r="L7" s="23"/>
      <c r="M7" s="23"/>
      <c r="N7" s="23"/>
      <c r="O7" s="23"/>
      <c r="P7" s="23"/>
      <c r="Q7" s="23"/>
      <c r="R7" s="23"/>
      <c r="S7" s="23"/>
      <c r="T7" s="23"/>
      <c r="U7" s="23"/>
    </row>
    <row r="8" spans="1:21" ht="13">
      <c r="A8" s="23"/>
      <c r="B8" s="858" t="s">
        <v>323</v>
      </c>
      <c r="C8" s="854">
        <f>Orbit!B101</f>
        <v>-16.625799999999998</v>
      </c>
      <c r="D8" s="101" t="s">
        <v>4</v>
      </c>
      <c r="E8" s="101" t="s">
        <v>791</v>
      </c>
      <c r="F8" s="101"/>
      <c r="G8" s="101" t="s">
        <v>791</v>
      </c>
      <c r="H8" s="101"/>
      <c r="I8" s="101"/>
      <c r="J8" s="105"/>
      <c r="K8" s="23"/>
      <c r="L8" s="23"/>
      <c r="M8" s="23"/>
      <c r="N8" s="23"/>
      <c r="O8" s="23"/>
      <c r="P8" s="23"/>
      <c r="Q8" s="23"/>
      <c r="R8" s="23"/>
      <c r="S8" s="23"/>
      <c r="T8" s="23"/>
      <c r="U8" s="23"/>
    </row>
    <row r="9" spans="1:21">
      <c r="A9" s="23"/>
      <c r="B9" s="100" t="s">
        <v>308</v>
      </c>
      <c r="C9" s="31">
        <f>IF(C8&gt;0,1,0)</f>
        <v>0</v>
      </c>
      <c r="D9" s="101"/>
      <c r="E9" s="101"/>
      <c r="F9" s="101"/>
      <c r="G9" s="101" t="s">
        <v>320</v>
      </c>
      <c r="H9" s="101"/>
      <c r="I9" s="101"/>
      <c r="J9" s="105"/>
      <c r="K9" s="23"/>
      <c r="L9" s="23"/>
      <c r="M9" s="23"/>
      <c r="N9" s="23"/>
      <c r="O9" s="23"/>
      <c r="P9" s="23"/>
      <c r="Q9" s="23"/>
      <c r="R9" s="23"/>
      <c r="S9" s="23"/>
      <c r="T9" s="23"/>
      <c r="U9" s="23"/>
    </row>
    <row r="10" spans="1:21">
      <c r="A10" s="23"/>
      <c r="B10" s="100"/>
      <c r="C10" s="31">
        <f>N(NOT(C9))</f>
        <v>1</v>
      </c>
      <c r="D10" s="101"/>
      <c r="E10" s="101"/>
      <c r="F10" s="101"/>
      <c r="G10" s="101" t="s">
        <v>321</v>
      </c>
      <c r="H10" s="101"/>
      <c r="I10" s="101"/>
      <c r="J10" s="105"/>
      <c r="K10" s="23"/>
      <c r="L10" s="23"/>
      <c r="M10" s="23"/>
      <c r="N10" s="23"/>
      <c r="O10" s="23"/>
      <c r="P10" s="23"/>
      <c r="Q10" s="23"/>
      <c r="R10" s="23"/>
      <c r="S10" s="23"/>
      <c r="T10" s="23"/>
      <c r="U10" s="23"/>
    </row>
    <row r="11" spans="1:21">
      <c r="A11" s="23"/>
      <c r="B11" s="100"/>
      <c r="C11" s="861" t="s">
        <v>331</v>
      </c>
      <c r="D11" s="101"/>
      <c r="E11" s="861" t="s">
        <v>329</v>
      </c>
      <c r="F11" s="101"/>
      <c r="G11" s="861" t="s">
        <v>208</v>
      </c>
      <c r="H11" s="101"/>
      <c r="I11" s="101"/>
      <c r="J11" s="105"/>
      <c r="K11" s="23"/>
      <c r="L11" s="23"/>
      <c r="M11" s="23"/>
      <c r="N11" s="23"/>
      <c r="O11" s="23"/>
      <c r="P11" s="23"/>
      <c r="Q11" s="23"/>
      <c r="R11" s="23"/>
      <c r="S11" s="23"/>
      <c r="T11" s="23"/>
      <c r="U11" s="23"/>
    </row>
    <row r="12" spans="1:21">
      <c r="A12" s="23"/>
      <c r="B12" s="859" t="s">
        <v>309</v>
      </c>
      <c r="C12" s="31">
        <f>N(AND(C7,C10))</f>
        <v>0</v>
      </c>
      <c r="D12" s="101"/>
      <c r="E12" s="860">
        <f>C12*(-C17)</f>
        <v>0</v>
      </c>
      <c r="F12" s="101" t="s">
        <v>4</v>
      </c>
      <c r="G12" s="101" t="s">
        <v>313</v>
      </c>
      <c r="H12" s="101"/>
      <c r="I12" s="101"/>
      <c r="J12" s="105"/>
      <c r="K12" s="23"/>
      <c r="L12" s="23"/>
      <c r="M12" s="23"/>
      <c r="N12" s="23"/>
      <c r="O12" s="23"/>
      <c r="P12" s="23"/>
      <c r="Q12" s="23"/>
      <c r="R12" s="23"/>
      <c r="S12" s="23"/>
      <c r="T12" s="23"/>
      <c r="U12" s="23"/>
    </row>
    <row r="13" spans="1:21">
      <c r="A13" s="23"/>
      <c r="B13" s="100" t="s">
        <v>311</v>
      </c>
      <c r="C13" s="31">
        <f>N(AND(C6,C10))</f>
        <v>1</v>
      </c>
      <c r="D13" s="101"/>
      <c r="E13" s="860">
        <f>C13*(180-C17)</f>
        <v>137.56350986344964</v>
      </c>
      <c r="F13" s="101" t="s">
        <v>4</v>
      </c>
      <c r="G13" s="101" t="s">
        <v>315</v>
      </c>
      <c r="H13" s="101"/>
      <c r="I13" s="101"/>
      <c r="J13" s="105"/>
      <c r="K13" s="23"/>
      <c r="L13" s="23"/>
      <c r="M13" s="23"/>
      <c r="N13" s="23"/>
      <c r="O13" s="23"/>
      <c r="P13" s="23"/>
      <c r="Q13" s="23"/>
      <c r="R13" s="23"/>
      <c r="S13" s="23"/>
      <c r="T13" s="23"/>
      <c r="U13" s="23"/>
    </row>
    <row r="14" spans="1:21">
      <c r="A14" s="23"/>
      <c r="B14" s="859" t="s">
        <v>312</v>
      </c>
      <c r="C14" s="31">
        <f>N(AND(C6,C9))</f>
        <v>0</v>
      </c>
      <c r="D14" s="101"/>
      <c r="E14" s="860">
        <f>C14*(180-C17)</f>
        <v>0</v>
      </c>
      <c r="F14" s="101" t="s">
        <v>4</v>
      </c>
      <c r="G14" s="101" t="s">
        <v>322</v>
      </c>
      <c r="H14" s="101"/>
      <c r="I14" s="101"/>
      <c r="J14" s="105"/>
      <c r="K14" s="23"/>
      <c r="L14" s="23"/>
      <c r="M14" s="23"/>
      <c r="N14" s="23"/>
      <c r="O14" s="23"/>
      <c r="P14" s="23"/>
      <c r="Q14" s="23"/>
      <c r="R14" s="23"/>
      <c r="S14" s="23"/>
      <c r="T14" s="23"/>
      <c r="U14" s="23"/>
    </row>
    <row r="15" spans="1:21">
      <c r="A15" s="23"/>
      <c r="B15" s="859" t="s">
        <v>310</v>
      </c>
      <c r="C15" s="31">
        <f>N(AND(C7,C9))</f>
        <v>0</v>
      </c>
      <c r="D15" s="101"/>
      <c r="E15" s="860">
        <f>C15*(360-C17)</f>
        <v>0</v>
      </c>
      <c r="F15" s="101" t="s">
        <v>4</v>
      </c>
      <c r="G15" s="101" t="s">
        <v>314</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57" t="s">
        <v>324</v>
      </c>
      <c r="C17" s="853">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57" t="s">
        <v>325</v>
      </c>
      <c r="C19" s="101"/>
      <c r="D19" s="101"/>
      <c r="E19" s="855">
        <f>SUM(E12:E15)</f>
        <v>137.56350986344964</v>
      </c>
      <c r="F19" s="413"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65"/>
      <c r="C23" s="865"/>
      <c r="D23" s="865"/>
      <c r="E23" s="865"/>
      <c r="F23" s="865"/>
      <c r="G23" s="865"/>
      <c r="H23" s="865"/>
      <c r="I23" s="865"/>
      <c r="J23" s="865"/>
      <c r="K23" s="23"/>
      <c r="L23" s="23"/>
      <c r="M23" s="23"/>
      <c r="N23" s="23"/>
      <c r="O23" s="23"/>
      <c r="P23" s="23"/>
      <c r="Q23" s="23"/>
      <c r="R23" s="23"/>
      <c r="S23" s="23"/>
      <c r="T23" s="23"/>
      <c r="U23" s="23"/>
    </row>
    <row r="24" spans="1:21" ht="13">
      <c r="A24" s="23"/>
      <c r="B24" s="863" t="s">
        <v>28</v>
      </c>
      <c r="C24" s="101"/>
      <c r="D24" s="101"/>
      <c r="E24" s="101"/>
      <c r="F24" s="101"/>
      <c r="G24" s="101"/>
      <c r="H24" s="101"/>
      <c r="I24" s="101"/>
      <c r="J24" s="105"/>
      <c r="K24" s="23"/>
      <c r="L24" s="23"/>
      <c r="M24" s="23"/>
      <c r="N24" s="23"/>
      <c r="O24" s="23"/>
      <c r="P24" s="23"/>
      <c r="Q24" s="23"/>
      <c r="R24" s="23"/>
      <c r="S24" s="23"/>
      <c r="T24" s="23"/>
      <c r="U24" s="23"/>
    </row>
    <row r="25" spans="1:21">
      <c r="A25" s="23"/>
      <c r="B25" s="100" t="s">
        <v>307</v>
      </c>
      <c r="C25" s="101"/>
      <c r="D25" s="101"/>
      <c r="E25" s="101"/>
      <c r="F25" s="101"/>
      <c r="G25" s="101"/>
      <c r="H25" s="101"/>
      <c r="I25" s="101"/>
      <c r="J25" s="105"/>
      <c r="K25" s="23"/>
      <c r="L25" s="23"/>
      <c r="M25" s="23"/>
      <c r="N25" s="23"/>
      <c r="O25" s="23"/>
      <c r="P25" s="23"/>
      <c r="Q25" s="23"/>
      <c r="R25" s="23"/>
      <c r="S25" s="23"/>
      <c r="T25" s="23"/>
      <c r="U25" s="23"/>
    </row>
    <row r="26" spans="1:21" ht="13">
      <c r="A26" s="23"/>
      <c r="B26" s="857" t="s">
        <v>316</v>
      </c>
      <c r="C26" s="854">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317</v>
      </c>
      <c r="C27" s="31">
        <f>IF(C26&gt;0,1,0)</f>
        <v>1</v>
      </c>
      <c r="D27" s="101"/>
      <c r="E27" s="101" t="s">
        <v>791</v>
      </c>
      <c r="F27" s="101"/>
      <c r="G27" s="101" t="s">
        <v>318</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319</v>
      </c>
      <c r="H28" s="101"/>
      <c r="I28" s="101"/>
      <c r="J28" s="105"/>
      <c r="K28" s="23"/>
      <c r="L28" s="23"/>
      <c r="M28" s="23"/>
      <c r="N28" s="23"/>
      <c r="O28" s="23"/>
      <c r="P28" s="23"/>
      <c r="Q28" s="23"/>
      <c r="R28" s="23"/>
      <c r="S28" s="23"/>
      <c r="T28" s="23"/>
      <c r="U28" s="23"/>
    </row>
    <row r="29" spans="1:21" ht="13">
      <c r="A29" s="23"/>
      <c r="B29" s="858" t="s">
        <v>323</v>
      </c>
      <c r="C29" s="854">
        <f>Orbit!O101</f>
        <v>-11.034199999999998</v>
      </c>
      <c r="D29" s="101" t="s">
        <v>4</v>
      </c>
      <c r="E29" s="101" t="s">
        <v>791</v>
      </c>
      <c r="F29" s="101"/>
      <c r="G29" s="101" t="s">
        <v>791</v>
      </c>
      <c r="H29" s="101"/>
      <c r="I29" s="101"/>
      <c r="J29" s="105"/>
      <c r="K29" s="23"/>
      <c r="L29" s="23"/>
      <c r="M29" s="23"/>
      <c r="N29" s="23" t="s">
        <v>791</v>
      </c>
      <c r="O29" s="23"/>
      <c r="P29" s="23"/>
      <c r="Q29" s="23"/>
      <c r="R29" s="23"/>
      <c r="S29" s="23"/>
      <c r="T29" s="23"/>
      <c r="U29" s="23"/>
    </row>
    <row r="30" spans="1:21">
      <c r="A30" s="23"/>
      <c r="B30" s="100" t="s">
        <v>308</v>
      </c>
      <c r="C30" s="31">
        <f>IF(C29&gt;0,1,0)</f>
        <v>0</v>
      </c>
      <c r="D30" s="101"/>
      <c r="E30" s="101"/>
      <c r="F30" s="101"/>
      <c r="G30" s="101" t="s">
        <v>320</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321</v>
      </c>
      <c r="H31" s="101"/>
      <c r="I31" s="101"/>
      <c r="J31" s="105"/>
      <c r="K31" s="23"/>
      <c r="L31" s="23"/>
      <c r="M31" s="23"/>
      <c r="N31" s="23"/>
      <c r="O31" s="23"/>
      <c r="P31" s="23"/>
      <c r="Q31" s="23"/>
      <c r="R31" s="23"/>
      <c r="S31" s="23"/>
      <c r="T31" s="23"/>
      <c r="U31" s="23"/>
    </row>
    <row r="32" spans="1:21">
      <c r="A32" s="23"/>
      <c r="B32" s="100"/>
      <c r="C32" s="861" t="s">
        <v>331</v>
      </c>
      <c r="D32" s="101"/>
      <c r="E32" s="861" t="s">
        <v>329</v>
      </c>
      <c r="F32" s="101"/>
      <c r="G32" s="861" t="s">
        <v>330</v>
      </c>
      <c r="H32" s="101"/>
      <c r="I32" s="101"/>
      <c r="J32" s="105"/>
      <c r="K32" s="23"/>
      <c r="L32" s="23"/>
      <c r="M32" s="23"/>
      <c r="N32" s="23"/>
      <c r="O32" s="23"/>
      <c r="P32" s="23"/>
      <c r="Q32" s="23"/>
      <c r="R32" s="23"/>
      <c r="S32" s="23"/>
      <c r="T32" s="23"/>
      <c r="U32" s="23"/>
    </row>
    <row r="33" spans="1:21">
      <c r="A33" s="23"/>
      <c r="B33" s="859" t="s">
        <v>309</v>
      </c>
      <c r="C33" s="31">
        <f>N(AND(C28,C31))</f>
        <v>0</v>
      </c>
      <c r="D33" s="101"/>
      <c r="E33" s="860">
        <f>C33*(-C38)</f>
        <v>0</v>
      </c>
      <c r="F33" s="101" t="s">
        <v>4</v>
      </c>
      <c r="G33" s="101" t="s">
        <v>313</v>
      </c>
      <c r="H33" s="101"/>
      <c r="I33" s="101"/>
      <c r="J33" s="105"/>
      <c r="K33" s="23"/>
      <c r="L33" s="23"/>
      <c r="M33" s="23"/>
      <c r="N33" s="23"/>
      <c r="O33" s="23"/>
      <c r="P33" s="23"/>
      <c r="Q33" s="23"/>
      <c r="R33" s="23"/>
      <c r="S33" s="23"/>
      <c r="T33" s="23"/>
      <c r="U33" s="23"/>
    </row>
    <row r="34" spans="1:21">
      <c r="A34" s="23"/>
      <c r="B34" s="100" t="s">
        <v>311</v>
      </c>
      <c r="C34" s="31">
        <f>N(AND(C27,C31))</f>
        <v>1</v>
      </c>
      <c r="D34" s="101"/>
      <c r="E34" s="860">
        <f>C34*(180-C38)</f>
        <v>146.93483583660557</v>
      </c>
      <c r="F34" s="101" t="s">
        <v>4</v>
      </c>
      <c r="G34" s="101" t="s">
        <v>315</v>
      </c>
      <c r="H34" s="101"/>
      <c r="I34" s="101"/>
      <c r="J34" s="105"/>
      <c r="K34" s="23"/>
      <c r="L34" s="23"/>
      <c r="M34" s="23"/>
      <c r="N34" s="23"/>
      <c r="O34" s="23"/>
      <c r="P34" s="23"/>
      <c r="Q34" s="23"/>
      <c r="R34" s="23"/>
      <c r="S34" s="23"/>
      <c r="T34" s="23"/>
      <c r="U34" s="23"/>
    </row>
    <row r="35" spans="1:21">
      <c r="A35" s="23"/>
      <c r="B35" s="859" t="s">
        <v>312</v>
      </c>
      <c r="C35" s="31">
        <f>N(AND(C27,C30))</f>
        <v>0</v>
      </c>
      <c r="D35" s="101"/>
      <c r="E35" s="860">
        <f>C35*(180-C38)</f>
        <v>0</v>
      </c>
      <c r="F35" s="101" t="s">
        <v>4</v>
      </c>
      <c r="G35" s="101" t="s">
        <v>322</v>
      </c>
      <c r="H35" s="101"/>
      <c r="I35" s="101"/>
      <c r="J35" s="105"/>
      <c r="K35" s="23"/>
      <c r="L35" s="23"/>
      <c r="M35" s="23"/>
      <c r="N35" s="23"/>
      <c r="O35" s="23"/>
      <c r="P35" s="23"/>
      <c r="Q35" s="23"/>
      <c r="R35" s="23"/>
      <c r="S35" s="23"/>
      <c r="T35" s="23"/>
      <c r="U35" s="23"/>
    </row>
    <row r="36" spans="1:21">
      <c r="A36" s="23"/>
      <c r="B36" s="859" t="s">
        <v>310</v>
      </c>
      <c r="C36" s="31">
        <f>N(AND(C28,C30))</f>
        <v>0</v>
      </c>
      <c r="D36" s="101"/>
      <c r="E36" s="860">
        <f>C36*(360-C38)</f>
        <v>0</v>
      </c>
      <c r="F36" s="101" t="s">
        <v>4</v>
      </c>
      <c r="G36" s="101" t="s">
        <v>314</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57" t="s">
        <v>324</v>
      </c>
      <c r="C38" s="853">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57" t="s">
        <v>325</v>
      </c>
      <c r="C40" s="101"/>
      <c r="D40" s="101"/>
      <c r="E40" s="855">
        <f>SUM(E33:E36)</f>
        <v>146.93483583660557</v>
      </c>
      <c r="F40" s="413"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279</v>
      </c>
      <c r="B1" s="18"/>
      <c r="C1" s="18"/>
      <c r="D1" s="18"/>
    </row>
    <row r="2" spans="1:9">
      <c r="A2" s="346" t="s">
        <v>140</v>
      </c>
      <c r="B2" s="18" t="s">
        <v>810</v>
      </c>
      <c r="C2" s="18" t="s">
        <v>809</v>
      </c>
      <c r="D2" s="18" t="s">
        <v>811</v>
      </c>
      <c r="E2" s="18" t="s">
        <v>813</v>
      </c>
      <c r="F2" s="18" t="s">
        <v>812</v>
      </c>
      <c r="G2" s="18" t="s">
        <v>814</v>
      </c>
      <c r="I2" t="s">
        <v>791</v>
      </c>
    </row>
    <row r="3" spans="1:9">
      <c r="B3" s="18">
        <f>SQRT(D3-(C3)^2)</f>
        <v>3.5199431813596083</v>
      </c>
      <c r="C3" s="19">
        <v>-1.9</v>
      </c>
      <c r="D3" s="19">
        <v>16</v>
      </c>
      <c r="E3" s="18">
        <f>SQRT(G3-(F4)^2)</f>
        <v>3.5745629103430252</v>
      </c>
      <c r="F3" s="18">
        <v>-1.9</v>
      </c>
      <c r="G3" s="19">
        <v>16.2</v>
      </c>
      <c r="I3" t="s">
        <v>791</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791</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791</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24" sqref="B2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9" t="s">
        <v>567</v>
      </c>
      <c r="B1" s="24"/>
      <c r="C1" s="24"/>
      <c r="D1" s="24"/>
      <c r="E1" s="677" t="str">
        <f>'Title Page'!F3</f>
        <v>OreSat - CS0</v>
      </c>
      <c r="F1" s="24"/>
      <c r="G1" s="51" t="s">
        <v>791</v>
      </c>
      <c r="H1" s="24"/>
      <c r="I1" s="51" t="str">
        <f>'Title Page'!F23</f>
        <v>2019 May 5</v>
      </c>
      <c r="J1" s="51"/>
      <c r="K1" s="51" t="str">
        <f>'Title Page'!G1</f>
        <v xml:space="preserve"> Version: 2.5.5</v>
      </c>
      <c r="L1" s="51"/>
      <c r="M1" s="24"/>
      <c r="N1" s="24"/>
      <c r="O1" s="24"/>
      <c r="P1" s="24"/>
      <c r="Q1" s="127"/>
      <c r="R1" s="127"/>
      <c r="S1" s="127"/>
      <c r="T1" s="127"/>
      <c r="U1" s="292"/>
    </row>
    <row r="2" spans="1:21" ht="12.75" customHeight="1">
      <c r="A2" s="881" t="s">
        <v>662</v>
      </c>
      <c r="B2" s="101"/>
      <c r="C2" s="101"/>
      <c r="D2" s="101"/>
      <c r="E2" s="800"/>
      <c r="F2" s="101"/>
      <c r="G2" s="461"/>
      <c r="H2" s="101"/>
      <c r="I2" s="461"/>
      <c r="J2" s="461"/>
      <c r="K2" s="461"/>
      <c r="L2" s="461"/>
      <c r="M2" s="101"/>
      <c r="N2" s="101"/>
      <c r="O2" s="101"/>
      <c r="P2" s="101"/>
      <c r="Q2" s="101"/>
      <c r="R2" s="101"/>
      <c r="S2" s="101"/>
      <c r="T2" s="101"/>
      <c r="U2" s="101"/>
    </row>
    <row r="3" spans="1:21" s="801" customFormat="1" ht="12.75" customHeight="1" thickBot="1">
      <c r="A3" s="881" t="s">
        <v>663</v>
      </c>
      <c r="B3" s="550"/>
      <c r="C3" s="550"/>
      <c r="D3" s="550"/>
      <c r="E3" s="800"/>
      <c r="F3" s="550"/>
      <c r="G3" s="461"/>
      <c r="H3" s="550"/>
      <c r="I3" s="461"/>
      <c r="J3" s="461"/>
      <c r="K3" s="461"/>
      <c r="L3" s="461"/>
      <c r="M3" s="550"/>
      <c r="N3" s="550"/>
      <c r="O3" s="550"/>
      <c r="P3" s="550"/>
      <c r="Q3" s="550"/>
      <c r="R3" s="550"/>
      <c r="S3" s="550"/>
      <c r="T3" s="550"/>
      <c r="U3" s="550"/>
    </row>
    <row r="4" spans="1:21" s="801" customFormat="1" ht="12.75" customHeight="1" thickBot="1">
      <c r="A4" s="882" t="s">
        <v>661</v>
      </c>
      <c r="B4" s="804" t="s">
        <v>598</v>
      </c>
      <c r="C4" s="384">
        <v>1</v>
      </c>
      <c r="D4" s="840" t="str">
        <f>INDEX(C6:DC9,C4,1)</f>
        <v>LEO</v>
      </c>
      <c r="E4" s="800"/>
      <c r="F4" s="804" t="s">
        <v>768</v>
      </c>
      <c r="G4" s="842">
        <f>INDEX(D6:D9,C4,1)</f>
        <v>1454.4339505997034</v>
      </c>
      <c r="H4" s="841" t="s">
        <v>796</v>
      </c>
      <c r="I4" s="550" t="s">
        <v>600</v>
      </c>
      <c r="J4" s="461"/>
      <c r="K4" s="461"/>
      <c r="L4" s="461"/>
      <c r="M4" s="550"/>
      <c r="N4" s="550"/>
      <c r="O4" s="550"/>
      <c r="P4" s="550"/>
      <c r="Q4" s="550"/>
      <c r="R4" s="550"/>
      <c r="S4" s="550"/>
      <c r="T4" s="550"/>
      <c r="U4" s="550"/>
    </row>
    <row r="5" spans="1:21" s="801" customFormat="1" ht="12.75" customHeight="1">
      <c r="A5" s="461"/>
      <c r="B5" s="802" t="s">
        <v>601</v>
      </c>
      <c r="C5" s="802" t="s">
        <v>788</v>
      </c>
      <c r="D5" s="802" t="s">
        <v>599</v>
      </c>
      <c r="E5" s="800"/>
      <c r="F5" s="805"/>
      <c r="G5" s="461"/>
      <c r="H5" s="550"/>
      <c r="I5" s="550"/>
      <c r="J5" s="461"/>
      <c r="K5" s="461"/>
      <c r="L5" s="461"/>
      <c r="M5" s="550"/>
      <c r="N5" s="550"/>
      <c r="O5" s="550"/>
      <c r="P5" s="550"/>
      <c r="Q5" s="550"/>
      <c r="R5" s="550"/>
      <c r="S5" s="550"/>
      <c r="T5" s="550"/>
      <c r="U5" s="550"/>
    </row>
    <row r="6" spans="1:21" ht="12.75" customHeight="1">
      <c r="A6" s="799"/>
      <c r="B6" s="803">
        <v>1</v>
      </c>
      <c r="C6" s="803" t="s">
        <v>595</v>
      </c>
      <c r="D6" s="808">
        <f>B36</f>
        <v>1454.4339505997034</v>
      </c>
      <c r="E6" s="550" t="s">
        <v>796</v>
      </c>
      <c r="F6" s="101"/>
      <c r="G6" s="461"/>
      <c r="H6" s="101"/>
      <c r="I6" s="461"/>
      <c r="J6" s="461"/>
      <c r="K6" s="461"/>
      <c r="L6" s="461"/>
      <c r="M6" s="101" t="s">
        <v>791</v>
      </c>
      <c r="N6" s="101"/>
      <c r="O6" s="101"/>
      <c r="P6" s="101"/>
      <c r="Q6" s="101"/>
      <c r="R6" s="101"/>
      <c r="S6" s="101"/>
      <c r="T6" s="101"/>
      <c r="U6" s="101"/>
    </row>
    <row r="7" spans="1:21" ht="12.75" customHeight="1">
      <c r="A7" s="799"/>
      <c r="B7" s="803">
        <v>2</v>
      </c>
      <c r="C7" s="803" t="s">
        <v>596</v>
      </c>
      <c r="D7" s="813">
        <f>K63</f>
        <v>41126.753187550428</v>
      </c>
      <c r="E7" s="550" t="s">
        <v>796</v>
      </c>
      <c r="F7" s="101"/>
      <c r="G7" s="461"/>
      <c r="H7" s="101"/>
      <c r="I7" s="461"/>
      <c r="J7" s="461"/>
      <c r="K7" s="461"/>
      <c r="L7" s="461"/>
      <c r="M7" s="101"/>
      <c r="N7" s="101"/>
      <c r="O7" s="101"/>
      <c r="P7" s="101"/>
      <c r="Q7" s="101"/>
      <c r="R7" s="101"/>
      <c r="S7" s="101"/>
      <c r="T7" s="101"/>
      <c r="U7" s="101"/>
    </row>
    <row r="8" spans="1:21" ht="12.75" customHeight="1">
      <c r="A8" s="799"/>
      <c r="B8" s="803">
        <v>3</v>
      </c>
      <c r="C8" s="803" t="s">
        <v>597</v>
      </c>
      <c r="D8" s="808">
        <f>B104</f>
        <v>36488.15588571554</v>
      </c>
      <c r="E8" s="550" t="s">
        <v>796</v>
      </c>
      <c r="F8" s="101"/>
      <c r="G8" s="461"/>
      <c r="H8" s="101"/>
      <c r="I8" s="461"/>
      <c r="J8" s="461"/>
      <c r="K8" s="461"/>
      <c r="L8" s="461"/>
      <c r="M8" s="101"/>
      <c r="N8" s="101"/>
      <c r="O8" s="101"/>
      <c r="P8" s="101"/>
      <c r="Q8" s="101"/>
      <c r="R8" s="101"/>
      <c r="S8" s="101"/>
      <c r="T8" s="101"/>
      <c r="U8" s="101"/>
    </row>
    <row r="9" spans="1:21" ht="12.75" customHeight="1">
      <c r="A9" s="799"/>
      <c r="B9" s="803">
        <v>4</v>
      </c>
      <c r="C9" s="839" t="s">
        <v>767</v>
      </c>
      <c r="D9" s="885">
        <f>D125</f>
        <v>315000000.00000006</v>
      </c>
      <c r="E9" s="550" t="s">
        <v>796</v>
      </c>
      <c r="F9" s="101"/>
      <c r="G9" s="461"/>
      <c r="H9" s="101"/>
      <c r="I9" s="461"/>
      <c r="J9" s="461"/>
      <c r="K9" s="461"/>
      <c r="L9" s="461"/>
      <c r="M9" s="101"/>
      <c r="N9" s="101"/>
      <c r="O9" s="101"/>
      <c r="P9" s="101"/>
      <c r="Q9" s="101"/>
      <c r="R9" s="101"/>
      <c r="S9" s="101"/>
      <c r="T9" s="101"/>
      <c r="U9" s="101"/>
    </row>
    <row r="10" spans="1:21" ht="12.75" customHeight="1" thickBot="1">
      <c r="A10" s="787"/>
      <c r="B10" s="3"/>
      <c r="C10" s="3"/>
      <c r="D10" s="3"/>
      <c r="E10" s="3"/>
      <c r="F10" s="3"/>
      <c r="G10" s="3"/>
      <c r="H10" s="3"/>
      <c r="I10" s="3"/>
      <c r="J10" s="3"/>
      <c r="K10" s="3"/>
      <c r="L10" s="3"/>
      <c r="M10" s="3"/>
      <c r="N10" s="3"/>
      <c r="O10" s="3"/>
      <c r="P10" s="3"/>
      <c r="Q10" s="3"/>
      <c r="R10" s="3"/>
      <c r="S10" s="3"/>
      <c r="T10" s="3"/>
      <c r="U10" s="3"/>
    </row>
    <row r="11" spans="1:21" ht="13.5" thickBot="1">
      <c r="A11" s="3"/>
      <c r="B11" s="528"/>
      <c r="C11" s="3"/>
      <c r="D11" s="715" t="s">
        <v>817</v>
      </c>
      <c r="E11" s="26" t="s">
        <v>818</v>
      </c>
      <c r="F11" s="26"/>
      <c r="G11" s="3"/>
      <c r="H11" s="3"/>
      <c r="I11" s="48" t="s">
        <v>819</v>
      </c>
      <c r="J11" s="27" t="s">
        <v>820</v>
      </c>
      <c r="K11" s="3"/>
      <c r="L11" s="4" t="s">
        <v>900</v>
      </c>
      <c r="M11" s="3"/>
      <c r="N11" s="3"/>
      <c r="O11" s="3"/>
      <c r="P11" s="3"/>
      <c r="Q11" s="3"/>
      <c r="R11" s="3"/>
      <c r="S11" s="3"/>
      <c r="T11" s="3"/>
      <c r="U11" s="3"/>
    </row>
    <row r="12" spans="1:21" ht="13">
      <c r="A12" s="3" t="s">
        <v>903</v>
      </c>
      <c r="B12" s="719" t="s">
        <v>167</v>
      </c>
      <c r="C12" s="3"/>
      <c r="D12" s="49" t="s">
        <v>821</v>
      </c>
      <c r="E12" s="26" t="s">
        <v>910</v>
      </c>
      <c r="F12" s="26"/>
      <c r="G12" s="3"/>
      <c r="H12" s="3"/>
      <c r="I12" s="380" t="s">
        <v>897</v>
      </c>
      <c r="J12" s="27" t="s">
        <v>902</v>
      </c>
      <c r="K12" s="3"/>
      <c r="L12" s="3"/>
      <c r="M12" s="3"/>
      <c r="N12" s="3"/>
      <c r="O12" s="3"/>
      <c r="P12" s="3"/>
      <c r="Q12" s="3"/>
      <c r="R12" s="3"/>
      <c r="S12" s="3"/>
      <c r="T12" s="3"/>
      <c r="U12" s="3"/>
    </row>
    <row r="13" spans="1:21" ht="13" thickBot="1">
      <c r="A13" s="112"/>
      <c r="B13" s="815"/>
      <c r="C13" s="112"/>
      <c r="D13" s="816"/>
      <c r="E13" s="817"/>
      <c r="F13" s="817"/>
      <c r="G13" s="112"/>
      <c r="H13" s="112"/>
      <c r="I13" s="818"/>
      <c r="J13" s="819"/>
      <c r="K13" s="112"/>
      <c r="L13" s="112"/>
      <c r="M13" s="112"/>
      <c r="N13" s="112"/>
      <c r="O13" s="112"/>
      <c r="P13" s="112"/>
      <c r="Q13" s="112"/>
      <c r="R13" s="112"/>
      <c r="S13" s="112"/>
      <c r="T13" s="112"/>
      <c r="U13" s="112"/>
    </row>
    <row r="14" spans="1:21" ht="15.5">
      <c r="A14" s="867" t="s">
        <v>586</v>
      </c>
      <c r="B14" s="346" t="s">
        <v>253</v>
      </c>
      <c r="C14" s="23"/>
      <c r="D14" s="23"/>
      <c r="E14" s="23"/>
      <c r="F14" s="23"/>
      <c r="G14" s="23"/>
      <c r="H14" s="23"/>
      <c r="I14" s="23"/>
      <c r="J14" s="23"/>
      <c r="K14" s="23"/>
      <c r="L14" s="23"/>
      <c r="M14" s="23"/>
      <c r="N14" s="23"/>
      <c r="O14" s="23"/>
      <c r="P14" s="23"/>
      <c r="Q14" s="23"/>
      <c r="R14" s="23"/>
      <c r="S14" s="23"/>
      <c r="T14" s="23"/>
      <c r="U14" s="23"/>
    </row>
    <row r="15" spans="1:21" ht="15.5">
      <c r="A15" s="788" t="s">
        <v>568</v>
      </c>
      <c r="B15" s="786"/>
      <c r="C15" s="786"/>
      <c r="Q15" s="3"/>
      <c r="R15" s="3"/>
      <c r="S15" s="3"/>
      <c r="T15" s="3"/>
      <c r="U15" s="3"/>
    </row>
    <row r="16" spans="1:21" ht="13">
      <c r="A16" s="4" t="s">
        <v>826</v>
      </c>
      <c r="B16" s="4"/>
      <c r="C16" s="4"/>
      <c r="Q16" s="3"/>
      <c r="R16" s="3"/>
      <c r="S16" s="3"/>
      <c r="T16" s="3"/>
      <c r="U16" s="3"/>
    </row>
    <row r="17" spans="1:21" ht="13">
      <c r="A17" s="9" t="s">
        <v>792</v>
      </c>
      <c r="B17" s="10" t="s">
        <v>793</v>
      </c>
      <c r="C17" s="11" t="s">
        <v>794</v>
      </c>
      <c r="Q17" s="3"/>
      <c r="R17" s="3"/>
      <c r="S17" s="3"/>
      <c r="T17" s="3"/>
      <c r="U17" s="3"/>
    </row>
    <row r="18" spans="1:21">
      <c r="A18" s="12" t="s">
        <v>795</v>
      </c>
      <c r="B18" s="13">
        <v>6378.1360000000004</v>
      </c>
      <c r="C18" s="12" t="s">
        <v>796</v>
      </c>
      <c r="Q18" s="3"/>
      <c r="R18" s="3"/>
      <c r="S18" s="3"/>
      <c r="T18" s="3"/>
      <c r="U18" s="3"/>
    </row>
    <row r="19" spans="1:21">
      <c r="A19" s="12" t="s">
        <v>815</v>
      </c>
      <c r="B19" s="695">
        <v>408</v>
      </c>
      <c r="C19" s="12" t="s">
        <v>796</v>
      </c>
      <c r="Q19" s="3"/>
      <c r="R19" s="3"/>
      <c r="S19" s="3"/>
      <c r="T19" s="3"/>
      <c r="U19" s="3"/>
    </row>
    <row r="20" spans="1:21">
      <c r="A20" s="12" t="s">
        <v>816</v>
      </c>
      <c r="B20" s="694">
        <v>403</v>
      </c>
      <c r="C20" s="12" t="s">
        <v>796</v>
      </c>
      <c r="Q20" s="3"/>
      <c r="R20" s="3"/>
      <c r="S20" s="3"/>
      <c r="T20" s="3"/>
      <c r="U20" s="3"/>
    </row>
    <row r="21" spans="1:21">
      <c r="A21" s="3" t="s">
        <v>797</v>
      </c>
      <c r="B21" s="696">
        <f>(B19+B20+2*B18)/2</f>
        <v>6783.6360000000004</v>
      </c>
      <c r="C21" s="3" t="s">
        <v>796</v>
      </c>
      <c r="Q21" s="3"/>
      <c r="R21" s="3"/>
      <c r="S21" s="3"/>
      <c r="T21" s="3"/>
      <c r="U21" s="3"/>
    </row>
    <row r="22" spans="1:21">
      <c r="A22" s="3" t="s">
        <v>798</v>
      </c>
      <c r="B22" s="14">
        <f>((B19+B18)-(B20+B18))/((B19+B18)+(B20+B18))</f>
        <v>3.6853392487450683E-4</v>
      </c>
      <c r="C22" s="3"/>
      <c r="Q22" s="3"/>
      <c r="R22" s="3"/>
      <c r="S22" s="3"/>
      <c r="T22" s="3"/>
      <c r="U22" s="3"/>
    </row>
    <row r="23" spans="1:21">
      <c r="A23" s="3" t="s">
        <v>799</v>
      </c>
      <c r="B23" s="60">
        <v>51.6</v>
      </c>
      <c r="C23" s="3" t="s">
        <v>4</v>
      </c>
      <c r="Q23" s="3"/>
      <c r="R23" s="3"/>
      <c r="S23" s="3"/>
      <c r="T23" s="3"/>
      <c r="U23" s="3"/>
    </row>
    <row r="24" spans="1:21">
      <c r="A24" s="3" t="s">
        <v>801</v>
      </c>
      <c r="B24" s="61">
        <v>180</v>
      </c>
      <c r="C24" s="3" t="s">
        <v>4</v>
      </c>
      <c r="Q24" s="3"/>
      <c r="R24" s="3"/>
      <c r="S24" s="3"/>
      <c r="T24" s="3"/>
      <c r="U24" s="3"/>
    </row>
    <row r="25" spans="1:21">
      <c r="A25" s="3" t="s">
        <v>802</v>
      </c>
      <c r="B25" s="823">
        <v>123.7</v>
      </c>
      <c r="C25" s="3" t="s">
        <v>4</v>
      </c>
      <c r="Q25" s="3"/>
      <c r="R25" s="3"/>
      <c r="S25" s="3"/>
      <c r="T25" s="3"/>
      <c r="U25" s="3"/>
    </row>
    <row r="26" spans="1:21">
      <c r="A26" s="3" t="s">
        <v>803</v>
      </c>
      <c r="B26" s="62">
        <v>0</v>
      </c>
      <c r="C26" s="3" t="s">
        <v>4</v>
      </c>
      <c r="Q26" s="3"/>
      <c r="R26" s="3"/>
      <c r="S26" s="3"/>
      <c r="T26" s="3"/>
      <c r="U26" s="3"/>
    </row>
    <row r="27" spans="1:21">
      <c r="A27" s="3" t="s">
        <v>804</v>
      </c>
      <c r="B27" s="32">
        <f xml:space="preserve"> 84.4892*((B21/B18)^1.5)</f>
        <v>92.673238367165595</v>
      </c>
      <c r="C27" s="3" t="s">
        <v>805</v>
      </c>
      <c r="Q27" s="3"/>
      <c r="R27" s="3"/>
      <c r="S27" s="3"/>
      <c r="T27" s="3"/>
      <c r="U27" s="3"/>
    </row>
    <row r="28" spans="1:21">
      <c r="A28" s="3" t="s">
        <v>806</v>
      </c>
      <c r="B28" s="16">
        <f>19.919482*((B18/B21)^3.5)*(1-1.25*((SIN(B23/57.29578))^2))/((1-B22^2)^2)</f>
        <v>3.7290709859689151</v>
      </c>
      <c r="C28" s="3" t="s">
        <v>807</v>
      </c>
      <c r="Q28" s="3"/>
      <c r="R28" s="3"/>
      <c r="S28" s="3"/>
      <c r="T28" s="3"/>
      <c r="U28" s="3"/>
    </row>
    <row r="29" spans="1:21">
      <c r="A29" s="3" t="s">
        <v>808</v>
      </c>
      <c r="B29" s="16">
        <f>(-9.9597408/(1-B22^2)^2)*((B18/B21)^3.5)*COS(B23/57.29578)</f>
        <v>-4.9860018218750062</v>
      </c>
      <c r="C29" s="3" t="s">
        <v>807</v>
      </c>
      <c r="Q29" s="3"/>
      <c r="R29" s="3"/>
      <c r="S29" s="3"/>
      <c r="T29" s="3"/>
      <c r="U29" s="3"/>
    </row>
    <row r="30" spans="1:21">
      <c r="A30" s="3" t="s">
        <v>896</v>
      </c>
      <c r="B30" s="49" t="s">
        <v>913</v>
      </c>
      <c r="C30" s="3" t="s">
        <v>807</v>
      </c>
      <c r="Q30" s="3"/>
      <c r="R30" s="3"/>
      <c r="S30" s="3"/>
      <c r="T30" s="3"/>
      <c r="U30" s="3"/>
    </row>
    <row r="31" spans="1:21">
      <c r="A31" s="3" t="s">
        <v>822</v>
      </c>
      <c r="B31" s="15">
        <f>(B19+B20)/2</f>
        <v>405.5</v>
      </c>
      <c r="C31" s="3" t="s">
        <v>796</v>
      </c>
      <c r="Q31" s="3"/>
      <c r="R31" s="3"/>
      <c r="S31" s="3"/>
      <c r="T31" s="3"/>
      <c r="U31" s="3"/>
    </row>
    <row r="32" spans="1:21">
      <c r="A32" s="3" t="s">
        <v>828</v>
      </c>
      <c r="B32" s="30">
        <f>B31+B18</f>
        <v>6783.6360000000004</v>
      </c>
      <c r="C32" s="3" t="s">
        <v>796</v>
      </c>
      <c r="Q32" s="3"/>
      <c r="R32" s="3"/>
      <c r="S32" s="3"/>
      <c r="T32" s="3"/>
      <c r="U32" s="3"/>
    </row>
    <row r="33" spans="1:21">
      <c r="A33" s="3" t="s">
        <v>837</v>
      </c>
      <c r="B33" s="15">
        <f>57.2958*ACOS((0.98561)/(-9.95974/(((1-B22^2)^2))*(B18/B21)^3.5))</f>
        <v>97.052932990475142</v>
      </c>
      <c r="C33" s="3" t="s">
        <v>135</v>
      </c>
      <c r="Q33" s="3"/>
      <c r="R33" s="3"/>
      <c r="S33" s="3"/>
      <c r="T33" s="3"/>
      <c r="U33" s="3"/>
    </row>
    <row r="34" spans="1:21" ht="13">
      <c r="A34" s="3" t="s">
        <v>823</v>
      </c>
      <c r="B34" s="383">
        <v>10</v>
      </c>
      <c r="C34" s="3" t="s">
        <v>135</v>
      </c>
      <c r="Q34" s="3"/>
      <c r="R34" s="3"/>
      <c r="S34" s="3"/>
      <c r="T34" s="3"/>
      <c r="U34" s="3"/>
    </row>
    <row r="35" spans="1:21" ht="13" thickBot="1">
      <c r="A35" s="3"/>
      <c r="B35" s="17"/>
      <c r="C35" s="3"/>
      <c r="Q35" s="3"/>
      <c r="R35" s="3"/>
      <c r="S35" s="3"/>
      <c r="T35" s="3"/>
      <c r="U35" s="3"/>
    </row>
    <row r="36" spans="1:21" ht="13.5" thickBot="1">
      <c r="A36" s="3" t="s">
        <v>915</v>
      </c>
      <c r="B36" s="807">
        <f>B18*((((B32^2/B18^2)-(COS(B34/57.2958))^2)^0.5)-SIN(B34/57.2958))</f>
        <v>1454.4339505997034</v>
      </c>
      <c r="C36" s="3" t="s">
        <v>827</v>
      </c>
      <c r="Q36" s="3"/>
      <c r="R36" s="3"/>
      <c r="S36" s="3"/>
      <c r="T36" s="3"/>
      <c r="U36" s="3"/>
    </row>
    <row r="37" spans="1:21" ht="13" thickBot="1">
      <c r="A37" s="112"/>
      <c r="B37" s="753"/>
      <c r="C37" s="112"/>
      <c r="D37" s="754"/>
      <c r="E37" s="754"/>
      <c r="F37" s="754"/>
      <c r="G37" s="754"/>
      <c r="H37" s="754"/>
      <c r="I37" s="754"/>
      <c r="J37" s="754"/>
      <c r="K37" s="754"/>
      <c r="L37" s="754"/>
      <c r="M37" s="754"/>
      <c r="N37" s="754"/>
      <c r="O37" s="754"/>
      <c r="P37" s="754"/>
      <c r="Q37" s="112"/>
      <c r="R37" s="112"/>
      <c r="S37" s="112"/>
      <c r="T37" s="112"/>
      <c r="U37" s="112"/>
    </row>
    <row r="38" spans="1:21" ht="16" thickBot="1">
      <c r="A38" s="868" t="s">
        <v>587</v>
      </c>
      <c r="B38" s="23"/>
      <c r="C38" s="849" t="s">
        <v>140</v>
      </c>
      <c r="D38" s="23"/>
      <c r="E38" s="23"/>
      <c r="F38" s="23"/>
      <c r="G38" s="755"/>
      <c r="H38" s="23"/>
      <c r="I38" s="23"/>
      <c r="J38" s="23" t="s">
        <v>730</v>
      </c>
      <c r="K38" s="23"/>
      <c r="L38" s="23"/>
      <c r="M38" s="23"/>
      <c r="N38" s="23"/>
      <c r="O38" s="23"/>
      <c r="P38" s="23"/>
      <c r="Q38" s="23"/>
      <c r="R38" s="23"/>
      <c r="S38" s="23"/>
      <c r="T38" s="23"/>
      <c r="U38" s="23"/>
    </row>
    <row r="39" spans="1:21" ht="15.5">
      <c r="A39" s="788" t="s">
        <v>569</v>
      </c>
      <c r="B39" s="786"/>
      <c r="C39" s="786"/>
      <c r="D39" s="756"/>
      <c r="E39" s="757"/>
      <c r="F39" s="757"/>
      <c r="G39" s="757"/>
      <c r="H39" s="757"/>
      <c r="I39" s="757"/>
      <c r="J39" s="757"/>
      <c r="K39" s="757"/>
      <c r="L39" s="757"/>
      <c r="M39" s="758"/>
      <c r="N39" s="3"/>
      <c r="O39" s="3"/>
      <c r="P39" s="3"/>
      <c r="Q39" s="3"/>
      <c r="R39" s="3"/>
      <c r="S39" s="3"/>
      <c r="T39" s="3"/>
      <c r="U39" s="3"/>
    </row>
    <row r="40" spans="1:21" ht="13">
      <c r="A40" s="4" t="s">
        <v>552</v>
      </c>
      <c r="B40" s="4"/>
      <c r="C40" s="4"/>
      <c r="D40" s="759"/>
      <c r="E40" s="760"/>
      <c r="F40" s="760"/>
      <c r="G40" s="760"/>
      <c r="H40" s="760"/>
      <c r="I40" s="760"/>
      <c r="J40" s="760"/>
      <c r="K40" s="760"/>
      <c r="L40" s="760"/>
      <c r="M40" s="761"/>
      <c r="N40" s="3"/>
      <c r="O40" s="3"/>
      <c r="P40" s="3"/>
      <c r="Q40" s="3"/>
      <c r="R40" s="3"/>
      <c r="S40" s="3"/>
      <c r="T40" s="3"/>
      <c r="U40" s="3"/>
    </row>
    <row r="41" spans="1:21" ht="13">
      <c r="A41" s="9" t="s">
        <v>792</v>
      </c>
      <c r="B41" s="10" t="s">
        <v>793</v>
      </c>
      <c r="C41" s="10" t="s">
        <v>794</v>
      </c>
      <c r="D41" s="759"/>
      <c r="E41" s="760"/>
      <c r="F41" s="760"/>
      <c r="G41" s="760"/>
      <c r="H41" s="760"/>
      <c r="I41" s="760"/>
      <c r="J41" s="760"/>
      <c r="K41" s="760"/>
      <c r="L41" s="760"/>
      <c r="M41" s="761"/>
      <c r="N41" s="3"/>
      <c r="O41" s="3"/>
      <c r="P41" s="3"/>
      <c r="Q41" s="3"/>
      <c r="R41" s="3"/>
      <c r="S41" s="3"/>
      <c r="T41" s="3"/>
      <c r="U41" s="3"/>
    </row>
    <row r="42" spans="1:21">
      <c r="A42" s="12" t="s">
        <v>795</v>
      </c>
      <c r="B42" s="13">
        <v>6378.1369999999997</v>
      </c>
      <c r="C42" s="12" t="s">
        <v>796</v>
      </c>
      <c r="D42" s="759"/>
      <c r="E42" s="760"/>
      <c r="F42" s="760"/>
      <c r="G42" s="760"/>
      <c r="H42" s="760"/>
      <c r="I42" s="760"/>
      <c r="J42" s="760"/>
      <c r="K42" s="760"/>
      <c r="L42" s="760"/>
      <c r="M42" s="761"/>
      <c r="N42" s="3"/>
      <c r="O42" s="3"/>
      <c r="P42" s="3"/>
      <c r="Q42" s="3"/>
      <c r="R42" s="3"/>
      <c r="S42" s="3"/>
      <c r="T42" s="3"/>
      <c r="U42" s="3"/>
    </row>
    <row r="43" spans="1:21">
      <c r="A43" s="12" t="s">
        <v>553</v>
      </c>
      <c r="B43" s="870">
        <v>35786</v>
      </c>
      <c r="C43" s="12" t="s">
        <v>796</v>
      </c>
      <c r="D43" s="759"/>
      <c r="E43" s="760"/>
      <c r="F43" s="760"/>
      <c r="G43" s="760"/>
      <c r="H43" s="760"/>
      <c r="I43" s="760"/>
      <c r="J43" s="760"/>
      <c r="K43" s="760"/>
      <c r="L43" s="760"/>
      <c r="M43" s="761"/>
      <c r="N43" s="3"/>
      <c r="O43" s="3"/>
      <c r="P43" s="3"/>
      <c r="Q43" s="3"/>
      <c r="R43" s="3"/>
      <c r="S43" s="3"/>
      <c r="T43" s="3"/>
      <c r="U43" s="3"/>
    </row>
    <row r="44" spans="1:21">
      <c r="A44" s="12" t="s">
        <v>554</v>
      </c>
      <c r="B44" s="871">
        <v>500</v>
      </c>
      <c r="C44" s="12" t="s">
        <v>796</v>
      </c>
      <c r="D44" s="759"/>
      <c r="E44" s="760"/>
      <c r="F44" s="760"/>
      <c r="G44" s="760"/>
      <c r="H44" s="760"/>
      <c r="I44" s="760"/>
      <c r="J44" s="760"/>
      <c r="K44" s="760"/>
      <c r="L44" s="760"/>
      <c r="M44" s="761"/>
      <c r="N44" s="3"/>
      <c r="O44" s="3"/>
      <c r="P44" s="3"/>
      <c r="Q44" s="3"/>
      <c r="R44" s="3"/>
      <c r="S44" s="3"/>
      <c r="T44" s="3"/>
      <c r="U44" s="3"/>
    </row>
    <row r="45" spans="1:21">
      <c r="A45" s="3" t="s">
        <v>797</v>
      </c>
      <c r="B45" s="13">
        <f>(B43+B44+2*B42)/2</f>
        <v>24521.136999999999</v>
      </c>
      <c r="C45" s="3" t="s">
        <v>796</v>
      </c>
      <c r="D45" s="759"/>
      <c r="E45" s="760"/>
      <c r="F45" s="760"/>
      <c r="G45" s="760"/>
      <c r="H45" s="760"/>
      <c r="I45" s="760"/>
      <c r="J45" s="760"/>
      <c r="K45" s="760"/>
      <c r="L45" s="760"/>
      <c r="M45" s="761"/>
      <c r="N45" s="3"/>
      <c r="O45" s="3"/>
      <c r="P45" s="3"/>
      <c r="Q45" s="3"/>
      <c r="R45" s="3"/>
      <c r="S45" s="3"/>
      <c r="T45" s="3"/>
      <c r="U45" s="3"/>
    </row>
    <row r="46" spans="1:21">
      <c r="A46" s="3" t="s">
        <v>798</v>
      </c>
      <c r="B46" s="14">
        <f>((B43+B42)-(B44+B42))/((B43+B42)+(B44+B42))</f>
        <v>0.71950170989216355</v>
      </c>
      <c r="C46" s="3"/>
      <c r="D46" s="759"/>
      <c r="E46" s="760"/>
      <c r="F46" s="760"/>
      <c r="G46" s="760"/>
      <c r="H46" s="760"/>
      <c r="I46" s="760"/>
      <c r="J46" s="760"/>
      <c r="K46" s="760"/>
      <c r="L46" s="760"/>
      <c r="M46" s="761"/>
      <c r="N46" s="3"/>
      <c r="O46" s="3"/>
      <c r="P46" s="3"/>
      <c r="Q46" s="3"/>
      <c r="R46" s="3"/>
      <c r="S46" s="3"/>
      <c r="T46" s="3"/>
      <c r="U46" s="3"/>
    </row>
    <row r="47" spans="1:21">
      <c r="A47" s="3" t="s">
        <v>799</v>
      </c>
      <c r="B47" s="60">
        <v>7</v>
      </c>
      <c r="C47" s="3" t="s">
        <v>800</v>
      </c>
      <c r="D47" s="759"/>
      <c r="E47" s="760"/>
      <c r="F47" s="760"/>
      <c r="G47" s="760"/>
      <c r="H47" s="760"/>
      <c r="I47" s="760"/>
      <c r="J47" s="760"/>
      <c r="K47" s="760"/>
      <c r="L47" s="760"/>
      <c r="M47" s="761"/>
      <c r="N47" s="3"/>
      <c r="O47" s="3"/>
      <c r="P47" s="3"/>
      <c r="Q47" s="3"/>
      <c r="R47" s="3"/>
      <c r="S47" s="3"/>
      <c r="T47" s="3"/>
      <c r="U47" s="3"/>
    </row>
    <row r="48" spans="1:21">
      <c r="A48" s="3" t="s">
        <v>801</v>
      </c>
      <c r="B48" s="61">
        <v>180</v>
      </c>
      <c r="C48" s="3" t="s">
        <v>800</v>
      </c>
      <c r="D48" s="759"/>
      <c r="E48" s="760"/>
      <c r="F48" s="760"/>
      <c r="G48" s="760"/>
      <c r="H48" s="760"/>
      <c r="I48" s="760"/>
      <c r="J48" s="760"/>
      <c r="K48" s="760"/>
      <c r="L48" s="760"/>
      <c r="M48" s="761"/>
      <c r="N48" s="3"/>
      <c r="O48" s="3"/>
      <c r="P48" s="3"/>
      <c r="Q48" s="3"/>
      <c r="R48" s="3"/>
      <c r="S48" s="3"/>
      <c r="T48" s="3"/>
      <c r="U48" s="3"/>
    </row>
    <row r="49" spans="1:21">
      <c r="A49" s="3" t="s">
        <v>802</v>
      </c>
      <c r="B49" s="62">
        <v>0</v>
      </c>
      <c r="C49" s="3" t="s">
        <v>800</v>
      </c>
      <c r="D49" s="759"/>
      <c r="E49" s="760"/>
      <c r="F49" s="760"/>
      <c r="G49" s="760"/>
      <c r="H49" s="760"/>
      <c r="I49" s="760"/>
      <c r="J49" s="760"/>
      <c r="K49" s="760"/>
      <c r="L49" s="760"/>
      <c r="M49" s="761"/>
      <c r="N49" s="3"/>
      <c r="O49" s="3"/>
      <c r="P49" s="3"/>
      <c r="Q49" s="3"/>
      <c r="R49" s="3"/>
      <c r="S49" s="3"/>
      <c r="T49" s="3"/>
      <c r="U49" s="3"/>
    </row>
    <row r="50" spans="1:21">
      <c r="A50" s="3" t="s">
        <v>803</v>
      </c>
      <c r="B50" s="874">
        <f>INDEX(C65:C78,B63,1)</f>
        <v>179.99999</v>
      </c>
      <c r="C50" s="3" t="s">
        <v>800</v>
      </c>
      <c r="D50" s="759"/>
      <c r="E50" s="760"/>
      <c r="F50" s="760"/>
      <c r="G50" s="760"/>
      <c r="H50" s="760"/>
      <c r="I50" s="760"/>
      <c r="J50" s="760"/>
      <c r="K50" s="760"/>
      <c r="L50" s="760"/>
      <c r="M50" s="761"/>
      <c r="N50" s="3"/>
      <c r="O50" s="3"/>
      <c r="P50" s="3"/>
      <c r="Q50" s="3"/>
      <c r="R50" s="3"/>
      <c r="S50" s="3"/>
      <c r="T50" s="3"/>
      <c r="U50" s="3"/>
    </row>
    <row r="51" spans="1:21">
      <c r="A51" s="3" t="s">
        <v>804</v>
      </c>
      <c r="B51" s="15">
        <f xml:space="preserve"> 84.4892*((B45/B42)^1.5)</f>
        <v>636.90013117168326</v>
      </c>
      <c r="C51" s="3" t="s">
        <v>805</v>
      </c>
      <c r="D51" s="759"/>
      <c r="E51" s="760"/>
      <c r="F51" s="760"/>
      <c r="G51" s="760"/>
      <c r="H51" s="760"/>
      <c r="I51" s="760"/>
      <c r="J51" s="760"/>
      <c r="K51" s="760"/>
      <c r="L51" s="760"/>
      <c r="M51" s="761"/>
      <c r="N51" s="3"/>
      <c r="O51" s="3"/>
      <c r="P51" s="3"/>
      <c r="Q51" s="3"/>
      <c r="R51" s="3"/>
      <c r="S51" s="3"/>
      <c r="T51" s="3"/>
      <c r="U51" s="3"/>
    </row>
    <row r="52" spans="1:21">
      <c r="A52" s="3" t="s">
        <v>806</v>
      </c>
      <c r="B52" s="16">
        <f>19.919482*((B42/B45)^3.5)*(1-1.25*((SIN(B47/57.29578))^2))/((1-B46^2)^2)</f>
        <v>0.75424108469762274</v>
      </c>
      <c r="C52" s="3" t="s">
        <v>807</v>
      </c>
      <c r="D52" s="759"/>
      <c r="E52" s="760"/>
      <c r="F52" s="760"/>
      <c r="G52" s="760"/>
      <c r="H52" s="760"/>
      <c r="I52" s="760"/>
      <c r="J52" s="760"/>
      <c r="K52" s="760"/>
      <c r="L52" s="760"/>
      <c r="M52" s="761"/>
      <c r="N52" s="3"/>
      <c r="O52" s="3"/>
      <c r="P52" s="3"/>
      <c r="Q52" s="3"/>
      <c r="R52" s="3"/>
      <c r="S52" s="3"/>
      <c r="T52" s="3"/>
      <c r="U52" s="3"/>
    </row>
    <row r="53" spans="1:21">
      <c r="A53" s="3" t="s">
        <v>808</v>
      </c>
      <c r="B53" s="16">
        <f>(-9.9597408/(1-B46^2)^2)*((B42/B45)^3.5)*COS(B47/57.29578)</f>
        <v>-0.38139010802751916</v>
      </c>
      <c r="C53" s="3" t="s">
        <v>807</v>
      </c>
      <c r="D53" s="759"/>
      <c r="E53" s="760"/>
      <c r="F53" s="760"/>
      <c r="G53" s="760"/>
      <c r="H53" s="760"/>
      <c r="I53" s="760"/>
      <c r="J53" s="760"/>
      <c r="K53" s="760"/>
      <c r="L53" s="760"/>
      <c r="M53" s="761"/>
      <c r="N53" s="3"/>
      <c r="O53" s="3"/>
      <c r="P53" s="3"/>
      <c r="Q53" s="3"/>
      <c r="R53" s="3"/>
      <c r="S53" s="3"/>
      <c r="T53" s="3"/>
      <c r="U53" s="3"/>
    </row>
    <row r="54" spans="1:21">
      <c r="A54" s="3"/>
      <c r="B54" s="17"/>
      <c r="C54" s="3"/>
      <c r="D54" s="759"/>
      <c r="E54" s="760"/>
      <c r="F54" s="760"/>
      <c r="G54" s="760"/>
      <c r="H54" s="760"/>
      <c r="I54" s="760"/>
      <c r="J54" s="760"/>
      <c r="K54" s="760"/>
      <c r="L54" s="760"/>
      <c r="M54" s="761"/>
      <c r="N54" s="3"/>
      <c r="O54" s="3"/>
      <c r="P54" s="3"/>
      <c r="Q54" s="3"/>
      <c r="R54" s="3"/>
      <c r="S54" s="3"/>
      <c r="T54" s="3"/>
      <c r="U54" s="3"/>
    </row>
    <row r="55" spans="1:21">
      <c r="A55" s="3"/>
      <c r="B55" s="17" t="s">
        <v>791</v>
      </c>
      <c r="C55" s="3"/>
      <c r="D55" s="759"/>
      <c r="E55" s="760"/>
      <c r="F55" s="760"/>
      <c r="G55" s="760"/>
      <c r="H55" s="760"/>
      <c r="I55" s="760"/>
      <c r="J55" s="760"/>
      <c r="K55" s="760"/>
      <c r="L55" s="760"/>
      <c r="M55" s="761"/>
      <c r="N55" s="3"/>
      <c r="O55" s="3"/>
      <c r="P55" s="3"/>
      <c r="Q55" s="3"/>
      <c r="R55" s="3"/>
      <c r="S55" s="3"/>
      <c r="T55" s="3"/>
      <c r="U55" s="3"/>
    </row>
    <row r="56" spans="1:21">
      <c r="A56" s="3"/>
      <c r="B56" s="17"/>
      <c r="C56" s="3"/>
      <c r="D56" s="759"/>
      <c r="E56" s="760"/>
      <c r="F56" s="760"/>
      <c r="G56" s="760"/>
      <c r="H56" s="760"/>
      <c r="I56" s="760"/>
      <c r="J56" s="760"/>
      <c r="K56" s="760"/>
      <c r="L56" s="760"/>
      <c r="M56" s="761"/>
      <c r="N56" s="3"/>
      <c r="O56" s="3"/>
      <c r="P56" s="3"/>
      <c r="Q56" s="3"/>
      <c r="R56" s="3"/>
      <c r="S56" s="3"/>
      <c r="T56" s="3"/>
      <c r="U56" s="3"/>
    </row>
    <row r="57" spans="1:21">
      <c r="A57" s="3"/>
      <c r="B57" s="17"/>
      <c r="C57" s="3"/>
      <c r="D57" s="759"/>
      <c r="E57" s="760"/>
      <c r="F57" s="760"/>
      <c r="G57" s="760"/>
      <c r="H57" s="760"/>
      <c r="I57" s="760"/>
      <c r="J57" s="760"/>
      <c r="K57" s="760"/>
      <c r="L57" s="760"/>
      <c r="M57" s="761"/>
      <c r="N57" s="3"/>
      <c r="O57" s="3"/>
      <c r="P57" s="3"/>
      <c r="Q57" s="3"/>
      <c r="R57" s="3"/>
      <c r="S57" s="3"/>
      <c r="T57" s="3"/>
      <c r="U57" s="3"/>
    </row>
    <row r="58" spans="1:21" ht="13">
      <c r="A58" s="3"/>
      <c r="B58" s="17"/>
      <c r="C58" s="883" t="s">
        <v>596</v>
      </c>
      <c r="D58" s="759"/>
      <c r="E58" s="760"/>
      <c r="F58" s="760"/>
      <c r="G58" s="760"/>
      <c r="H58" s="760"/>
      <c r="I58" s="760"/>
      <c r="J58" s="760"/>
      <c r="K58" s="760"/>
      <c r="L58" s="760"/>
      <c r="M58" s="761"/>
      <c r="N58" s="3"/>
      <c r="O58" s="3"/>
      <c r="P58" s="3"/>
      <c r="Q58" s="3"/>
      <c r="R58" s="3"/>
      <c r="S58" s="3"/>
      <c r="T58" s="3"/>
      <c r="U58" s="3"/>
    </row>
    <row r="59" spans="1:21" ht="13">
      <c r="A59" s="3"/>
      <c r="B59" s="17"/>
      <c r="C59" s="883" t="s">
        <v>731</v>
      </c>
      <c r="D59" s="759"/>
      <c r="E59" s="760"/>
      <c r="F59" s="760"/>
      <c r="G59" s="760"/>
      <c r="H59" s="760"/>
      <c r="I59" s="760"/>
      <c r="J59" s="760"/>
      <c r="K59" s="760"/>
      <c r="L59" s="762"/>
      <c r="M59" s="761"/>
      <c r="N59" s="3"/>
      <c r="O59" s="3"/>
      <c r="P59" s="3"/>
      <c r="Q59" s="3"/>
      <c r="R59" s="3"/>
      <c r="S59" s="3"/>
      <c r="T59" s="3"/>
      <c r="U59" s="3"/>
    </row>
    <row r="60" spans="1:21" ht="13">
      <c r="A60" s="3"/>
      <c r="B60" s="17"/>
      <c r="C60" s="883" t="s">
        <v>732</v>
      </c>
      <c r="D60" s="759"/>
      <c r="E60" s="760"/>
      <c r="F60" s="760"/>
      <c r="G60" s="760"/>
      <c r="H60" s="760"/>
      <c r="I60" s="760"/>
      <c r="J60" s="760"/>
      <c r="K60" s="760"/>
      <c r="L60" s="760"/>
      <c r="M60" s="761"/>
      <c r="N60" s="3"/>
      <c r="O60" s="3"/>
      <c r="P60" s="3"/>
      <c r="Q60" s="3"/>
      <c r="R60" s="3"/>
      <c r="S60" s="3"/>
      <c r="T60" s="3"/>
      <c r="U60" s="3"/>
    </row>
    <row r="61" spans="1:21" ht="13" thickBot="1">
      <c r="A61" s="3"/>
      <c r="B61" s="17"/>
      <c r="C61" s="3"/>
      <c r="D61" s="797"/>
      <c r="E61" s="763"/>
      <c r="F61" s="763"/>
      <c r="G61" s="763"/>
      <c r="H61" s="763"/>
      <c r="I61" s="763"/>
      <c r="J61" s="763"/>
      <c r="K61" s="763"/>
      <c r="L61" s="763"/>
      <c r="M61" s="764"/>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65" t="s">
        <v>555</v>
      </c>
      <c r="B63" s="872">
        <v>13</v>
      </c>
      <c r="C63" s="766">
        <f>INDEX(D65:D78,B63,1)</f>
        <v>35785.99999999781</v>
      </c>
      <c r="D63" s="767" t="s">
        <v>556</v>
      </c>
      <c r="E63" s="3"/>
      <c r="F63" s="811" t="s">
        <v>2</v>
      </c>
      <c r="G63" s="806">
        <v>5</v>
      </c>
      <c r="H63" s="94" t="s">
        <v>4</v>
      </c>
      <c r="I63" s="812" t="s">
        <v>602</v>
      </c>
      <c r="J63" s="3"/>
      <c r="K63" s="844">
        <f>B90*(((((C63+B90)^2/B90^2)-(COS(G63/57.2958))^2)^0.5)-SIN(G63/57.2958))</f>
        <v>41126.753187550428</v>
      </c>
      <c r="L63" s="222" t="s">
        <v>796</v>
      </c>
      <c r="M63" s="3"/>
      <c r="N63" s="3"/>
      <c r="O63" s="3"/>
      <c r="P63" s="3"/>
      <c r="Q63" s="3"/>
      <c r="R63" s="3"/>
      <c r="S63" s="3"/>
      <c r="T63" s="3"/>
      <c r="U63" s="3"/>
    </row>
    <row r="64" spans="1:21" ht="13">
      <c r="A64" s="809" t="s">
        <v>557</v>
      </c>
      <c r="B64" s="809" t="s">
        <v>558</v>
      </c>
      <c r="C64" s="809" t="s">
        <v>559</v>
      </c>
      <c r="D64" s="809" t="s">
        <v>560</v>
      </c>
      <c r="E64" s="810" t="s">
        <v>561</v>
      </c>
      <c r="F64" s="3"/>
      <c r="G64" s="810" t="s">
        <v>562</v>
      </c>
      <c r="H64" s="3"/>
      <c r="I64" s="3"/>
      <c r="J64" s="3"/>
      <c r="K64" s="3"/>
      <c r="L64" s="3"/>
      <c r="M64" s="3"/>
      <c r="N64" s="3"/>
      <c r="O64" s="3"/>
      <c r="P64" s="3"/>
      <c r="Q64" s="3"/>
      <c r="R64" s="3"/>
      <c r="S64" s="3"/>
      <c r="T64" s="3"/>
      <c r="U64" s="3"/>
    </row>
    <row r="65" spans="1:21">
      <c r="A65" s="215">
        <v>1</v>
      </c>
      <c r="B65" s="768">
        <f>(B45*(1-(B46)^2))/(1+B46*COS(C65/57.29578))</f>
        <v>6878.1370000000024</v>
      </c>
      <c r="C65" s="769">
        <v>0</v>
      </c>
      <c r="D65" s="770">
        <f>B65-B42</f>
        <v>500.00000000000273</v>
      </c>
      <c r="E65" s="64">
        <f t="shared" ref="E65:E75" si="0">180-C65</f>
        <v>180</v>
      </c>
      <c r="F65" s="23" t="s">
        <v>12</v>
      </c>
      <c r="G65" s="771">
        <v>35</v>
      </c>
      <c r="H65" s="23" t="s">
        <v>791</v>
      </c>
      <c r="I65" s="23"/>
      <c r="J65" s="23"/>
      <c r="K65" s="23"/>
      <c r="L65" s="23"/>
      <c r="M65" s="23"/>
      <c r="N65" s="3"/>
      <c r="O65" s="3"/>
      <c r="P65" s="3"/>
      <c r="Q65" s="3"/>
      <c r="R65" s="3"/>
      <c r="S65" s="3"/>
      <c r="T65" s="3"/>
      <c r="U65" s="3"/>
    </row>
    <row r="66" spans="1:21" ht="13" thickBot="1">
      <c r="A66" s="215">
        <v>2</v>
      </c>
      <c r="B66" s="768">
        <f>(B45*(1-(B46)^2))/(1+B46*COS(C66/57.29578))</f>
        <v>6977.6230175021201</v>
      </c>
      <c r="C66" s="215">
        <v>15</v>
      </c>
      <c r="D66" s="770">
        <f>B66-B42</f>
        <v>599.48601750212038</v>
      </c>
      <c r="E66" s="64">
        <f t="shared" si="0"/>
        <v>165</v>
      </c>
      <c r="F66" s="23" t="s">
        <v>12</v>
      </c>
      <c r="G66" s="771">
        <v>35</v>
      </c>
      <c r="H66" s="23"/>
      <c r="I66" s="23"/>
      <c r="J66" s="23"/>
      <c r="K66" s="23"/>
      <c r="L66" s="23"/>
      <c r="M66" s="23"/>
      <c r="N66" s="3"/>
      <c r="O66" s="3"/>
      <c r="P66" s="3"/>
      <c r="Q66" s="3"/>
      <c r="R66" s="3"/>
      <c r="S66" s="3"/>
      <c r="T66" s="3"/>
      <c r="U66" s="3"/>
    </row>
    <row r="67" spans="1:21" ht="13" thickBot="1">
      <c r="A67" s="215">
        <v>3</v>
      </c>
      <c r="B67" s="768">
        <f>(B45*(1-(B46)^2))/(1+B46*COS(C67/57.29578))</f>
        <v>7286.6237888209216</v>
      </c>
      <c r="C67" s="215">
        <v>30</v>
      </c>
      <c r="D67" s="770">
        <f>B67-B42</f>
        <v>908.4867888209219</v>
      </c>
      <c r="E67" s="64">
        <f t="shared" si="0"/>
        <v>150</v>
      </c>
      <c r="F67" s="23" t="s">
        <v>12</v>
      </c>
      <c r="G67" s="771">
        <v>35</v>
      </c>
      <c r="H67" s="772"/>
      <c r="I67" s="773" t="s">
        <v>478</v>
      </c>
      <c r="J67" s="773"/>
      <c r="K67" s="773"/>
      <c r="L67" s="774"/>
      <c r="M67" s="23"/>
      <c r="N67" s="3"/>
      <c r="O67" s="3"/>
      <c r="P67" s="3"/>
      <c r="Q67" s="3"/>
      <c r="R67" s="3"/>
      <c r="S67" s="3"/>
      <c r="T67" s="3"/>
      <c r="U67" s="3"/>
    </row>
    <row r="68" spans="1:21" ht="13" thickBot="1">
      <c r="A68" s="215">
        <v>4</v>
      </c>
      <c r="B68" s="768">
        <f>(B45*(1-(B46)^2))/(1+B46*COS(C68/57.29578))</f>
        <v>7838.8429783306747</v>
      </c>
      <c r="C68" s="215">
        <v>45</v>
      </c>
      <c r="D68" s="770">
        <f>B68-B42</f>
        <v>1460.705978330675</v>
      </c>
      <c r="E68" s="64">
        <f t="shared" si="0"/>
        <v>135</v>
      </c>
      <c r="F68" s="23" t="s">
        <v>12</v>
      </c>
      <c r="G68" s="771">
        <v>35</v>
      </c>
      <c r="H68" s="886" t="s">
        <v>954</v>
      </c>
      <c r="I68" s="24"/>
      <c r="J68" s="394"/>
      <c r="K68" s="775">
        <f>2*((ASIN(B42/(B42+C63)))*57.2958)</f>
        <v>17.400982397943942</v>
      </c>
      <c r="L68" s="889" t="s">
        <v>4</v>
      </c>
      <c r="M68" s="23"/>
      <c r="N68" s="3"/>
      <c r="O68" s="3"/>
      <c r="P68" s="3"/>
      <c r="Q68" s="3"/>
      <c r="R68" s="3"/>
      <c r="S68" s="3"/>
      <c r="T68" s="3"/>
      <c r="U68" s="3"/>
    </row>
    <row r="69" spans="1:21" ht="13" thickBot="1">
      <c r="A69" s="215">
        <v>5</v>
      </c>
      <c r="B69" s="768">
        <f>(B45*(1-(B46)^2))/(1+B46*COS(C69/57.29578))</f>
        <v>8697.8936186138471</v>
      </c>
      <c r="C69" s="215">
        <v>60</v>
      </c>
      <c r="D69" s="770">
        <f>B69-B42</f>
        <v>2319.7566186138474</v>
      </c>
      <c r="E69" s="64">
        <f t="shared" si="0"/>
        <v>120</v>
      </c>
      <c r="F69" s="23" t="s">
        <v>12</v>
      </c>
      <c r="G69" s="771">
        <v>35</v>
      </c>
      <c r="H69" s="887" t="s">
        <v>955</v>
      </c>
      <c r="I69" s="24"/>
      <c r="J69" s="394"/>
      <c r="K69" s="888">
        <v>10</v>
      </c>
      <c r="L69" s="890" t="s">
        <v>4</v>
      </c>
      <c r="M69" s="23"/>
      <c r="N69" s="3"/>
      <c r="O69" s="3"/>
      <c r="P69" s="3"/>
      <c r="Q69" s="3"/>
      <c r="R69" s="3"/>
      <c r="S69" s="3"/>
      <c r="T69" s="3"/>
      <c r="U69" s="3"/>
    </row>
    <row r="70" spans="1:21" ht="13" thickBot="1">
      <c r="A70" s="215">
        <v>6</v>
      </c>
      <c r="B70" s="768">
        <f>(B45*(1-(B46)^2))/(1+B46*COS(C70/57.29578))</f>
        <v>9970.292881925574</v>
      </c>
      <c r="C70" s="215">
        <v>75</v>
      </c>
      <c r="D70" s="770">
        <f>B70-B42</f>
        <v>3592.1558819255742</v>
      </c>
      <c r="E70" s="64">
        <f t="shared" si="0"/>
        <v>105</v>
      </c>
      <c r="F70" s="23" t="s">
        <v>12</v>
      </c>
      <c r="G70" s="771">
        <v>35</v>
      </c>
      <c r="H70" s="250" t="s">
        <v>563</v>
      </c>
      <c r="I70" s="24"/>
      <c r="J70" s="394"/>
      <c r="K70" s="775">
        <f>K68/2+K69</f>
        <v>18.700491198971971</v>
      </c>
      <c r="L70" s="889" t="s">
        <v>4</v>
      </c>
      <c r="M70" s="23"/>
      <c r="N70" s="3"/>
      <c r="O70" s="3"/>
      <c r="P70" s="3"/>
      <c r="Q70" s="3"/>
      <c r="R70" s="3"/>
      <c r="S70" s="3"/>
      <c r="T70" s="3"/>
      <c r="U70" s="3"/>
    </row>
    <row r="71" spans="1:21" ht="13" thickBot="1">
      <c r="A71" s="215">
        <v>7</v>
      </c>
      <c r="B71" s="768">
        <f>(B45*(1-(B46)^2))/(1+B46*COS(C71/57.29578))</f>
        <v>11826.968218777867</v>
      </c>
      <c r="C71" s="215">
        <v>90</v>
      </c>
      <c r="D71" s="770">
        <f>B71-B42</f>
        <v>5448.8312187778674</v>
      </c>
      <c r="E71" s="64">
        <f t="shared" si="0"/>
        <v>90</v>
      </c>
      <c r="F71" s="23" t="s">
        <v>12</v>
      </c>
      <c r="G71" s="771">
        <v>35</v>
      </c>
      <c r="H71" s="250" t="s">
        <v>564</v>
      </c>
      <c r="I71" s="24"/>
      <c r="J71" s="394"/>
      <c r="K71" s="777">
        <f>'Antenna Pointing Losses'!K63</f>
        <v>0</v>
      </c>
      <c r="L71" s="776" t="s">
        <v>833</v>
      </c>
      <c r="M71" s="23"/>
      <c r="N71" s="3"/>
      <c r="O71" s="3"/>
      <c r="P71" s="3"/>
      <c r="Q71" s="3"/>
      <c r="R71" s="3"/>
      <c r="S71" s="3"/>
      <c r="T71" s="3"/>
      <c r="U71" s="3"/>
    </row>
    <row r="72" spans="1:21" ht="13" thickBot="1">
      <c r="A72" s="215">
        <v>8</v>
      </c>
      <c r="B72" s="768">
        <f>(B45*(1-(B46)^2))/(1+B46*COS(C72/57.29578))</f>
        <v>14533.386185165687</v>
      </c>
      <c r="C72" s="215">
        <v>105</v>
      </c>
      <c r="D72" s="770">
        <f>B72-B42</f>
        <v>8155.2491851656878</v>
      </c>
      <c r="E72" s="64">
        <f t="shared" si="0"/>
        <v>75</v>
      </c>
      <c r="F72" s="23" t="s">
        <v>12</v>
      </c>
      <c r="G72" s="771">
        <v>35</v>
      </c>
      <c r="H72" s="250" t="s">
        <v>565</v>
      </c>
      <c r="I72" s="24"/>
      <c r="J72" s="394"/>
      <c r="K72" s="777">
        <f>'Antenna Pointing Losses'!K85</f>
        <v>0</v>
      </c>
      <c r="L72" s="776" t="s">
        <v>833</v>
      </c>
      <c r="M72" s="23"/>
      <c r="N72" s="3"/>
      <c r="O72" s="3"/>
      <c r="P72" s="3"/>
      <c r="Q72" s="3"/>
      <c r="R72" s="3"/>
      <c r="S72" s="3"/>
      <c r="T72" s="3"/>
      <c r="U72" s="3"/>
    </row>
    <row r="73" spans="1:21" ht="13" thickBot="1">
      <c r="A73" s="215">
        <v>9</v>
      </c>
      <c r="B73" s="768">
        <f>(B45*(1-(B46)^2))/(1+B46*COS(C73/57.29578))</f>
        <v>18472.446576256712</v>
      </c>
      <c r="C73" s="215">
        <v>120</v>
      </c>
      <c r="D73" s="770">
        <f>B73-B42</f>
        <v>12094.309576256714</v>
      </c>
      <c r="E73" s="64">
        <f t="shared" si="0"/>
        <v>60</v>
      </c>
      <c r="F73" s="23" t="s">
        <v>12</v>
      </c>
      <c r="G73" s="771">
        <v>35</v>
      </c>
      <c r="H73" s="250" t="s">
        <v>477</v>
      </c>
      <c r="I73" s="24"/>
      <c r="J73" s="394"/>
      <c r="K73" s="775">
        <f>'Downlink Budget'!B30</f>
        <v>13.322631647375097</v>
      </c>
      <c r="L73" s="776" t="s">
        <v>833</v>
      </c>
      <c r="M73" s="23"/>
      <c r="N73" s="3"/>
      <c r="O73" s="3"/>
      <c r="P73" s="3"/>
      <c r="Q73" s="3"/>
      <c r="R73" s="3"/>
      <c r="S73" s="3"/>
      <c r="T73" s="3"/>
      <c r="U73" s="3"/>
    </row>
    <row r="74" spans="1:21" ht="13" thickBot="1">
      <c r="A74" s="215">
        <v>10</v>
      </c>
      <c r="B74" s="768">
        <f>(B45*(1-(B46)^2))/(1+B46*COS(C74/57.29578))</f>
        <v>24075.965611934313</v>
      </c>
      <c r="C74" s="215">
        <v>135</v>
      </c>
      <c r="D74" s="770">
        <f>B74-B42</f>
        <v>17697.828611934314</v>
      </c>
      <c r="E74" s="64">
        <f t="shared" si="0"/>
        <v>45</v>
      </c>
      <c r="F74" s="23" t="s">
        <v>12</v>
      </c>
      <c r="G74" s="771">
        <v>40</v>
      </c>
      <c r="H74" s="620" t="s">
        <v>956</v>
      </c>
      <c r="I74" s="127"/>
      <c r="J74" s="292"/>
      <c r="K74" s="891">
        <f>'Uplink Budget'!B30</f>
        <v>22.28026481548126</v>
      </c>
      <c r="L74" s="778" t="s">
        <v>833</v>
      </c>
      <c r="M74" s="23"/>
      <c r="N74" s="3"/>
      <c r="O74" s="3"/>
      <c r="P74" s="3"/>
      <c r="Q74" s="3"/>
      <c r="R74" s="3"/>
      <c r="S74" s="3"/>
      <c r="T74" s="3"/>
      <c r="U74" s="3"/>
    </row>
    <row r="75" spans="1:21">
      <c r="A75" s="215">
        <v>11</v>
      </c>
      <c r="B75" s="768">
        <f>(B45*(1-(B46)^2))/(1+B46*COS(C75/57.29578))</f>
        <v>31380.154349772623</v>
      </c>
      <c r="C75" s="215">
        <v>150</v>
      </c>
      <c r="D75" s="770">
        <f>B75-B42</f>
        <v>25002.017349772625</v>
      </c>
      <c r="E75" s="64">
        <f t="shared" si="0"/>
        <v>30</v>
      </c>
      <c r="F75" s="23" t="s">
        <v>12</v>
      </c>
      <c r="G75" s="771">
        <v>50</v>
      </c>
      <c r="H75" s="23"/>
      <c r="I75" s="23"/>
      <c r="J75" s="23"/>
      <c r="K75" s="23"/>
      <c r="L75" s="23"/>
      <c r="M75" s="23"/>
      <c r="N75" s="3"/>
      <c r="O75" s="3"/>
      <c r="P75" s="3"/>
      <c r="Q75" s="3"/>
      <c r="R75" s="3"/>
      <c r="S75" s="3"/>
      <c r="T75" s="3"/>
      <c r="U75" s="3"/>
    </row>
    <row r="76" spans="1:21">
      <c r="A76" s="215">
        <v>12</v>
      </c>
      <c r="B76" s="768">
        <f>(B45*(1-(B46)^2))/(1+B46*COS(C76/57.29578))</f>
        <v>38775.073861854115</v>
      </c>
      <c r="C76" s="215">
        <v>165</v>
      </c>
      <c r="D76" s="770">
        <f>B76-B42</f>
        <v>32396.936861854116</v>
      </c>
      <c r="E76" s="64">
        <f>180-C76</f>
        <v>15</v>
      </c>
      <c r="F76" s="23" t="s">
        <v>12</v>
      </c>
      <c r="G76" s="771">
        <v>90</v>
      </c>
      <c r="H76" s="23"/>
      <c r="I76" s="23"/>
      <c r="J76" s="23"/>
      <c r="K76" s="23"/>
      <c r="L76" s="23"/>
      <c r="M76" s="23"/>
      <c r="N76" s="3"/>
      <c r="O76" s="3"/>
      <c r="P76" s="3"/>
      <c r="Q76" s="3"/>
      <c r="R76" s="3"/>
      <c r="S76" s="3"/>
      <c r="T76" s="3"/>
      <c r="U76" s="3"/>
    </row>
    <row r="77" spans="1:21">
      <c r="A77" s="215">
        <v>13</v>
      </c>
      <c r="B77" s="768">
        <f>(B45*(1-(B46)^2))/(1+B46*COS(C77/57.29578))</f>
        <v>42164.136999997812</v>
      </c>
      <c r="C77" s="769">
        <v>179.99999</v>
      </c>
      <c r="D77" s="770">
        <f>B77-B42</f>
        <v>35785.99999999781</v>
      </c>
      <c r="E77" s="64">
        <f>180-C77</f>
        <v>1.0000000003174137E-5</v>
      </c>
      <c r="F77" s="23" t="s">
        <v>12</v>
      </c>
      <c r="G77" s="771">
        <v>170</v>
      </c>
      <c r="H77" s="23"/>
      <c r="I77" s="23"/>
      <c r="J77" s="23"/>
      <c r="K77" s="23"/>
      <c r="L77" s="23"/>
      <c r="M77" s="23"/>
      <c r="N77" s="3"/>
      <c r="O77" s="3"/>
      <c r="P77" s="3"/>
      <c r="Q77" s="3"/>
      <c r="R77" s="3"/>
      <c r="S77" s="3"/>
      <c r="T77" s="3"/>
      <c r="U77" s="3"/>
    </row>
    <row r="78" spans="1:21">
      <c r="A78" s="779">
        <v>14</v>
      </c>
      <c r="B78" s="780">
        <f>(B45*(1-(B46)^2))/(1+B46*COS(C78/57.29578))</f>
        <v>41756.554391673679</v>
      </c>
      <c r="C78" s="781">
        <v>175</v>
      </c>
      <c r="D78" s="782">
        <f>B78-B42</f>
        <v>35378.417391673676</v>
      </c>
      <c r="E78" s="783">
        <f>180-C78</f>
        <v>5</v>
      </c>
      <c r="F78" s="609" t="s">
        <v>12</v>
      </c>
      <c r="G78" s="784">
        <v>160</v>
      </c>
      <c r="H78" s="609"/>
      <c r="I78" s="785" t="s">
        <v>566</v>
      </c>
      <c r="J78" s="609"/>
      <c r="K78" s="609"/>
      <c r="L78" s="609"/>
      <c r="M78" s="367"/>
      <c r="N78" s="3"/>
      <c r="O78" s="3"/>
      <c r="P78" s="3"/>
      <c r="Q78" s="3"/>
      <c r="R78" s="3"/>
      <c r="S78" s="3"/>
      <c r="T78" s="3"/>
      <c r="U78" s="3"/>
    </row>
    <row r="79" spans="1:21">
      <c r="A79" s="3"/>
      <c r="B79" s="3" t="s">
        <v>791</v>
      </c>
      <c r="C79" s="3"/>
      <c r="D79" s="3"/>
      <c r="E79" s="3" t="s">
        <v>791</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68" t="s">
        <v>593</v>
      </c>
      <c r="B85" s="23"/>
      <c r="C85" s="23"/>
      <c r="D85" s="849"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583</v>
      </c>
      <c r="B87" s="3"/>
      <c r="C87" s="3"/>
      <c r="D87" s="3"/>
      <c r="E87" s="3"/>
      <c r="F87" s="3"/>
      <c r="G87" s="3"/>
      <c r="H87" s="3"/>
      <c r="I87" s="3"/>
      <c r="J87" s="3"/>
      <c r="K87" s="3"/>
      <c r="L87" s="3"/>
      <c r="M87" s="3"/>
      <c r="N87" s="3"/>
      <c r="O87" s="3"/>
      <c r="P87" s="3"/>
      <c r="Q87" s="3"/>
      <c r="R87" s="3"/>
      <c r="S87" s="3"/>
      <c r="T87" s="3"/>
      <c r="U87" s="3"/>
    </row>
    <row r="88" spans="1:21" ht="13">
      <c r="A88" s="789" t="s">
        <v>792</v>
      </c>
      <c r="B88" s="790" t="s">
        <v>793</v>
      </c>
      <c r="C88" s="789" t="s">
        <v>794</v>
      </c>
      <c r="D88" s="796" t="s">
        <v>570</v>
      </c>
      <c r="E88" s="3"/>
      <c r="F88" s="3"/>
      <c r="G88" s="3"/>
      <c r="H88" s="3"/>
      <c r="I88" s="3"/>
      <c r="J88" s="3"/>
      <c r="K88" s="3"/>
      <c r="L88" s="3"/>
      <c r="M88" s="3"/>
      <c r="N88" s="3"/>
      <c r="O88" s="3"/>
      <c r="P88" s="3"/>
      <c r="Q88" s="3"/>
      <c r="R88" s="3"/>
      <c r="S88" s="3"/>
      <c r="T88" s="3"/>
      <c r="U88" s="3"/>
    </row>
    <row r="89" spans="1:21" ht="17.25" customHeight="1">
      <c r="A89" s="791" t="s">
        <v>575</v>
      </c>
      <c r="B89" s="792">
        <f>B91-B90</f>
        <v>35786.018697888401</v>
      </c>
      <c r="C89" s="791" t="s">
        <v>796</v>
      </c>
      <c r="D89" s="795" t="s">
        <v>576</v>
      </c>
      <c r="E89" s="3"/>
      <c r="F89" s="3"/>
      <c r="G89" s="3"/>
      <c r="H89" s="3"/>
      <c r="I89" s="3"/>
      <c r="J89" s="3"/>
      <c r="K89" s="3"/>
      <c r="L89" s="3"/>
      <c r="M89" s="3"/>
      <c r="N89" s="3"/>
      <c r="O89" s="3"/>
      <c r="P89" s="3"/>
      <c r="Q89" s="3"/>
      <c r="R89" s="3"/>
      <c r="S89" s="3"/>
      <c r="T89" s="3"/>
      <c r="U89" s="3"/>
    </row>
    <row r="90" spans="1:21">
      <c r="A90" s="791" t="s">
        <v>577</v>
      </c>
      <c r="B90" s="792">
        <v>6378.1369999999997</v>
      </c>
      <c r="C90" s="791" t="s">
        <v>796</v>
      </c>
      <c r="D90" s="793"/>
      <c r="E90" s="3"/>
      <c r="F90" s="3"/>
      <c r="G90" s="3"/>
      <c r="H90" s="3"/>
      <c r="I90" s="3"/>
      <c r="J90" s="3"/>
      <c r="K90" s="3"/>
      <c r="L90" s="3"/>
      <c r="M90" s="3"/>
      <c r="N90" s="3"/>
      <c r="O90" s="3"/>
      <c r="P90" s="3"/>
      <c r="Q90" s="3"/>
      <c r="R90" s="3"/>
      <c r="S90" s="3"/>
      <c r="T90" s="3"/>
      <c r="U90" s="3"/>
    </row>
    <row r="91" spans="1:21">
      <c r="A91" s="791" t="s">
        <v>578</v>
      </c>
      <c r="B91" s="792">
        <f>(398600000000000*(86400*(365.25/366.25)/(2*PI()))^2)^(1/3)/1000</f>
        <v>42164.155697888404</v>
      </c>
      <c r="C91" s="791" t="s">
        <v>796</v>
      </c>
      <c r="D91" s="550" t="s">
        <v>579</v>
      </c>
      <c r="E91" s="3"/>
      <c r="F91" s="3"/>
      <c r="G91" s="3"/>
      <c r="H91" s="3"/>
      <c r="I91" s="3"/>
      <c r="J91" s="3"/>
      <c r="K91" s="3"/>
      <c r="L91" s="3"/>
      <c r="M91" s="3"/>
      <c r="N91" s="3"/>
      <c r="O91" s="3"/>
      <c r="P91" s="3"/>
      <c r="Q91" s="3"/>
      <c r="R91" s="3"/>
      <c r="S91" s="3"/>
      <c r="T91" s="3"/>
      <c r="U91" s="3"/>
    </row>
    <row r="92" spans="1:21">
      <c r="A92" s="791" t="s">
        <v>580</v>
      </c>
      <c r="B92" s="792">
        <v>37410</v>
      </c>
      <c r="C92" s="101" t="s">
        <v>796</v>
      </c>
      <c r="D92" s="101" t="s">
        <v>584</v>
      </c>
      <c r="E92" s="3"/>
      <c r="F92" s="3"/>
      <c r="G92" s="3"/>
      <c r="H92" s="3"/>
      <c r="I92" s="3"/>
      <c r="J92" s="3"/>
      <c r="K92" s="3"/>
      <c r="L92" s="3"/>
      <c r="M92" s="3"/>
      <c r="N92" s="3"/>
      <c r="O92" s="3"/>
      <c r="P92" s="3"/>
      <c r="Q92" s="3"/>
      <c r="R92" s="3"/>
      <c r="S92" s="3"/>
      <c r="T92" s="3"/>
      <c r="U92" s="3"/>
    </row>
    <row r="93" spans="1:21">
      <c r="A93" s="791" t="s">
        <v>581</v>
      </c>
      <c r="B93" s="798">
        <v>35786.019</v>
      </c>
      <c r="C93" s="791" t="s">
        <v>796</v>
      </c>
      <c r="D93" s="101" t="s">
        <v>585</v>
      </c>
      <c r="E93" s="3"/>
      <c r="F93" s="3"/>
      <c r="G93" s="3"/>
      <c r="H93" s="3"/>
      <c r="I93" s="3"/>
      <c r="J93" s="3"/>
      <c r="K93" s="3"/>
      <c r="L93" s="3"/>
      <c r="M93" s="3"/>
      <c r="N93" s="3"/>
      <c r="O93" s="3"/>
      <c r="P93" s="3"/>
      <c r="Q93" s="3"/>
      <c r="R93" s="3"/>
      <c r="S93" s="3"/>
      <c r="T93" s="3"/>
      <c r="U93" s="3"/>
    </row>
    <row r="94" spans="1:21">
      <c r="A94" s="791" t="s">
        <v>582</v>
      </c>
      <c r="B94" s="798">
        <v>41678.957000000002</v>
      </c>
      <c r="C94" s="791" t="s">
        <v>796</v>
      </c>
      <c r="D94" s="101" t="s">
        <v>594</v>
      </c>
      <c r="E94" s="3"/>
      <c r="F94" s="3"/>
      <c r="G94" s="3"/>
      <c r="H94" s="3"/>
      <c r="I94" s="3"/>
      <c r="J94" s="3"/>
      <c r="K94" s="3"/>
      <c r="L94" s="3"/>
      <c r="M94" s="3"/>
      <c r="N94" s="3"/>
      <c r="O94" s="3"/>
      <c r="P94" s="3"/>
      <c r="Q94" s="3"/>
      <c r="R94" s="3"/>
      <c r="S94" s="3"/>
      <c r="T94" s="3"/>
      <c r="U94" s="3"/>
    </row>
    <row r="95" spans="1:21" ht="13.5" thickBot="1">
      <c r="A95" s="101" t="s">
        <v>791</v>
      </c>
      <c r="B95" s="794" t="s">
        <v>791</v>
      </c>
      <c r="C95" s="101" t="s">
        <v>791</v>
      </c>
      <c r="D95" s="101"/>
      <c r="E95" s="3"/>
      <c r="F95" s="3"/>
      <c r="G95" s="3"/>
      <c r="H95" s="3"/>
      <c r="I95" s="3"/>
      <c r="J95" s="3"/>
      <c r="K95" s="3"/>
      <c r="L95" s="3"/>
      <c r="M95" s="3"/>
      <c r="N95" s="3"/>
      <c r="O95" s="864" t="s">
        <v>28</v>
      </c>
      <c r="P95" s="3"/>
      <c r="Q95" s="3"/>
      <c r="R95" s="3"/>
      <c r="S95" s="3"/>
      <c r="T95" s="3"/>
      <c r="U95" s="3"/>
    </row>
    <row r="96" spans="1:21" ht="13.5" thickBot="1">
      <c r="A96" s="101" t="s">
        <v>791</v>
      </c>
      <c r="B96" s="820" t="s">
        <v>119</v>
      </c>
      <c r="C96" s="101"/>
      <c r="D96" s="101"/>
      <c r="E96" s="3"/>
      <c r="F96" s="3"/>
      <c r="G96" s="821" t="s">
        <v>346</v>
      </c>
      <c r="H96" s="3"/>
      <c r="I96" s="3"/>
      <c r="J96" s="3"/>
      <c r="K96" s="3"/>
      <c r="L96" s="3"/>
      <c r="M96" s="820" t="s">
        <v>122</v>
      </c>
      <c r="N96" s="101"/>
      <c r="O96" s="822" t="s">
        <v>140</v>
      </c>
      <c r="P96" s="3"/>
      <c r="Q96" s="3"/>
      <c r="R96" s="3"/>
      <c r="S96" s="3"/>
      <c r="T96" s="3"/>
      <c r="U96" s="3"/>
    </row>
    <row r="97" spans="1:21" ht="13.5" thickBot="1">
      <c r="A97" s="3"/>
      <c r="B97" s="864" t="s">
        <v>574</v>
      </c>
      <c r="C97" s="3"/>
      <c r="D97" s="3"/>
      <c r="E97" s="3"/>
      <c r="F97" s="3"/>
      <c r="G97" s="3"/>
      <c r="H97" s="3"/>
      <c r="I97" s="3"/>
      <c r="J97" s="3"/>
      <c r="K97" s="3"/>
      <c r="L97" s="3"/>
      <c r="M97" s="3"/>
      <c r="N97" s="3"/>
      <c r="O97" s="864" t="s">
        <v>791</v>
      </c>
      <c r="P97" s="3"/>
      <c r="Q97" s="3"/>
      <c r="R97" s="3"/>
      <c r="S97" s="3"/>
      <c r="T97" s="3"/>
      <c r="U97" s="3"/>
    </row>
    <row r="98" spans="1:21" ht="13" thickBot="1">
      <c r="A98" s="3" t="s">
        <v>588</v>
      </c>
      <c r="B98" s="850">
        <v>19.062200000000001</v>
      </c>
      <c r="C98" s="3" t="s">
        <v>4</v>
      </c>
      <c r="D98" s="26" t="s">
        <v>590</v>
      </c>
      <c r="E98" s="3"/>
      <c r="F98" s="3"/>
      <c r="G98" s="3"/>
      <c r="H98" s="3"/>
      <c r="I98" s="3"/>
      <c r="J98" s="3"/>
      <c r="K98" s="3"/>
      <c r="L98" s="3"/>
      <c r="M98" s="846" t="s">
        <v>588</v>
      </c>
      <c r="N98" s="3"/>
      <c r="O98" s="850">
        <v>17.429200000000002</v>
      </c>
      <c r="P98" s="3" t="s">
        <v>4</v>
      </c>
      <c r="Q98" s="3"/>
      <c r="R98" s="3"/>
      <c r="S98" s="3"/>
      <c r="T98" s="3"/>
      <c r="U98" s="3"/>
    </row>
    <row r="99" spans="1:21" ht="13" thickBot="1">
      <c r="A99" s="3"/>
      <c r="B99" s="851" t="s">
        <v>791</v>
      </c>
      <c r="C99" s="3"/>
      <c r="D99" s="3"/>
      <c r="E99" s="3"/>
      <c r="F99" s="3"/>
      <c r="G99" s="3"/>
      <c r="H99" s="3"/>
      <c r="I99" s="3"/>
      <c r="J99" s="3"/>
      <c r="K99" s="3"/>
      <c r="L99" s="3"/>
      <c r="M99" s="617"/>
      <c r="N99" s="3"/>
      <c r="O99" s="3"/>
      <c r="P99" s="3"/>
      <c r="Q99" s="3"/>
      <c r="R99" s="3"/>
      <c r="S99" s="3"/>
      <c r="T99" s="3"/>
      <c r="U99" s="3"/>
    </row>
    <row r="100" spans="1:21" ht="13" thickBot="1">
      <c r="A100" s="3" t="s">
        <v>589</v>
      </c>
      <c r="B100" s="850">
        <v>72.874200000000002</v>
      </c>
      <c r="C100" s="3" t="s">
        <v>4</v>
      </c>
      <c r="D100" s="26" t="s">
        <v>591</v>
      </c>
      <c r="E100" s="3"/>
      <c r="F100" s="3"/>
      <c r="G100" s="3"/>
      <c r="H100" s="3"/>
      <c r="I100" s="3"/>
      <c r="J100" s="3"/>
      <c r="K100" s="3"/>
      <c r="L100" s="3"/>
      <c r="M100" s="846" t="s">
        <v>589</v>
      </c>
      <c r="N100" s="3"/>
      <c r="O100" s="850">
        <v>78.465800000000002</v>
      </c>
      <c r="P100" s="3" t="s">
        <v>4</v>
      </c>
      <c r="Q100" s="3"/>
      <c r="R100" s="3"/>
      <c r="S100" s="3"/>
      <c r="T100" s="3"/>
      <c r="U100" s="3"/>
    </row>
    <row r="101" spans="1:21" ht="13" thickBot="1">
      <c r="A101" s="3"/>
      <c r="B101" s="894">
        <f>(B100-B102)</f>
        <v>-16.625799999999998</v>
      </c>
      <c r="C101" s="3"/>
      <c r="D101" s="3"/>
      <c r="E101" s="3"/>
      <c r="F101" s="3"/>
      <c r="G101" s="3"/>
      <c r="H101" s="3"/>
      <c r="I101" s="3"/>
      <c r="J101" s="3"/>
      <c r="K101" s="3"/>
      <c r="L101" s="3"/>
      <c r="M101" s="617"/>
      <c r="N101" s="3"/>
      <c r="O101" s="894">
        <f>O100-O102</f>
        <v>-11.034199999999998</v>
      </c>
      <c r="P101" s="3"/>
      <c r="Q101" s="3"/>
      <c r="R101" s="3"/>
      <c r="S101" s="3"/>
      <c r="T101" s="3"/>
      <c r="U101" s="3"/>
    </row>
    <row r="102" spans="1:21" ht="13" thickBot="1">
      <c r="A102" s="3" t="s">
        <v>306</v>
      </c>
      <c r="B102" s="850">
        <v>89.5</v>
      </c>
      <c r="C102" s="3" t="s">
        <v>4</v>
      </c>
      <c r="D102" s="3" t="s">
        <v>326</v>
      </c>
      <c r="E102" s="3"/>
      <c r="F102" s="3"/>
      <c r="G102" s="3"/>
      <c r="H102" s="3"/>
      <c r="I102" s="3"/>
      <c r="J102" s="3"/>
      <c r="K102" s="3"/>
      <c r="L102" s="3"/>
      <c r="M102" s="879" t="s">
        <v>898</v>
      </c>
      <c r="N102" s="3"/>
      <c r="O102" s="880">
        <f>B102</f>
        <v>89.5</v>
      </c>
      <c r="P102" s="3" t="s">
        <v>4</v>
      </c>
      <c r="Q102" s="3" t="s">
        <v>899</v>
      </c>
      <c r="R102" s="3"/>
      <c r="S102" s="3"/>
      <c r="T102" s="3"/>
      <c r="U102" s="3"/>
    </row>
    <row r="103" spans="1:21" ht="13" thickBot="1">
      <c r="A103" s="3"/>
      <c r="B103" s="3"/>
      <c r="C103" s="3"/>
      <c r="D103" s="3"/>
      <c r="E103" s="3"/>
      <c r="F103" s="3"/>
      <c r="G103" s="3"/>
      <c r="H103" s="3"/>
      <c r="I103" s="3"/>
      <c r="J103" s="3"/>
      <c r="K103" s="3"/>
      <c r="L103" s="3"/>
      <c r="M103" s="617"/>
      <c r="N103" s="3"/>
      <c r="O103" s="3"/>
      <c r="P103" s="3"/>
      <c r="Q103" s="3"/>
      <c r="R103" s="3"/>
      <c r="S103" s="3"/>
      <c r="T103" s="3"/>
      <c r="U103" s="3"/>
    </row>
    <row r="104" spans="1:21" ht="13.5" thickBot="1">
      <c r="A104" s="3" t="s">
        <v>592</v>
      </c>
      <c r="B104" s="814">
        <f>SQRT($B$91^2+$B$90^2-2*$B$91*$B$90*COS(B110/57.29578))</f>
        <v>36488.15588571554</v>
      </c>
      <c r="C104" s="3" t="s">
        <v>796</v>
      </c>
      <c r="D104" s="3" t="s">
        <v>327</v>
      </c>
      <c r="E104" s="3"/>
      <c r="F104" s="3"/>
      <c r="G104" s="3"/>
      <c r="H104" s="3"/>
      <c r="I104" s="3"/>
      <c r="J104" s="3"/>
      <c r="K104" s="3"/>
      <c r="L104" s="3"/>
      <c r="M104" s="845" t="s">
        <v>592</v>
      </c>
      <c r="N104" s="3"/>
      <c r="O104" s="814">
        <f>SQRT($B$91^2+$B$90^2-2*$B$91*$B$90*COS(O110/57.29578))</f>
        <v>36260.448781198123</v>
      </c>
      <c r="P104" s="3" t="s">
        <v>796</v>
      </c>
      <c r="Q104" s="3"/>
      <c r="R104" s="3"/>
      <c r="S104" s="3"/>
      <c r="T104" s="3"/>
      <c r="U104" s="3"/>
    </row>
    <row r="105" spans="1:21" ht="13" thickBot="1">
      <c r="A105" s="3"/>
      <c r="B105" s="3"/>
      <c r="C105" s="3"/>
      <c r="D105" s="3"/>
      <c r="E105" s="3"/>
      <c r="F105" s="3"/>
      <c r="G105" s="3"/>
      <c r="H105" s="3"/>
      <c r="I105" s="3"/>
      <c r="J105" s="3"/>
      <c r="K105" s="3"/>
      <c r="L105" s="3"/>
      <c r="M105" s="617"/>
      <c r="N105" s="3"/>
      <c r="O105" s="3"/>
      <c r="P105" s="3"/>
      <c r="Q105" s="3"/>
      <c r="R105" s="3"/>
      <c r="S105" s="3"/>
      <c r="T105" s="3"/>
      <c r="U105" s="3"/>
    </row>
    <row r="106" spans="1:21" ht="13" thickBot="1">
      <c r="A106" s="3" t="s">
        <v>603</v>
      </c>
      <c r="B106" s="873">
        <f>57.29578*ATAN((COS(B110/57.29578)-($B$90/$B$91))/SIN(B110/57.29578))</f>
        <v>60.660455833168932</v>
      </c>
      <c r="C106" s="3" t="s">
        <v>4</v>
      </c>
      <c r="D106" s="3" t="s">
        <v>328</v>
      </c>
      <c r="E106" s="3"/>
      <c r="F106" s="3"/>
      <c r="G106" s="3"/>
      <c r="H106" s="3"/>
      <c r="I106" s="3"/>
      <c r="J106" s="3"/>
      <c r="K106" s="3"/>
      <c r="L106" s="3"/>
      <c r="M106" s="846" t="s">
        <v>603</v>
      </c>
      <c r="N106" s="3"/>
      <c r="O106" s="873">
        <f>57.29578*ATAN((COS(O110/57.29578)-($B$90/$B$91))/SIN(O110/57.29578))</f>
        <v>65.925927773075983</v>
      </c>
      <c r="P106" s="3" t="s">
        <v>4</v>
      </c>
      <c r="Q106" s="3"/>
      <c r="R106" s="3"/>
      <c r="S106" s="3"/>
      <c r="T106" s="3"/>
      <c r="U106" s="3"/>
    </row>
    <row r="107" spans="1:21" ht="13" thickBot="1">
      <c r="A107" s="3"/>
      <c r="B107" s="895">
        <f>57.29578*ATAN(SIN($B$101/57.29578)/((-SIN($B$98/57.29578)*COS($B$101/57.29578))))</f>
        <v>42.436490136550354</v>
      </c>
      <c r="C107" s="3"/>
      <c r="D107" s="3"/>
      <c r="E107" s="3"/>
      <c r="F107" s="3"/>
      <c r="G107" s="3"/>
      <c r="H107" s="3"/>
      <c r="I107" s="3"/>
      <c r="J107" s="3"/>
      <c r="K107" s="3"/>
      <c r="L107" s="3"/>
      <c r="M107" s="846"/>
      <c r="N107" s="3"/>
      <c r="O107" s="895">
        <f>57.29578*ATAN(SIN(O101/57.29578)/((-SIN(O98/57.29578)*COS(O101/57.29578))))</f>
        <v>33.065164163394428</v>
      </c>
      <c r="P107" s="3"/>
      <c r="Q107" s="3"/>
      <c r="R107" s="3"/>
      <c r="S107" s="3"/>
      <c r="T107" s="3"/>
      <c r="U107" s="3"/>
    </row>
    <row r="108" spans="1:21" ht="13" thickBot="1">
      <c r="A108" s="3" t="s">
        <v>572</v>
      </c>
      <c r="B108" s="873">
        <f>'GEO Azimuth Calc Data'!E19</f>
        <v>137.56350986344964</v>
      </c>
      <c r="C108" s="3" t="s">
        <v>4</v>
      </c>
      <c r="D108" s="3" t="s">
        <v>573</v>
      </c>
      <c r="E108" s="3"/>
      <c r="F108" s="3"/>
      <c r="G108" s="3"/>
      <c r="H108" s="3"/>
      <c r="I108" s="3"/>
      <c r="J108" s="3"/>
      <c r="K108" s="3"/>
      <c r="L108" s="3"/>
      <c r="M108" s="846" t="s">
        <v>572</v>
      </c>
      <c r="N108" s="3"/>
      <c r="O108" s="873">
        <f>'GEO Azimuth Calc Data'!E40</f>
        <v>146.93483583660557</v>
      </c>
      <c r="P108" s="866" t="s">
        <v>4</v>
      </c>
      <c r="Q108" s="3"/>
      <c r="R108" s="3"/>
      <c r="S108" s="3"/>
      <c r="T108" s="3"/>
      <c r="U108" s="3"/>
    </row>
    <row r="109" spans="1:21" ht="13" thickBot="1">
      <c r="A109" s="3"/>
      <c r="B109" s="3" t="s">
        <v>791</v>
      </c>
      <c r="C109" s="3"/>
      <c r="D109" s="3"/>
      <c r="E109" s="3"/>
      <c r="F109" s="3"/>
      <c r="G109" s="3"/>
      <c r="H109" s="3"/>
      <c r="I109" s="3"/>
      <c r="J109" s="3"/>
      <c r="K109" s="3"/>
      <c r="L109" s="3"/>
      <c r="M109" s="3"/>
      <c r="N109" s="3"/>
      <c r="O109" s="3"/>
      <c r="P109" s="3"/>
      <c r="Q109" s="3"/>
      <c r="R109" s="3"/>
      <c r="S109" s="3"/>
      <c r="T109" s="3"/>
      <c r="U109" s="3"/>
    </row>
    <row r="110" spans="1:21" ht="13" thickBot="1">
      <c r="A110" s="3" t="s">
        <v>571</v>
      </c>
      <c r="B110" s="856">
        <f>57.29578*ACOS(COS(B98/57.29578)*COS(B101/57.29578))</f>
        <v>25.088911834355539</v>
      </c>
      <c r="C110" s="3" t="s">
        <v>4</v>
      </c>
      <c r="D110" s="3" t="s">
        <v>332</v>
      </c>
      <c r="E110" s="3"/>
      <c r="F110" s="3"/>
      <c r="G110" s="3"/>
      <c r="H110" s="3"/>
      <c r="I110" s="3"/>
      <c r="J110" s="3"/>
      <c r="K110" s="3"/>
      <c r="L110" s="3"/>
      <c r="M110" s="3" t="s">
        <v>571</v>
      </c>
      <c r="N110" s="3"/>
      <c r="O110" s="856">
        <f>57.29578*ACOS(COS(O98/57.29578)*COS(O101/57.29578))</f>
        <v>20.536371124162212</v>
      </c>
      <c r="P110" s="3" t="s">
        <v>4</v>
      </c>
      <c r="Q110" s="3"/>
      <c r="R110" s="3"/>
      <c r="S110" s="3"/>
      <c r="T110" s="3"/>
      <c r="U110" s="3"/>
    </row>
    <row r="111" spans="1:21">
      <c r="A111" s="3"/>
      <c r="B111" s="852"/>
      <c r="C111" s="3"/>
      <c r="D111" s="3"/>
      <c r="E111" s="3"/>
      <c r="F111" s="3"/>
      <c r="G111" s="3"/>
      <c r="H111" s="3"/>
      <c r="I111" s="3"/>
      <c r="J111" s="3"/>
      <c r="K111" s="3"/>
      <c r="L111" s="3"/>
      <c r="M111" s="3"/>
      <c r="N111" s="3"/>
      <c r="O111" s="495"/>
      <c r="P111" s="3"/>
      <c r="Q111" s="3"/>
      <c r="R111" s="3"/>
      <c r="S111" s="3"/>
      <c r="T111" s="3"/>
      <c r="U111" s="3"/>
    </row>
    <row r="112" spans="1:21">
      <c r="A112" s="3"/>
      <c r="B112" s="852" t="s">
        <v>791</v>
      </c>
      <c r="C112" s="3"/>
      <c r="D112" s="3"/>
      <c r="E112" s="3"/>
      <c r="F112" s="3"/>
      <c r="G112" s="3"/>
      <c r="H112" s="3"/>
      <c r="I112" s="3"/>
      <c r="J112" s="3"/>
      <c r="K112" s="3"/>
      <c r="L112" s="3"/>
      <c r="M112" s="3"/>
      <c r="N112" s="3"/>
      <c r="O112" s="495"/>
      <c r="P112" s="3"/>
      <c r="Q112" s="3"/>
      <c r="R112" s="3"/>
      <c r="S112" s="3"/>
      <c r="T112" s="3"/>
      <c r="U112" s="3"/>
    </row>
    <row r="113" spans="1:21">
      <c r="A113" s="3"/>
      <c r="B113" s="852"/>
      <c r="C113" s="3"/>
      <c r="D113" s="3"/>
      <c r="E113" s="3"/>
      <c r="F113" s="3"/>
      <c r="G113" s="3"/>
      <c r="H113" s="3"/>
      <c r="I113" s="3"/>
      <c r="J113" s="3"/>
      <c r="K113" s="3"/>
      <c r="L113" s="3"/>
      <c r="M113" s="3"/>
      <c r="N113" s="3"/>
      <c r="O113" s="495"/>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69" t="s">
        <v>30</v>
      </c>
      <c r="B115" s="848"/>
      <c r="C115" s="130"/>
      <c r="D115" s="130"/>
      <c r="E115" s="130"/>
      <c r="F115" s="130"/>
      <c r="G115" s="242" t="s">
        <v>140</v>
      </c>
      <c r="H115" s="130"/>
      <c r="I115" s="130"/>
      <c r="J115" s="130"/>
      <c r="K115" s="130"/>
      <c r="L115" s="130"/>
      <c r="M115" s="130"/>
      <c r="N115" s="130"/>
      <c r="O115" s="130"/>
      <c r="P115" s="130"/>
      <c r="Q115" s="130"/>
      <c r="R115" s="577"/>
      <c r="S115" s="577"/>
      <c r="T115" s="577"/>
      <c r="U115" s="577"/>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34"/>
      <c r="N117" s="835"/>
      <c r="O117" s="800"/>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30"/>
      <c r="D120" s="831"/>
      <c r="E120" s="32"/>
      <c r="F120" s="3"/>
      <c r="G120" s="3"/>
      <c r="H120" s="33"/>
      <c r="I120" s="3"/>
      <c r="J120" s="3"/>
      <c r="K120" s="3"/>
      <c r="L120" s="101"/>
      <c r="M120" s="101"/>
      <c r="N120" s="101"/>
      <c r="O120" s="101"/>
      <c r="P120" s="101"/>
      <c r="Q120" s="3"/>
      <c r="R120" s="3"/>
      <c r="S120" s="3"/>
      <c r="T120" s="3"/>
      <c r="U120" s="3"/>
    </row>
    <row r="121" spans="1:21" ht="13">
      <c r="A121" s="836" t="s">
        <v>762</v>
      </c>
      <c r="B121" s="382" t="s">
        <v>763</v>
      </c>
      <c r="C121" s="65"/>
      <c r="D121" s="101" t="s">
        <v>764</v>
      </c>
      <c r="E121" s="32"/>
      <c r="F121" s="847">
        <v>2.1</v>
      </c>
      <c r="G121" s="367" t="s">
        <v>765</v>
      </c>
      <c r="H121" s="33"/>
      <c r="I121" s="101"/>
      <c r="J121" s="833"/>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34"/>
      <c r="N123" s="835"/>
      <c r="O123" s="800"/>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37" t="s">
        <v>766</v>
      </c>
      <c r="C125" s="65"/>
      <c r="D125" s="884">
        <f>F121*1.5*100000000</f>
        <v>315000000.00000006</v>
      </c>
      <c r="E125" s="838" t="s">
        <v>796</v>
      </c>
      <c r="F125" s="3"/>
      <c r="G125" s="3"/>
      <c r="H125" s="33"/>
      <c r="I125" s="3"/>
      <c r="J125" s="3"/>
      <c r="K125" s="3"/>
      <c r="L125" s="101"/>
      <c r="M125" s="101"/>
      <c r="N125" s="101"/>
      <c r="O125" s="101"/>
      <c r="P125" s="101"/>
      <c r="Q125" s="3"/>
      <c r="R125" s="3"/>
      <c r="S125" s="3"/>
      <c r="T125" s="3"/>
      <c r="U125" s="3"/>
    </row>
    <row r="126" spans="1:21">
      <c r="A126" s="229"/>
      <c r="B126" s="221"/>
      <c r="C126" s="832"/>
      <c r="D126" s="831"/>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791</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791</v>
      </c>
      <c r="I129" s="3"/>
      <c r="J129" s="3"/>
      <c r="K129" s="3"/>
      <c r="L129" s="3"/>
      <c r="M129" s="3"/>
      <c r="N129" s="3"/>
      <c r="O129" s="3"/>
      <c r="P129" s="3"/>
      <c r="Q129" s="3"/>
      <c r="R129" s="3"/>
      <c r="S129" s="3"/>
      <c r="T129" s="3"/>
      <c r="U129" s="3"/>
    </row>
    <row r="130" spans="1:21">
      <c r="A130" s="3"/>
      <c r="B130" s="3" t="s">
        <v>791</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791</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4" sqref="C14"/>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91" t="s">
        <v>114</v>
      </c>
      <c r="B1" s="692"/>
      <c r="C1" s="693"/>
      <c r="D1" s="693"/>
      <c r="E1" s="693"/>
      <c r="F1" s="693"/>
      <c r="G1" s="693"/>
      <c r="H1" s="693"/>
      <c r="I1" s="693"/>
      <c r="J1" s="693"/>
      <c r="K1" s="693"/>
      <c r="L1" s="693"/>
      <c r="M1" s="693"/>
      <c r="N1" s="693"/>
      <c r="O1" s="693"/>
      <c r="P1" s="693"/>
      <c r="Q1" s="693"/>
      <c r="R1" s="127"/>
      <c r="S1" s="127"/>
      <c r="T1" s="127"/>
      <c r="U1" s="127"/>
    </row>
    <row r="2" spans="1:21" ht="18">
      <c r="A2" s="824"/>
      <c r="B2" s="621"/>
      <c r="C2" s="825"/>
      <c r="D2" s="825"/>
      <c r="E2" s="825"/>
      <c r="F2" s="825"/>
      <c r="G2" s="825"/>
      <c r="H2" s="825"/>
      <c r="I2" s="825"/>
      <c r="J2" s="825"/>
      <c r="K2" s="825"/>
      <c r="L2" s="825"/>
      <c r="M2" s="825"/>
      <c r="N2" s="825"/>
      <c r="O2" s="825"/>
      <c r="P2" s="825"/>
      <c r="Q2" s="825"/>
      <c r="R2" s="101"/>
      <c r="S2" s="101"/>
      <c r="T2" s="101"/>
      <c r="U2" s="101"/>
    </row>
    <row r="3" spans="1:21" ht="18">
      <c r="A3" s="824"/>
      <c r="B3" s="621"/>
      <c r="C3" s="825"/>
      <c r="D3" s="825"/>
      <c r="E3" s="825"/>
      <c r="F3" s="825"/>
      <c r="G3" s="825"/>
      <c r="H3" s="825"/>
      <c r="I3" s="825"/>
      <c r="J3" s="825"/>
      <c r="K3" s="825"/>
      <c r="L3" s="825"/>
      <c r="M3" s="825"/>
      <c r="N3" s="825"/>
      <c r="O3" s="825"/>
      <c r="P3" s="825"/>
      <c r="Q3" s="825"/>
      <c r="R3" s="101"/>
      <c r="S3" s="101"/>
      <c r="T3" s="101"/>
      <c r="U3" s="101"/>
    </row>
    <row r="4" spans="1:21" ht="18">
      <c r="A4" s="824"/>
      <c r="B4" s="621"/>
      <c r="C4" s="826" t="s">
        <v>791</v>
      </c>
      <c r="D4" s="826" t="s">
        <v>953</v>
      </c>
      <c r="E4" s="825"/>
      <c r="F4" s="825"/>
      <c r="G4" s="892" t="str">
        <f>Orbit!D4</f>
        <v>LEO</v>
      </c>
      <c r="H4" s="825"/>
      <c r="I4" s="825"/>
      <c r="J4" s="225" t="s">
        <v>836</v>
      </c>
      <c r="K4" s="123"/>
      <c r="L4" s="124"/>
      <c r="M4" s="825"/>
      <c r="N4" s="825"/>
      <c r="O4" s="825"/>
      <c r="P4" s="825"/>
      <c r="Q4" s="825"/>
      <c r="R4" s="101"/>
      <c r="S4" s="101"/>
      <c r="T4" s="101"/>
      <c r="U4" s="101"/>
    </row>
    <row r="5" spans="1:21" ht="13.5" customHeight="1">
      <c r="A5" s="824"/>
      <c r="B5" s="621"/>
      <c r="C5" s="825"/>
      <c r="D5" s="825"/>
      <c r="E5" s="825"/>
      <c r="F5" s="825"/>
      <c r="G5" s="825"/>
      <c r="H5" s="825"/>
      <c r="I5" s="825"/>
      <c r="J5" s="825"/>
      <c r="K5" s="825"/>
      <c r="L5" s="825"/>
      <c r="M5" s="825"/>
      <c r="N5" s="825"/>
      <c r="O5" s="825"/>
      <c r="P5" s="825"/>
      <c r="Q5" s="825"/>
      <c r="R5" s="101"/>
      <c r="S5" s="101"/>
      <c r="T5" s="101"/>
      <c r="U5" s="101"/>
    </row>
    <row r="6" spans="1:21" ht="13.5" customHeight="1">
      <c r="A6" s="824"/>
      <c r="B6" s="621"/>
      <c r="C6" s="826" t="s">
        <v>357</v>
      </c>
      <c r="D6" s="825"/>
      <c r="E6" s="825"/>
      <c r="F6" s="825"/>
      <c r="G6" s="893">
        <f>Orbit!G4</f>
        <v>1454.4339505997034</v>
      </c>
      <c r="H6" s="843" t="s">
        <v>796</v>
      </c>
      <c r="I6" s="825"/>
      <c r="J6" s="825"/>
      <c r="K6" s="825"/>
      <c r="L6" s="825"/>
      <c r="M6" s="825"/>
      <c r="N6" s="825"/>
      <c r="O6" s="825"/>
      <c r="P6" s="825"/>
      <c r="Q6" s="825"/>
      <c r="R6" s="101"/>
      <c r="S6" s="101"/>
      <c r="T6" s="101"/>
      <c r="U6" s="101"/>
    </row>
    <row r="7" spans="1:21" ht="13.5" customHeight="1">
      <c r="A7" s="824"/>
      <c r="B7" s="242" t="s">
        <v>140</v>
      </c>
      <c r="C7" s="825"/>
      <c r="D7" s="825"/>
      <c r="E7" s="825"/>
      <c r="F7" s="825"/>
      <c r="G7" s="825"/>
      <c r="H7" s="825"/>
      <c r="I7" s="825"/>
      <c r="J7" s="825"/>
      <c r="K7" s="825"/>
      <c r="L7" s="825"/>
      <c r="M7" s="825"/>
      <c r="N7" s="825"/>
      <c r="O7" s="825"/>
      <c r="P7" s="825"/>
      <c r="Q7" s="825"/>
      <c r="R7" s="101"/>
      <c r="S7" s="101"/>
      <c r="T7" s="101"/>
      <c r="U7" s="101"/>
    </row>
    <row r="8" spans="1:21" ht="13.5" customHeight="1">
      <c r="A8" s="824"/>
      <c r="B8" s="621"/>
      <c r="C8" s="825"/>
      <c r="D8" s="825"/>
      <c r="E8" s="825"/>
      <c r="F8" s="825"/>
      <c r="G8" s="825"/>
      <c r="H8" s="825"/>
      <c r="I8" s="825"/>
      <c r="J8" s="825"/>
      <c r="K8" s="825"/>
      <c r="L8" s="825"/>
      <c r="M8" s="825"/>
      <c r="N8" s="825"/>
      <c r="O8" s="825"/>
      <c r="P8" s="825"/>
      <c r="Q8" s="825"/>
      <c r="R8" s="101"/>
      <c r="S8" s="101"/>
      <c r="T8" s="101"/>
      <c r="U8" s="101"/>
    </row>
    <row r="9" spans="1:21" ht="13" thickBot="1">
      <c r="A9" s="3" t="s">
        <v>791</v>
      </c>
      <c r="B9" s="221" t="s">
        <v>918</v>
      </c>
      <c r="C9" s="50" t="s">
        <v>829</v>
      </c>
      <c r="D9" s="3"/>
      <c r="E9" s="50" t="s">
        <v>916</v>
      </c>
      <c r="F9" s="3"/>
      <c r="G9" s="50" t="s">
        <v>832</v>
      </c>
      <c r="H9" s="3"/>
      <c r="I9" s="3"/>
      <c r="J9" s="3"/>
      <c r="K9" s="3"/>
      <c r="L9" s="3"/>
      <c r="M9" s="3"/>
      <c r="N9" s="3"/>
      <c r="O9" s="3"/>
      <c r="P9" s="3"/>
      <c r="Q9" s="3"/>
      <c r="R9" s="3"/>
      <c r="S9" s="3"/>
      <c r="T9" s="3"/>
      <c r="U9" s="3"/>
    </row>
    <row r="10" spans="1:21" ht="13.5" thickBot="1">
      <c r="A10" s="829" t="s">
        <v>834</v>
      </c>
      <c r="B10" s="220" t="s">
        <v>111</v>
      </c>
      <c r="C10" s="224">
        <v>145.80000000000001</v>
      </c>
      <c r="D10" s="124" t="s">
        <v>830</v>
      </c>
      <c r="E10" s="32">
        <f>299.8/C10</f>
        <v>2.056241426611797</v>
      </c>
      <c r="F10" s="3" t="s">
        <v>831</v>
      </c>
      <c r="G10" s="33">
        <f>22+20*LOG10(($G$6*1000)/E10)</f>
        <v>138.99239798253504</v>
      </c>
      <c r="H10" s="3" t="s">
        <v>833</v>
      </c>
      <c r="I10" s="3" t="s">
        <v>116</v>
      </c>
      <c r="J10" s="3"/>
      <c r="K10" s="3"/>
      <c r="L10" s="384">
        <v>4</v>
      </c>
      <c r="M10" s="223">
        <f>INDEX(C10:C13,L10,1)</f>
        <v>436.5</v>
      </c>
      <c r="N10" s="222" t="s">
        <v>830</v>
      </c>
      <c r="O10" s="3"/>
      <c r="P10" s="3"/>
      <c r="Q10" s="3"/>
      <c r="R10" s="3"/>
      <c r="S10" s="3"/>
      <c r="T10" s="3"/>
      <c r="U10" s="3"/>
    </row>
    <row r="11" spans="1:21">
      <c r="A11" s="50"/>
      <c r="B11" s="220" t="s">
        <v>112</v>
      </c>
      <c r="C11" s="224">
        <v>437.5</v>
      </c>
      <c r="D11" s="124" t="s">
        <v>830</v>
      </c>
      <c r="E11" s="32">
        <f t="shared" ref="E11:E18" si="0">299.8/C11</f>
        <v>0.6852571428571429</v>
      </c>
      <c r="F11" s="3" t="s">
        <v>831</v>
      </c>
      <c r="G11" s="33">
        <f>22+20*LOG10(($G$6*1000)/E11)</f>
        <v>148.53680865006257</v>
      </c>
      <c r="H11" s="3" t="s">
        <v>833</v>
      </c>
      <c r="I11" s="3"/>
      <c r="J11" s="3"/>
      <c r="K11" s="3"/>
      <c r="L11" s="3"/>
      <c r="M11" s="3"/>
      <c r="N11" s="3"/>
      <c r="O11" s="3"/>
      <c r="P11" s="3"/>
      <c r="Q11" s="3"/>
      <c r="R11" s="3"/>
      <c r="S11" s="3"/>
      <c r="T11" s="3"/>
      <c r="U11" s="3"/>
    </row>
    <row r="12" spans="1:21" ht="13">
      <c r="A12" s="50"/>
      <c r="B12" s="220" t="s">
        <v>113</v>
      </c>
      <c r="C12" s="224">
        <v>1269.9000000000001</v>
      </c>
      <c r="D12" s="124" t="s">
        <v>830</v>
      </c>
      <c r="E12" s="32">
        <f t="shared" si="0"/>
        <v>0.23608158122686826</v>
      </c>
      <c r="F12" s="3" t="s">
        <v>831</v>
      </c>
      <c r="G12" s="33">
        <f>22+20*LOG10(($G$6*1000)/E12)</f>
        <v>157.79263796676938</v>
      </c>
      <c r="H12" s="3" t="s">
        <v>833</v>
      </c>
      <c r="I12" s="3" t="s">
        <v>90</v>
      </c>
      <c r="J12" s="3"/>
      <c r="K12" s="3"/>
      <c r="L12" s="3"/>
      <c r="M12" s="827">
        <f>INDEX(G10:G13,L10,1)</f>
        <v>148.5169324637277</v>
      </c>
      <c r="N12" s="828" t="s">
        <v>833</v>
      </c>
      <c r="O12" s="3"/>
      <c r="P12" s="3"/>
      <c r="Q12" s="3"/>
      <c r="R12" s="3"/>
      <c r="S12" s="3"/>
      <c r="T12" s="3"/>
      <c r="U12" s="3"/>
    </row>
    <row r="13" spans="1:21">
      <c r="A13" s="229" t="s">
        <v>118</v>
      </c>
      <c r="B13" s="220" t="s">
        <v>117</v>
      </c>
      <c r="C13" s="226">
        <v>436.5</v>
      </c>
      <c r="D13" s="227" t="s">
        <v>830</v>
      </c>
      <c r="E13" s="32">
        <f>299.8/C13</f>
        <v>0.6868270332187858</v>
      </c>
      <c r="F13" s="3" t="s">
        <v>831</v>
      </c>
      <c r="G13" s="33">
        <f>22+20*LOG10(($G$6*1000)/E13)</f>
        <v>148.5169324637277</v>
      </c>
      <c r="H13" s="3" t="s">
        <v>833</v>
      </c>
      <c r="I13" s="3"/>
      <c r="J13" s="3"/>
      <c r="K13" s="3"/>
      <c r="L13" s="3"/>
      <c r="M13" s="3"/>
      <c r="N13" s="3"/>
      <c r="O13" s="3"/>
      <c r="P13" s="3"/>
      <c r="Q13" s="3"/>
      <c r="R13" s="3"/>
      <c r="S13" s="3"/>
      <c r="T13" s="3"/>
      <c r="U13" s="3"/>
    </row>
    <row r="14" spans="1:21" ht="13">
      <c r="A14" s="50"/>
      <c r="B14" s="220"/>
      <c r="C14" s="65"/>
      <c r="D14" s="3"/>
      <c r="E14" s="32" t="s">
        <v>791</v>
      </c>
      <c r="F14" s="3"/>
      <c r="G14" s="33"/>
      <c r="H14" s="3"/>
      <c r="I14" s="833"/>
      <c r="J14" s="101"/>
      <c r="K14" s="101"/>
      <c r="L14" s="3"/>
      <c r="M14" s="3"/>
      <c r="N14" s="3"/>
      <c r="O14" s="3"/>
      <c r="P14" s="3"/>
      <c r="Q14" s="3"/>
      <c r="R14" s="3"/>
      <c r="S14" s="3"/>
      <c r="T14" s="3"/>
      <c r="U14" s="3"/>
    </row>
    <row r="15" spans="1:21" ht="13.5" thickBot="1">
      <c r="A15" s="3"/>
      <c r="B15" s="79"/>
      <c r="C15" s="219" t="s">
        <v>791</v>
      </c>
      <c r="D15" s="3"/>
      <c r="E15" s="32" t="s">
        <v>791</v>
      </c>
      <c r="F15" s="3"/>
      <c r="G15" s="3"/>
      <c r="H15" s="3"/>
      <c r="I15" s="34" t="s">
        <v>791</v>
      </c>
      <c r="J15" s="3"/>
      <c r="K15" s="3"/>
      <c r="L15" s="3"/>
      <c r="M15" s="3"/>
      <c r="N15" s="3"/>
      <c r="O15" s="3"/>
      <c r="P15" s="3"/>
      <c r="Q15" s="3"/>
      <c r="R15" s="3"/>
      <c r="S15" s="3"/>
      <c r="T15" s="3"/>
      <c r="U15" s="3"/>
    </row>
    <row r="16" spans="1:21" ht="13.5" thickBot="1">
      <c r="A16" s="829" t="s">
        <v>835</v>
      </c>
      <c r="B16" s="220" t="s">
        <v>111</v>
      </c>
      <c r="C16" s="224">
        <v>145.80000000000001</v>
      </c>
      <c r="D16" s="124" t="s">
        <v>830</v>
      </c>
      <c r="E16" s="32">
        <f t="shared" si="0"/>
        <v>2.056241426611797</v>
      </c>
      <c r="F16" s="3" t="s">
        <v>831</v>
      </c>
      <c r="G16" s="33">
        <f>22+20*LOG10(($G$6*1000)/E16)</f>
        <v>138.99239798253504</v>
      </c>
      <c r="H16" s="3" t="s">
        <v>833</v>
      </c>
      <c r="I16" s="3" t="s">
        <v>115</v>
      </c>
      <c r="J16" s="3"/>
      <c r="K16" s="3"/>
      <c r="L16" s="384">
        <v>4</v>
      </c>
      <c r="M16" s="223">
        <f>INDEX(C16:C19,L16,1)</f>
        <v>436.5</v>
      </c>
      <c r="N16" s="222" t="s">
        <v>830</v>
      </c>
      <c r="O16" s="3"/>
      <c r="P16" s="3"/>
      <c r="Q16" s="3"/>
      <c r="R16" s="3"/>
      <c r="S16" s="3"/>
      <c r="T16" s="3"/>
      <c r="U16" s="3"/>
    </row>
    <row r="17" spans="1:21">
      <c r="A17" s="3"/>
      <c r="B17" s="221" t="s">
        <v>112</v>
      </c>
      <c r="C17" s="224">
        <v>437.45</v>
      </c>
      <c r="D17" s="124" t="s">
        <v>830</v>
      </c>
      <c r="E17" s="32">
        <f t="shared" si="0"/>
        <v>0.68533546691050407</v>
      </c>
      <c r="F17" s="3" t="s">
        <v>831</v>
      </c>
      <c r="G17" s="33">
        <f>22+20*LOG10(($G$6*1000)/E17)</f>
        <v>148.53581592023258</v>
      </c>
      <c r="H17" s="3" t="s">
        <v>833</v>
      </c>
      <c r="I17" s="3"/>
      <c r="J17" s="3"/>
      <c r="K17" s="3"/>
      <c r="L17" s="3"/>
      <c r="M17" s="3"/>
      <c r="N17" s="3"/>
      <c r="O17" s="3"/>
      <c r="P17" s="3"/>
      <c r="Q17" s="3"/>
      <c r="R17" s="3"/>
      <c r="S17" s="3"/>
      <c r="T17" s="3"/>
      <c r="U17" s="3"/>
    </row>
    <row r="18" spans="1:21" ht="13">
      <c r="A18" s="3"/>
      <c r="B18" s="221" t="s">
        <v>113</v>
      </c>
      <c r="C18" s="224">
        <v>2405</v>
      </c>
      <c r="D18" s="124" t="s">
        <v>830</v>
      </c>
      <c r="E18" s="32">
        <f t="shared" si="0"/>
        <v>0.12465696465696466</v>
      </c>
      <c r="F18" s="3" t="s">
        <v>831</v>
      </c>
      <c r="G18" s="33">
        <f>22+20*LOG10(($G$6*1000)/E18)</f>
        <v>163.33954911709293</v>
      </c>
      <c r="H18" s="3" t="s">
        <v>833</v>
      </c>
      <c r="I18" s="3" t="s">
        <v>90</v>
      </c>
      <c r="J18" s="3"/>
      <c r="K18" s="3"/>
      <c r="L18" s="3"/>
      <c r="M18" s="827">
        <f>INDEX(G16:G19,L16,1)</f>
        <v>148.5169324637277</v>
      </c>
      <c r="N18" s="828" t="s">
        <v>833</v>
      </c>
      <c r="O18" s="3"/>
      <c r="P18" s="3"/>
      <c r="Q18" s="3"/>
      <c r="R18" s="3"/>
      <c r="S18" s="3"/>
      <c r="T18" s="3"/>
      <c r="U18" s="3"/>
    </row>
    <row r="19" spans="1:21">
      <c r="A19" s="229" t="s">
        <v>118</v>
      </c>
      <c r="B19" s="221" t="s">
        <v>117</v>
      </c>
      <c r="C19" s="228">
        <v>436.5</v>
      </c>
      <c r="D19" s="227" t="s">
        <v>830</v>
      </c>
      <c r="E19" s="32">
        <f>299.8/C19</f>
        <v>0.6868270332187858</v>
      </c>
      <c r="F19" s="3" t="s">
        <v>831</v>
      </c>
      <c r="G19" s="33">
        <f>22+20*LOG10(($G$6*1000)/E19)</f>
        <v>148.5169324637277</v>
      </c>
      <c r="H19" s="3" t="s">
        <v>833</v>
      </c>
      <c r="I19" s="3" t="s">
        <v>791</v>
      </c>
      <c r="J19" s="3"/>
      <c r="K19" s="3"/>
      <c r="L19" s="3"/>
      <c r="M19" s="3"/>
      <c r="N19" s="3"/>
      <c r="O19" s="3"/>
      <c r="P19" s="3"/>
      <c r="Q19" s="3"/>
      <c r="R19" s="3"/>
      <c r="S19" s="3"/>
      <c r="T19" s="3"/>
      <c r="U19" s="3"/>
    </row>
    <row r="20" spans="1:21">
      <c r="A20" s="3"/>
      <c r="B20" s="3"/>
      <c r="C20" s="3"/>
      <c r="D20" s="3"/>
      <c r="E20" s="3" t="s">
        <v>791</v>
      </c>
      <c r="F20" s="3"/>
      <c r="G20" s="3"/>
      <c r="H20" s="3"/>
      <c r="I20" s="3"/>
      <c r="J20" s="3" t="s">
        <v>791</v>
      </c>
      <c r="K20" s="3"/>
      <c r="L20" s="3"/>
      <c r="M20" s="3"/>
      <c r="N20" s="3"/>
      <c r="O20" s="3"/>
      <c r="P20" s="3"/>
      <c r="Q20" s="3"/>
      <c r="R20" s="3"/>
      <c r="S20" s="3"/>
      <c r="T20" s="3"/>
      <c r="U20" s="3"/>
    </row>
    <row r="21" spans="1:21">
      <c r="A21" s="3" t="s">
        <v>791</v>
      </c>
      <c r="B21" s="3"/>
      <c r="C21" s="3"/>
      <c r="D21" s="3"/>
      <c r="E21" s="3"/>
      <c r="F21" s="3"/>
      <c r="G21" s="3"/>
      <c r="H21" s="3"/>
      <c r="I21" s="3"/>
      <c r="J21" s="3"/>
      <c r="K21" s="3"/>
      <c r="L21" s="3"/>
      <c r="M21" s="3"/>
      <c r="N21" s="3"/>
      <c r="O21" s="3"/>
      <c r="P21" s="3"/>
      <c r="Q21" s="3"/>
      <c r="R21" s="3"/>
      <c r="S21" s="3"/>
      <c r="T21" s="3"/>
      <c r="U21" s="3"/>
    </row>
    <row r="22" spans="1:21">
      <c r="A22" s="3"/>
      <c r="B22" s="31" t="s">
        <v>791</v>
      </c>
      <c r="C22" s="3"/>
      <c r="D22" s="3"/>
      <c r="E22" s="3"/>
      <c r="F22" s="3"/>
      <c r="G22" s="3"/>
      <c r="H22" s="3" t="s">
        <v>791</v>
      </c>
      <c r="I22" s="3"/>
      <c r="J22" s="3"/>
      <c r="K22" s="3"/>
      <c r="L22" s="3"/>
      <c r="M22" s="3"/>
      <c r="N22" s="3"/>
      <c r="O22" s="3"/>
      <c r="P22" s="3"/>
      <c r="Q22" s="3"/>
      <c r="R22" s="3"/>
      <c r="S22" s="3"/>
      <c r="T22" s="3"/>
      <c r="U22" s="3"/>
    </row>
    <row r="23" spans="1:21">
      <c r="A23" s="3"/>
      <c r="B23" s="3" t="s">
        <v>791</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791</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176</v>
      </c>
      <c r="B1" s="127"/>
      <c r="C1" s="127"/>
      <c r="D1" s="127"/>
      <c r="E1" s="127"/>
      <c r="F1" s="676" t="str">
        <f>'Title Page'!F3</f>
        <v>OreSat - CS0</v>
      </c>
      <c r="G1" s="127"/>
      <c r="H1" s="127"/>
      <c r="I1" s="127"/>
      <c r="J1" s="675" t="str">
        <f>'Title Page'!F23</f>
        <v>2019 May 5</v>
      </c>
      <c r="K1" s="127"/>
      <c r="L1" s="127"/>
      <c r="M1" s="127"/>
      <c r="N1" s="127"/>
      <c r="O1" s="127"/>
      <c r="P1" s="127"/>
    </row>
    <row r="2" spans="1:16">
      <c r="A2" s="3"/>
      <c r="B2" s="3"/>
      <c r="C2" s="3"/>
      <c r="D2" s="3"/>
      <c r="E2" s="3" t="s">
        <v>791</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28"/>
      <c r="K4" s="3"/>
      <c r="L4" s="3"/>
      <c r="M4" s="3"/>
      <c r="N4" s="3"/>
      <c r="O4" s="3"/>
      <c r="P4" s="3"/>
    </row>
    <row r="5" spans="1:16" ht="15.5">
      <c r="A5" s="3"/>
      <c r="B5" s="622"/>
      <c r="C5" s="101"/>
      <c r="D5" s="101"/>
      <c r="E5" s="101"/>
      <c r="F5" s="101"/>
      <c r="G5" s="101"/>
      <c r="H5" s="3"/>
      <c r="I5" s="3"/>
      <c r="J5" s="528"/>
      <c r="K5" s="3"/>
      <c r="L5" s="3"/>
      <c r="M5" s="3"/>
      <c r="N5" s="3"/>
      <c r="O5" s="3"/>
      <c r="P5" s="3"/>
    </row>
    <row r="6" spans="1:16">
      <c r="A6" s="3"/>
      <c r="B6" s="346" t="s">
        <v>253</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3" t="s">
        <v>159</v>
      </c>
      <c r="D8" s="330"/>
      <c r="E8" s="330"/>
      <c r="F8" s="330"/>
      <c r="G8" s="330"/>
      <c r="H8" s="330"/>
      <c r="I8" s="330"/>
      <c r="J8" s="330"/>
      <c r="K8" s="978"/>
      <c r="L8" s="3"/>
      <c r="M8" s="3"/>
      <c r="N8" s="3"/>
      <c r="O8" s="3"/>
      <c r="P8" s="3"/>
    </row>
    <row r="9" spans="1:16">
      <c r="A9" s="3"/>
      <c r="B9" s="3"/>
      <c r="C9" s="331"/>
      <c r="D9" s="332"/>
      <c r="E9" s="332"/>
      <c r="F9" s="332"/>
      <c r="G9" s="332"/>
      <c r="H9" s="332"/>
      <c r="I9" s="332"/>
      <c r="J9" s="332"/>
      <c r="K9" s="324"/>
      <c r="L9" s="3"/>
      <c r="M9" s="3"/>
      <c r="N9" s="3"/>
      <c r="O9" s="3"/>
      <c r="P9" s="3"/>
    </row>
    <row r="10" spans="1:16">
      <c r="A10" s="3"/>
      <c r="B10" s="3"/>
      <c r="C10" s="331"/>
      <c r="D10" s="332"/>
      <c r="E10" s="332"/>
      <c r="F10" s="332"/>
      <c r="G10" s="332"/>
      <c r="H10" s="332"/>
      <c r="I10" s="332"/>
      <c r="J10" s="332"/>
      <c r="K10" s="324"/>
      <c r="L10" s="3"/>
      <c r="M10" s="3"/>
      <c r="N10" s="3"/>
      <c r="O10" s="3"/>
      <c r="P10" s="3"/>
    </row>
    <row r="11" spans="1:16">
      <c r="A11" s="3"/>
      <c r="B11" s="3"/>
      <c r="C11" s="331"/>
      <c r="D11" s="332"/>
      <c r="E11" s="332"/>
      <c r="F11" s="332"/>
      <c r="G11" s="332"/>
      <c r="H11" s="332"/>
      <c r="I11" s="332"/>
      <c r="J11" s="332"/>
      <c r="K11" s="324"/>
      <c r="L11" s="3"/>
      <c r="M11" s="3"/>
      <c r="N11" s="3"/>
      <c r="O11" s="3"/>
      <c r="P11" s="3"/>
    </row>
    <row r="12" spans="1:16">
      <c r="A12" s="3"/>
      <c r="B12" s="3"/>
      <c r="C12" s="331"/>
      <c r="D12" s="332"/>
      <c r="E12" s="332"/>
      <c r="F12" s="332"/>
      <c r="G12" s="332"/>
      <c r="H12" s="332"/>
      <c r="I12" s="332"/>
      <c r="J12" s="332"/>
      <c r="K12" s="324"/>
      <c r="L12" s="3"/>
      <c r="M12" s="3"/>
      <c r="N12" s="3"/>
      <c r="O12" s="3"/>
      <c r="P12" s="3"/>
    </row>
    <row r="13" spans="1:16">
      <c r="A13" s="3"/>
      <c r="B13" s="3"/>
      <c r="C13" s="331"/>
      <c r="D13" s="332"/>
      <c r="E13" s="332"/>
      <c r="F13" s="332"/>
      <c r="G13" s="332"/>
      <c r="H13" s="332"/>
      <c r="I13" s="332"/>
      <c r="J13" s="332"/>
      <c r="K13" s="324"/>
      <c r="L13" s="3"/>
      <c r="M13" s="3"/>
      <c r="N13" s="3"/>
      <c r="O13" s="3"/>
      <c r="P13" s="3"/>
    </row>
    <row r="14" spans="1:16">
      <c r="A14" s="3"/>
      <c r="B14" s="3"/>
      <c r="C14" s="331"/>
      <c r="D14" s="332"/>
      <c r="E14" s="332"/>
      <c r="F14" s="332"/>
      <c r="G14" s="332"/>
      <c r="H14" s="332"/>
      <c r="I14" s="332"/>
      <c r="J14" s="332"/>
      <c r="K14" s="324"/>
      <c r="L14" s="3"/>
      <c r="M14" s="3"/>
      <c r="N14" s="3"/>
      <c r="O14" s="3"/>
      <c r="P14" s="3"/>
    </row>
    <row r="15" spans="1:16">
      <c r="A15" s="3"/>
      <c r="B15" s="3"/>
      <c r="C15" s="331"/>
      <c r="D15" s="332"/>
      <c r="E15" s="332"/>
      <c r="F15" s="332"/>
      <c r="G15" s="332"/>
      <c r="H15" s="332"/>
      <c r="I15" s="332"/>
      <c r="J15" s="332"/>
      <c r="K15" s="324"/>
      <c r="L15" s="3"/>
      <c r="M15" s="3"/>
      <c r="N15" s="3"/>
      <c r="O15" s="3"/>
      <c r="P15" s="3"/>
    </row>
    <row r="16" spans="1:16">
      <c r="A16" s="3"/>
      <c r="B16" s="3"/>
      <c r="C16" s="331" t="s">
        <v>1065</v>
      </c>
      <c r="D16" s="332"/>
      <c r="E16" s="343">
        <v>2.5</v>
      </c>
      <c r="F16" s="332" t="s">
        <v>160</v>
      </c>
      <c r="G16" s="403">
        <f>10*LOG10(E16)</f>
        <v>3.9794000867203758</v>
      </c>
      <c r="H16" s="332" t="s">
        <v>161</v>
      </c>
      <c r="I16" s="329">
        <f>G16+30</f>
        <v>33.979400086720375</v>
      </c>
      <c r="J16" s="332" t="s">
        <v>859</v>
      </c>
      <c r="K16" s="324" t="s">
        <v>791</v>
      </c>
      <c r="L16" s="3"/>
      <c r="M16" s="3"/>
      <c r="N16" s="3"/>
      <c r="O16" s="3"/>
      <c r="P16" s="3"/>
    </row>
    <row r="17" spans="1:16">
      <c r="A17" s="3"/>
      <c r="B17" s="3"/>
      <c r="C17" s="331"/>
      <c r="D17" s="332"/>
      <c r="E17" s="332"/>
      <c r="F17" s="332"/>
      <c r="G17" s="332"/>
      <c r="H17" s="332"/>
      <c r="I17" s="332"/>
      <c r="J17" s="332"/>
      <c r="K17" s="324"/>
      <c r="L17" s="3"/>
      <c r="M17" s="3"/>
      <c r="N17" s="3"/>
      <c r="O17" s="3"/>
      <c r="P17" s="3"/>
    </row>
    <row r="18" spans="1:16">
      <c r="A18" s="3"/>
      <c r="B18" s="3"/>
      <c r="C18" s="331" t="s">
        <v>203</v>
      </c>
      <c r="D18" s="332"/>
      <c r="E18" s="332"/>
      <c r="F18" s="332" t="s">
        <v>791</v>
      </c>
      <c r="G18" s="332"/>
      <c r="H18" s="332"/>
      <c r="I18" s="332"/>
      <c r="J18" s="332"/>
      <c r="K18" s="324"/>
      <c r="L18" s="3"/>
      <c r="M18" s="3"/>
      <c r="N18" s="3"/>
      <c r="O18" s="3"/>
      <c r="P18" s="3"/>
    </row>
    <row r="19" spans="1:16">
      <c r="A19" s="3"/>
      <c r="B19" s="3"/>
      <c r="C19" s="331"/>
      <c r="D19" s="969" t="s">
        <v>178</v>
      </c>
      <c r="E19" s="521" t="s">
        <v>1029</v>
      </c>
      <c r="F19" s="970"/>
      <c r="G19" s="332"/>
      <c r="H19" s="332"/>
      <c r="I19" s="343">
        <v>0.3</v>
      </c>
      <c r="J19" s="332" t="s">
        <v>831</v>
      </c>
      <c r="K19" s="324"/>
      <c r="L19" s="3"/>
      <c r="M19" s="3"/>
      <c r="N19" s="3"/>
      <c r="O19" s="3"/>
      <c r="P19" s="3"/>
    </row>
    <row r="20" spans="1:16">
      <c r="A20" s="3"/>
      <c r="B20" s="3"/>
      <c r="C20" s="331"/>
      <c r="D20" s="969" t="s">
        <v>179</v>
      </c>
      <c r="E20" s="521" t="s">
        <v>1029</v>
      </c>
      <c r="F20" s="970"/>
      <c r="G20" s="332"/>
      <c r="H20" s="332"/>
      <c r="I20" s="343">
        <v>0.61</v>
      </c>
      <c r="J20" s="332" t="s">
        <v>831</v>
      </c>
      <c r="K20" s="324"/>
      <c r="L20" s="3"/>
      <c r="M20" s="3"/>
      <c r="N20" s="3"/>
      <c r="O20" s="3"/>
      <c r="P20" s="3"/>
    </row>
    <row r="21" spans="1:16">
      <c r="A21" s="3"/>
      <c r="B21" s="3"/>
      <c r="C21" s="331"/>
      <c r="D21" s="969" t="s">
        <v>180</v>
      </c>
      <c r="E21" s="521" t="s">
        <v>1033</v>
      </c>
      <c r="F21" s="970"/>
      <c r="G21" s="332"/>
      <c r="H21" s="332"/>
      <c r="I21" s="343">
        <v>8.26</v>
      </c>
      <c r="J21" s="332" t="s">
        <v>831</v>
      </c>
      <c r="K21" s="324"/>
      <c r="L21" s="3"/>
      <c r="M21" s="3"/>
      <c r="N21" s="3"/>
      <c r="O21" s="3"/>
      <c r="P21" s="3"/>
    </row>
    <row r="22" spans="1:16">
      <c r="A22" s="3"/>
      <c r="B22" s="3"/>
      <c r="C22" s="331"/>
      <c r="D22" s="999" t="s">
        <v>1070</v>
      </c>
      <c r="E22" s="521" t="s">
        <v>1033</v>
      </c>
      <c r="F22" s="970"/>
      <c r="G22" s="332"/>
      <c r="H22" s="332"/>
      <c r="I22" s="343">
        <v>1</v>
      </c>
      <c r="J22" s="332" t="s">
        <v>831</v>
      </c>
      <c r="K22" s="324"/>
      <c r="L22" s="3"/>
      <c r="M22" s="3"/>
      <c r="N22" s="3"/>
      <c r="O22" s="3"/>
      <c r="P22" s="3"/>
    </row>
    <row r="23" spans="1:16">
      <c r="A23" s="3"/>
      <c r="B23" s="3"/>
      <c r="C23" s="331"/>
      <c r="D23" s="332"/>
      <c r="E23" s="332"/>
      <c r="F23" s="332" t="s">
        <v>791</v>
      </c>
      <c r="G23" s="332"/>
      <c r="H23" s="332"/>
      <c r="I23" s="332"/>
      <c r="J23" s="332" t="s">
        <v>791</v>
      </c>
      <c r="K23" s="324"/>
      <c r="L23" s="3"/>
      <c r="M23" s="3"/>
      <c r="N23" s="3"/>
      <c r="O23" s="3"/>
      <c r="P23" s="3"/>
    </row>
    <row r="24" spans="1:16">
      <c r="A24" s="3"/>
      <c r="B24" s="3"/>
      <c r="C24" s="331"/>
      <c r="D24" s="998" t="s">
        <v>1072</v>
      </c>
      <c r="E24" s="332"/>
      <c r="F24" s="332" t="s">
        <v>791</v>
      </c>
      <c r="G24" s="332"/>
      <c r="H24" s="332"/>
      <c r="I24" s="698">
        <f>SUM(I19:I22)</f>
        <v>10.17</v>
      </c>
      <c r="J24" s="332" t="s">
        <v>831</v>
      </c>
      <c r="K24" s="324"/>
      <c r="L24" s="3"/>
      <c r="M24" s="3"/>
      <c r="N24" s="3"/>
      <c r="O24" s="3"/>
      <c r="P24" s="3"/>
    </row>
    <row r="25" spans="1:16">
      <c r="A25" s="3"/>
      <c r="B25" s="3"/>
      <c r="C25" s="331"/>
      <c r="D25" s="332"/>
      <c r="E25" s="332"/>
      <c r="F25" s="332"/>
      <c r="G25" s="332"/>
      <c r="H25" s="332"/>
      <c r="I25" s="698"/>
      <c r="J25" s="332"/>
      <c r="K25" s="324"/>
      <c r="L25" s="3"/>
      <c r="M25" s="3"/>
      <c r="N25" s="3"/>
      <c r="O25" s="3"/>
      <c r="P25" s="3"/>
    </row>
    <row r="26" spans="1:16">
      <c r="A26" s="3"/>
      <c r="B26" s="3"/>
      <c r="C26" s="331"/>
      <c r="D26" s="968" t="s">
        <v>1024</v>
      </c>
      <c r="E26" s="332"/>
      <c r="F26" s="332"/>
      <c r="G26" s="332"/>
      <c r="H26" s="332"/>
      <c r="I26" s="332"/>
      <c r="J26" s="332"/>
      <c r="K26" s="324"/>
      <c r="L26" s="3"/>
      <c r="M26" s="3"/>
      <c r="N26" s="3"/>
      <c r="O26" s="3"/>
      <c r="P26" s="3"/>
    </row>
    <row r="27" spans="1:16">
      <c r="A27" s="3"/>
      <c r="B27" s="3"/>
      <c r="C27" s="331"/>
      <c r="D27" s="332" t="s">
        <v>1025</v>
      </c>
      <c r="E27" s="975">
        <v>0.3</v>
      </c>
      <c r="F27" s="976" t="s">
        <v>1036</v>
      </c>
      <c r="G27" s="697">
        <f>Frequency!$M$10</f>
        <v>436.5</v>
      </c>
      <c r="H27" s="332" t="s">
        <v>173</v>
      </c>
      <c r="I27" s="983">
        <f>I19*E27</f>
        <v>0.09</v>
      </c>
      <c r="J27" s="332" t="s">
        <v>833</v>
      </c>
      <c r="K27" s="324"/>
      <c r="L27" s="3"/>
      <c r="M27" s="3"/>
      <c r="N27" s="3"/>
      <c r="O27" s="3"/>
      <c r="P27" s="3"/>
    </row>
    <row r="28" spans="1:16">
      <c r="A28" s="3"/>
      <c r="B28" s="3"/>
      <c r="C28" s="331"/>
      <c r="D28" s="968" t="s">
        <v>1026</v>
      </c>
      <c r="E28" s="975">
        <v>0.3</v>
      </c>
      <c r="F28" s="976" t="s">
        <v>1036</v>
      </c>
      <c r="G28" s="697">
        <f>Frequency!$M$10</f>
        <v>436.5</v>
      </c>
      <c r="H28" s="332" t="s">
        <v>173</v>
      </c>
      <c r="I28" s="983">
        <f>I20*E28</f>
        <v>0.183</v>
      </c>
      <c r="J28" s="332" t="s">
        <v>833</v>
      </c>
      <c r="K28" s="324"/>
      <c r="L28" s="3"/>
      <c r="M28" s="3"/>
      <c r="N28" s="3"/>
      <c r="O28" s="3"/>
      <c r="P28" s="3"/>
    </row>
    <row r="29" spans="1:16">
      <c r="A29" s="3"/>
      <c r="B29" s="3"/>
      <c r="C29" s="331"/>
      <c r="D29" s="968" t="s">
        <v>1027</v>
      </c>
      <c r="E29" s="975">
        <v>7.5899999999999995E-2</v>
      </c>
      <c r="F29" s="976" t="s">
        <v>1036</v>
      </c>
      <c r="G29" s="697">
        <f>Frequency!$M$10</f>
        <v>436.5</v>
      </c>
      <c r="H29" s="332" t="s">
        <v>173</v>
      </c>
      <c r="I29" s="983">
        <f>I21*E29</f>
        <v>0.62693399999999999</v>
      </c>
      <c r="J29" s="332" t="s">
        <v>833</v>
      </c>
      <c r="K29" s="324"/>
      <c r="L29" s="3"/>
      <c r="M29" s="3"/>
      <c r="N29" s="3"/>
      <c r="O29" s="3"/>
      <c r="P29" s="3"/>
    </row>
    <row r="30" spans="1:16">
      <c r="A30" s="3"/>
      <c r="B30" s="3"/>
      <c r="C30" s="331"/>
      <c r="D30" s="998" t="s">
        <v>1071</v>
      </c>
      <c r="E30" s="975">
        <v>7.5899999999999995E-2</v>
      </c>
      <c r="F30" s="976" t="s">
        <v>1036</v>
      </c>
      <c r="G30" s="697">
        <f>Frequency!$M$10</f>
        <v>436.5</v>
      </c>
      <c r="H30" s="332" t="s">
        <v>173</v>
      </c>
      <c r="I30" s="983">
        <f>I22*E30</f>
        <v>7.5899999999999995E-2</v>
      </c>
      <c r="J30" s="332" t="s">
        <v>833</v>
      </c>
      <c r="K30" s="324"/>
      <c r="L30" s="3"/>
      <c r="M30" s="3"/>
      <c r="N30" s="3"/>
      <c r="O30" s="3"/>
      <c r="P30" s="3"/>
    </row>
    <row r="31" spans="1:16">
      <c r="A31" s="3"/>
      <c r="B31" s="3"/>
      <c r="C31" s="331"/>
      <c r="D31" s="332"/>
      <c r="E31" s="336"/>
      <c r="F31" s="332"/>
      <c r="G31" s="334"/>
      <c r="H31" s="332"/>
      <c r="I31" s="334"/>
      <c r="J31" s="332"/>
      <c r="K31" s="324"/>
      <c r="L31" s="3"/>
      <c r="M31" s="699"/>
      <c r="N31" s="3"/>
      <c r="O31" s="3"/>
      <c r="P31" s="3"/>
    </row>
    <row r="32" spans="1:16">
      <c r="A32" s="3"/>
      <c r="B32" s="3"/>
      <c r="C32" s="331"/>
      <c r="D32" s="998" t="s">
        <v>1073</v>
      </c>
      <c r="E32" s="336"/>
      <c r="F32" s="332"/>
      <c r="G32" s="334"/>
      <c r="H32" s="332"/>
      <c r="I32" s="983">
        <f>SUM(I27:I30)</f>
        <v>0.97583399999999998</v>
      </c>
      <c r="J32" s="968" t="s">
        <v>833</v>
      </c>
      <c r="K32" s="324"/>
      <c r="L32" s="3"/>
      <c r="M32" s="699"/>
      <c r="N32" s="3"/>
      <c r="O32" s="3"/>
      <c r="P32" s="3"/>
    </row>
    <row r="33" spans="1:16">
      <c r="A33" s="3"/>
      <c r="B33" s="3"/>
      <c r="C33" s="331"/>
      <c r="D33" s="332"/>
      <c r="E33" s="336"/>
      <c r="F33" s="332"/>
      <c r="G33" s="334"/>
      <c r="H33" s="332"/>
      <c r="I33" s="334"/>
      <c r="J33" s="332"/>
      <c r="K33" s="324"/>
      <c r="L33" s="3"/>
      <c r="M33" s="699"/>
      <c r="N33" s="3"/>
      <c r="O33" s="3"/>
      <c r="P33" s="3"/>
    </row>
    <row r="34" spans="1:16">
      <c r="A34" s="3"/>
      <c r="B34" s="3"/>
      <c r="C34" s="331" t="s">
        <v>174</v>
      </c>
      <c r="D34" s="332"/>
      <c r="E34" s="336"/>
      <c r="F34" s="332"/>
      <c r="G34" s="334"/>
      <c r="H34" s="332"/>
      <c r="I34" s="334"/>
      <c r="J34" s="332"/>
      <c r="K34" s="324"/>
      <c r="L34" s="3"/>
      <c r="M34" s="3"/>
      <c r="N34" s="3"/>
      <c r="O34" s="3"/>
      <c r="P34" s="3"/>
    </row>
    <row r="35" spans="1:16">
      <c r="A35" s="3"/>
      <c r="B35" s="3"/>
      <c r="C35" s="331"/>
      <c r="D35" s="332"/>
      <c r="E35" s="336"/>
      <c r="F35" s="332"/>
      <c r="G35" s="334"/>
      <c r="H35" s="332"/>
      <c r="I35" s="334"/>
      <c r="J35" s="332"/>
      <c r="K35" s="324"/>
      <c r="L35" s="3"/>
      <c r="M35" s="3"/>
      <c r="N35" s="3"/>
      <c r="O35" s="3"/>
      <c r="P35" s="3"/>
    </row>
    <row r="36" spans="1:16">
      <c r="A36" s="3"/>
      <c r="B36" s="3"/>
      <c r="C36" s="331"/>
      <c r="D36" s="332" t="s">
        <v>171</v>
      </c>
      <c r="E36" s="265">
        <v>8</v>
      </c>
      <c r="F36" s="968" t="s">
        <v>1034</v>
      </c>
      <c r="G36" s="332"/>
      <c r="H36" s="332"/>
      <c r="I36" s="972">
        <f>E36*0.05</f>
        <v>0.4</v>
      </c>
      <c r="J36" s="332" t="s">
        <v>833</v>
      </c>
      <c r="K36" s="324"/>
      <c r="L36" s="79"/>
      <c r="M36" s="3"/>
      <c r="N36" s="3"/>
      <c r="O36" s="3"/>
      <c r="P36" s="3"/>
    </row>
    <row r="37" spans="1:16">
      <c r="A37" s="3"/>
      <c r="B37" s="3"/>
      <c r="C37" s="331"/>
      <c r="D37" s="332" t="s">
        <v>172</v>
      </c>
      <c r="E37" s="335" t="s">
        <v>185</v>
      </c>
      <c r="F37" s="521" t="s">
        <v>1032</v>
      </c>
      <c r="G37" s="367"/>
      <c r="H37" s="332"/>
      <c r="I37" s="343">
        <v>0.1</v>
      </c>
      <c r="J37" s="332" t="s">
        <v>833</v>
      </c>
      <c r="K37" s="981" t="s">
        <v>1066</v>
      </c>
      <c r="L37" s="3"/>
      <c r="M37" s="3"/>
      <c r="N37" s="3"/>
      <c r="O37" s="3"/>
      <c r="P37" s="3"/>
    </row>
    <row r="38" spans="1:16">
      <c r="A38" s="3"/>
      <c r="B38" s="3"/>
      <c r="C38" s="331"/>
      <c r="D38" s="332" t="s">
        <v>172</v>
      </c>
      <c r="E38" s="335" t="s">
        <v>185</v>
      </c>
      <c r="F38" s="521" t="s">
        <v>1051</v>
      </c>
      <c r="G38" s="367"/>
      <c r="H38" s="332"/>
      <c r="I38" s="128">
        <v>0.1</v>
      </c>
      <c r="J38" s="332" t="s">
        <v>833</v>
      </c>
      <c r="K38" s="981"/>
      <c r="L38" s="3"/>
      <c r="M38" s="3"/>
      <c r="N38" s="3"/>
      <c r="O38" s="3"/>
      <c r="P38" s="3"/>
    </row>
    <row r="39" spans="1:16">
      <c r="A39" s="3"/>
      <c r="B39" s="3"/>
      <c r="C39" s="331"/>
      <c r="D39" s="332" t="s">
        <v>172</v>
      </c>
      <c r="E39" s="335" t="s">
        <v>185</v>
      </c>
      <c r="F39" s="521" t="s">
        <v>1064</v>
      </c>
      <c r="G39" s="367"/>
      <c r="H39" s="332"/>
      <c r="I39" s="343">
        <v>0.5</v>
      </c>
      <c r="J39" s="332" t="s">
        <v>833</v>
      </c>
      <c r="K39" s="981" t="s">
        <v>1063</v>
      </c>
      <c r="L39" s="3"/>
      <c r="M39" s="3"/>
      <c r="N39" s="3"/>
      <c r="O39" s="3"/>
      <c r="P39" s="3"/>
    </row>
    <row r="40" spans="1:16">
      <c r="A40" s="3"/>
      <c r="B40" s="3"/>
      <c r="C40" s="331"/>
      <c r="D40" s="332"/>
      <c r="E40" s="335"/>
      <c r="F40" s="337"/>
      <c r="G40" s="332"/>
      <c r="H40" s="332"/>
      <c r="I40" s="333"/>
      <c r="J40" s="332"/>
      <c r="K40" s="324"/>
      <c r="L40" s="3"/>
      <c r="M40" s="3"/>
      <c r="N40" s="3"/>
      <c r="O40" s="3"/>
      <c r="P40" s="3"/>
    </row>
    <row r="41" spans="1:16">
      <c r="A41" s="3"/>
      <c r="B41" s="3"/>
      <c r="C41" s="331"/>
      <c r="D41" s="332" t="s">
        <v>177</v>
      </c>
      <c r="E41" s="332"/>
      <c r="F41" s="332" t="s">
        <v>504</v>
      </c>
      <c r="G41" s="332"/>
      <c r="H41" s="332"/>
      <c r="I41" s="343">
        <v>0.18</v>
      </c>
      <c r="J41" s="332" t="s">
        <v>833</v>
      </c>
      <c r="K41" s="324"/>
      <c r="L41" s="3"/>
      <c r="M41" s="3"/>
      <c r="N41" s="3"/>
      <c r="O41" s="3"/>
      <c r="P41" s="3"/>
    </row>
    <row r="42" spans="1:16">
      <c r="A42" s="3"/>
      <c r="B42" s="3"/>
      <c r="C42" s="331"/>
      <c r="D42" s="332"/>
      <c r="E42" s="332"/>
      <c r="F42" s="332"/>
      <c r="G42" s="332"/>
      <c r="H42" s="332"/>
      <c r="I42" s="333"/>
      <c r="J42" s="332"/>
      <c r="K42" s="324"/>
      <c r="L42" s="3"/>
      <c r="M42" s="3"/>
      <c r="N42" s="3"/>
      <c r="O42" s="3"/>
      <c r="P42" s="3"/>
    </row>
    <row r="43" spans="1:16" ht="13">
      <c r="A43" s="3"/>
      <c r="B43" s="3"/>
      <c r="C43" s="331" t="s">
        <v>175</v>
      </c>
      <c r="D43" s="332"/>
      <c r="E43" s="332"/>
      <c r="F43" s="332"/>
      <c r="G43" s="332"/>
      <c r="H43" s="332"/>
      <c r="I43" s="720">
        <f>SUM(I32:I41)</f>
        <v>2.2558340000000006</v>
      </c>
      <c r="J43" s="332" t="s">
        <v>833</v>
      </c>
      <c r="K43" s="324"/>
      <c r="L43" s="3"/>
      <c r="M43" s="3"/>
      <c r="N43" s="3"/>
      <c r="O43" s="3"/>
      <c r="P43" s="3"/>
    </row>
    <row r="44" spans="1:16">
      <c r="A44" s="3"/>
      <c r="B44" s="3"/>
      <c r="C44" s="331"/>
      <c r="D44" s="332"/>
      <c r="E44" s="332"/>
      <c r="F44" s="332"/>
      <c r="G44" s="332"/>
      <c r="H44" s="332"/>
      <c r="I44" s="338"/>
      <c r="J44" s="332"/>
      <c r="K44" s="324"/>
      <c r="L44" s="3"/>
      <c r="M44" s="3"/>
      <c r="N44" s="3"/>
      <c r="O44" s="3"/>
      <c r="P44" s="3"/>
    </row>
    <row r="45" spans="1:16">
      <c r="A45" s="3"/>
      <c r="B45" s="3"/>
      <c r="C45" s="331" t="s">
        <v>183</v>
      </c>
      <c r="D45" s="332"/>
      <c r="E45" s="332"/>
      <c r="F45" s="332"/>
      <c r="G45" s="332"/>
      <c r="H45" s="332"/>
      <c r="I45" s="328">
        <f>G16-I43</f>
        <v>1.7235660867203753</v>
      </c>
      <c r="J45" s="332" t="s">
        <v>858</v>
      </c>
      <c r="K45" s="324"/>
      <c r="L45" s="3"/>
      <c r="M45" s="3"/>
      <c r="N45" s="3"/>
      <c r="O45" s="3"/>
      <c r="P45" s="3"/>
    </row>
    <row r="46" spans="1:16">
      <c r="A46" s="3"/>
      <c r="B46" s="3"/>
      <c r="C46" s="339"/>
      <c r="D46" s="340"/>
      <c r="E46" s="340"/>
      <c r="F46" s="340"/>
      <c r="G46" s="340"/>
      <c r="H46" s="340"/>
      <c r="I46" s="340"/>
      <c r="J46" s="340"/>
      <c r="K46" s="341"/>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3" t="s">
        <v>158</v>
      </c>
      <c r="C49" s="189"/>
      <c r="D49" s="189"/>
      <c r="E49" s="189"/>
      <c r="F49" s="189"/>
      <c r="G49" s="190"/>
      <c r="H49" s="3"/>
      <c r="I49" s="3"/>
      <c r="J49" s="3"/>
      <c r="K49" s="3"/>
      <c r="L49" s="3"/>
      <c r="M49" s="3" t="s">
        <v>791</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00" t="s">
        <v>1074</v>
      </c>
      <c r="D52" s="1001"/>
      <c r="E52" s="1001"/>
      <c r="F52" s="180"/>
      <c r="G52" s="180"/>
      <c r="H52" s="180"/>
      <c r="I52" s="180"/>
      <c r="J52" s="180"/>
      <c r="K52" s="100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1065</v>
      </c>
      <c r="D60" s="141"/>
      <c r="E60" s="128">
        <v>0.25</v>
      </c>
      <c r="F60" s="141" t="s">
        <v>160</v>
      </c>
      <c r="G60" s="403">
        <f>10*LOG10(E60)</f>
        <v>-6.0205999132796242</v>
      </c>
      <c r="H60" s="141" t="s">
        <v>161</v>
      </c>
      <c r="I60" s="329">
        <f>G60+30</f>
        <v>23.979400086720375</v>
      </c>
      <c r="J60" s="141" t="s">
        <v>859</v>
      </c>
      <c r="K60" s="182" t="s">
        <v>791</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791</v>
      </c>
      <c r="G62" s="141"/>
      <c r="H62" s="141"/>
      <c r="I62" s="141"/>
      <c r="J62" s="141"/>
      <c r="K62" s="182"/>
      <c r="L62" s="3"/>
      <c r="M62" s="3"/>
      <c r="N62" s="3"/>
      <c r="O62" s="3"/>
      <c r="P62" s="3"/>
    </row>
    <row r="63" spans="1:16">
      <c r="A63" s="3"/>
      <c r="B63" s="3"/>
      <c r="C63" s="177"/>
      <c r="D63" s="141" t="s">
        <v>178</v>
      </c>
      <c r="E63" s="521" t="s">
        <v>1075</v>
      </c>
      <c r="F63" s="970"/>
      <c r="G63" s="141"/>
      <c r="H63" s="141"/>
      <c r="I63" s="1003">
        <v>6.0000000000000001E-3</v>
      </c>
      <c r="J63" s="141" t="s">
        <v>831</v>
      </c>
      <c r="K63" s="182"/>
      <c r="L63" s="3"/>
      <c r="M63" s="3"/>
      <c r="N63" s="3"/>
      <c r="O63" s="3"/>
      <c r="P63" s="3"/>
    </row>
    <row r="64" spans="1:16">
      <c r="A64" s="3"/>
      <c r="B64" s="3"/>
      <c r="C64" s="177"/>
      <c r="D64" s="141" t="s">
        <v>179</v>
      </c>
      <c r="E64" s="521"/>
      <c r="F64" s="970"/>
      <c r="G64" s="141"/>
      <c r="H64" s="141"/>
      <c r="I64" s="1003"/>
      <c r="J64" s="141" t="s">
        <v>831</v>
      </c>
      <c r="K64" s="182"/>
      <c r="L64" s="3"/>
      <c r="M64" s="3"/>
      <c r="N64" s="3"/>
      <c r="O64" s="3"/>
      <c r="P64" s="3"/>
    </row>
    <row r="65" spans="1:16">
      <c r="A65" s="3"/>
      <c r="B65" s="3"/>
      <c r="C65" s="177"/>
      <c r="D65" s="141" t="s">
        <v>180</v>
      </c>
      <c r="E65" s="521"/>
      <c r="F65" s="970"/>
      <c r="G65" s="141"/>
      <c r="H65" s="141"/>
      <c r="I65" s="1003"/>
      <c r="J65" s="141" t="s">
        <v>831</v>
      </c>
      <c r="K65" s="182"/>
      <c r="L65" s="3"/>
      <c r="M65" s="3"/>
      <c r="N65" s="3"/>
      <c r="O65" s="3"/>
      <c r="P65" s="3"/>
    </row>
    <row r="66" spans="1:16">
      <c r="A66" s="3"/>
      <c r="B66" s="3"/>
      <c r="C66" s="177"/>
      <c r="D66" s="141"/>
      <c r="E66" s="141"/>
      <c r="F66" s="141" t="s">
        <v>791</v>
      </c>
      <c r="G66" s="141"/>
      <c r="H66" s="141"/>
      <c r="I66" s="141"/>
      <c r="J66" s="141" t="s">
        <v>791</v>
      </c>
      <c r="K66" s="182"/>
      <c r="L66" s="3"/>
      <c r="M66" s="3"/>
      <c r="N66" s="3"/>
      <c r="O66" s="3"/>
      <c r="P66" s="3"/>
    </row>
    <row r="67" spans="1:16">
      <c r="A67" s="3"/>
      <c r="B67" s="3"/>
      <c r="C67" s="177"/>
      <c r="D67" s="141" t="s">
        <v>182</v>
      </c>
      <c r="E67" s="141"/>
      <c r="F67" s="141" t="s">
        <v>791</v>
      </c>
      <c r="G67" s="141"/>
      <c r="H67" s="141"/>
      <c r="I67" s="700">
        <f>SUM(I63:I65)</f>
        <v>6.0000000000000001E-3</v>
      </c>
      <c r="J67" s="141" t="s">
        <v>831</v>
      </c>
      <c r="K67" s="182"/>
      <c r="L67" s="3"/>
      <c r="M67" s="3"/>
      <c r="N67" s="3"/>
      <c r="O67" s="3"/>
      <c r="P67" s="3"/>
    </row>
    <row r="68" spans="1:16">
      <c r="A68" s="3"/>
      <c r="B68" s="3"/>
      <c r="C68" s="177"/>
      <c r="D68" s="141"/>
      <c r="E68" s="141"/>
      <c r="F68" s="141"/>
      <c r="G68" s="141"/>
      <c r="H68" s="141"/>
      <c r="I68" s="700"/>
      <c r="J68" s="141"/>
      <c r="K68" s="182"/>
      <c r="L68" s="3"/>
      <c r="M68" s="3"/>
      <c r="N68" s="3"/>
      <c r="O68" s="3"/>
      <c r="P68" s="3"/>
    </row>
    <row r="69" spans="1:16">
      <c r="A69" s="3"/>
      <c r="B69" s="3"/>
      <c r="C69" s="177"/>
      <c r="D69" s="141" t="s">
        <v>1030</v>
      </c>
      <c r="E69" s="141"/>
      <c r="F69" s="141"/>
      <c r="G69" s="141"/>
      <c r="H69" s="141"/>
      <c r="I69" s="700"/>
      <c r="J69" s="141"/>
      <c r="K69" s="182"/>
      <c r="L69" s="3"/>
      <c r="M69" s="3"/>
      <c r="N69" s="3"/>
      <c r="O69" s="3"/>
      <c r="P69" s="3"/>
    </row>
    <row r="70" spans="1:16">
      <c r="A70" s="3"/>
      <c r="B70" s="3"/>
      <c r="C70" s="177"/>
      <c r="D70" s="141" t="s">
        <v>1025</v>
      </c>
      <c r="E70" s="1004">
        <v>1.26</v>
      </c>
      <c r="F70" s="192" t="s">
        <v>1036</v>
      </c>
      <c r="G70" s="410">
        <f>Frequency!$M$16</f>
        <v>436.5</v>
      </c>
      <c r="H70" s="141" t="s">
        <v>173</v>
      </c>
      <c r="I70" s="192">
        <f>I63*E70</f>
        <v>7.5599999999999999E-3</v>
      </c>
      <c r="J70" s="141" t="s">
        <v>833</v>
      </c>
      <c r="K70" s="182"/>
      <c r="L70" s="3"/>
      <c r="M70" s="3"/>
      <c r="N70" s="3"/>
      <c r="O70" s="3"/>
      <c r="P70" s="3"/>
    </row>
    <row r="71" spans="1:16">
      <c r="A71" s="3"/>
      <c r="B71" s="3"/>
      <c r="C71" s="177"/>
      <c r="D71" s="141" t="s">
        <v>1026</v>
      </c>
      <c r="E71" s="1004"/>
      <c r="F71" s="192" t="s">
        <v>1036</v>
      </c>
      <c r="G71" s="410">
        <f>Frequency!$M$16</f>
        <v>436.5</v>
      </c>
      <c r="H71" s="141" t="s">
        <v>173</v>
      </c>
      <c r="I71" s="192">
        <f t="shared" ref="I71:I72" si="0">I64*E71</f>
        <v>0</v>
      </c>
      <c r="J71" s="141" t="s">
        <v>833</v>
      </c>
      <c r="K71" s="182"/>
      <c r="L71" s="3"/>
      <c r="M71" s="3"/>
      <c r="N71" s="3"/>
      <c r="O71" s="3"/>
      <c r="P71" s="3"/>
    </row>
    <row r="72" spans="1:16">
      <c r="A72" s="3"/>
      <c r="B72" s="3"/>
      <c r="C72" s="177"/>
      <c r="D72" s="141" t="s">
        <v>1027</v>
      </c>
      <c r="E72" s="1004"/>
      <c r="F72" s="192" t="s">
        <v>1036</v>
      </c>
      <c r="G72" s="410">
        <f>Frequency!$M$16</f>
        <v>436.5</v>
      </c>
      <c r="H72" s="141" t="s">
        <v>173</v>
      </c>
      <c r="I72" s="192">
        <f t="shared" si="0"/>
        <v>0</v>
      </c>
      <c r="J72" s="141" t="s">
        <v>833</v>
      </c>
      <c r="K72" s="182"/>
      <c r="L72" s="3"/>
      <c r="M72" s="3"/>
      <c r="N72" s="3"/>
      <c r="O72" s="3"/>
      <c r="P72" s="3"/>
    </row>
    <row r="73" spans="1:16">
      <c r="A73" s="3"/>
      <c r="B73" s="3"/>
      <c r="C73" s="177"/>
      <c r="D73" s="141"/>
      <c r="E73" s="1005"/>
      <c r="F73" s="141"/>
      <c r="G73" s="192"/>
      <c r="H73" s="141"/>
      <c r="I73" s="192"/>
      <c r="J73" s="141"/>
      <c r="K73" s="182"/>
      <c r="L73" s="3"/>
      <c r="M73" s="3"/>
      <c r="N73" s="3"/>
      <c r="O73" s="3"/>
      <c r="P73" s="3"/>
    </row>
    <row r="74" spans="1:16">
      <c r="A74" s="3"/>
      <c r="B74" s="3"/>
      <c r="C74" s="177"/>
      <c r="D74" s="141" t="s">
        <v>1028</v>
      </c>
      <c r="E74" s="1005"/>
      <c r="F74" s="141"/>
      <c r="G74" s="192"/>
      <c r="H74" s="141"/>
      <c r="I74" s="192">
        <f>SUM(I70:I72)</f>
        <v>7.5599999999999999E-3</v>
      </c>
      <c r="J74" s="141" t="s">
        <v>833</v>
      </c>
      <c r="K74" s="182"/>
      <c r="L74" s="3"/>
      <c r="M74" s="3"/>
      <c r="N74" s="3"/>
      <c r="O74" s="3"/>
      <c r="P74" s="3"/>
    </row>
    <row r="75" spans="1:16">
      <c r="A75" s="3"/>
      <c r="B75" s="3"/>
      <c r="C75" s="177"/>
      <c r="D75" s="141"/>
      <c r="E75" s="1005"/>
      <c r="F75" s="141"/>
      <c r="G75" s="192"/>
      <c r="H75" s="141"/>
      <c r="I75" s="192"/>
      <c r="J75" s="141"/>
      <c r="K75" s="182"/>
      <c r="L75" s="3"/>
      <c r="M75" s="3"/>
      <c r="N75" s="3"/>
      <c r="O75" s="3"/>
      <c r="P75" s="3"/>
    </row>
    <row r="76" spans="1:16">
      <c r="A76" s="3"/>
      <c r="B76" s="3"/>
      <c r="C76" s="177" t="s">
        <v>174</v>
      </c>
      <c r="D76" s="141"/>
      <c r="E76" s="1005"/>
      <c r="F76" s="141"/>
      <c r="G76" s="192"/>
      <c r="H76" s="141"/>
      <c r="I76" s="192"/>
      <c r="J76" s="141"/>
      <c r="K76" s="182"/>
      <c r="L76" s="3"/>
      <c r="M76" s="3"/>
      <c r="N76" s="3"/>
      <c r="O76" s="3"/>
      <c r="P76" s="3"/>
    </row>
    <row r="77" spans="1:16">
      <c r="A77" s="3"/>
      <c r="B77" s="3"/>
      <c r="C77" s="177"/>
      <c r="D77" s="141"/>
      <c r="E77" s="1005"/>
      <c r="F77" s="141"/>
      <c r="G77" s="192"/>
      <c r="H77" s="141"/>
      <c r="I77" s="192"/>
      <c r="J77" s="141"/>
      <c r="K77" s="182"/>
      <c r="L77" s="3"/>
      <c r="M77" s="3"/>
      <c r="N77" s="3"/>
      <c r="O77" s="3"/>
      <c r="P77" s="3"/>
    </row>
    <row r="78" spans="1:16">
      <c r="A78" s="3"/>
      <c r="B78" s="3"/>
      <c r="C78" s="177"/>
      <c r="D78" s="141" t="s">
        <v>171</v>
      </c>
      <c r="E78" s="382">
        <v>1</v>
      </c>
      <c r="F78" s="725" t="s">
        <v>1035</v>
      </c>
      <c r="G78" s="141"/>
      <c r="H78" s="141"/>
      <c r="I78" s="971">
        <f>E78*0.05</f>
        <v>0.05</v>
      </c>
      <c r="J78" s="141" t="s">
        <v>833</v>
      </c>
      <c r="K78" s="1006"/>
      <c r="L78" s="3"/>
      <c r="M78" s="3"/>
      <c r="N78" s="3"/>
      <c r="O78" s="3"/>
      <c r="P78" s="3"/>
    </row>
    <row r="79" spans="1:16">
      <c r="A79" s="3"/>
      <c r="B79" s="3"/>
      <c r="C79" s="177"/>
      <c r="D79" s="141" t="s">
        <v>170</v>
      </c>
      <c r="E79" s="142" t="s">
        <v>185</v>
      </c>
      <c r="F79" s="959" t="s">
        <v>1031</v>
      </c>
      <c r="G79" s="367"/>
      <c r="H79" s="141"/>
      <c r="I79" s="128">
        <v>0.18</v>
      </c>
      <c r="J79" s="141" t="s">
        <v>833</v>
      </c>
      <c r="K79" s="182"/>
      <c r="L79" s="3"/>
      <c r="M79" s="3"/>
      <c r="N79" s="3"/>
      <c r="O79" s="3"/>
      <c r="P79" s="3"/>
    </row>
    <row r="80" spans="1:16">
      <c r="A80" s="3"/>
      <c r="B80" s="3"/>
      <c r="C80" s="177"/>
      <c r="D80" s="141" t="s">
        <v>172</v>
      </c>
      <c r="E80" s="142" t="s">
        <v>185</v>
      </c>
      <c r="F80" s="959" t="s">
        <v>1032</v>
      </c>
      <c r="G80" s="367"/>
      <c r="H80" s="141"/>
      <c r="I80" s="128">
        <v>0.2</v>
      </c>
      <c r="J80" s="141" t="s">
        <v>833</v>
      </c>
      <c r="K80" s="182"/>
      <c r="L80" s="3"/>
      <c r="M80" s="3"/>
      <c r="N80" s="3"/>
      <c r="O80" s="3"/>
      <c r="P80" s="3"/>
    </row>
    <row r="81" spans="1:16">
      <c r="A81" s="3"/>
      <c r="B81" s="3"/>
      <c r="C81" s="177"/>
      <c r="D81" s="141" t="s">
        <v>172</v>
      </c>
      <c r="E81" s="142" t="s">
        <v>185</v>
      </c>
      <c r="F81" s="959" t="s">
        <v>1076</v>
      </c>
      <c r="G81" s="367"/>
      <c r="H81" s="141"/>
      <c r="I81" s="128">
        <v>0.1</v>
      </c>
      <c r="J81" s="141" t="s">
        <v>833</v>
      </c>
      <c r="K81" s="182"/>
      <c r="L81" s="3"/>
      <c r="M81" s="3"/>
      <c r="N81" s="3"/>
      <c r="O81" s="3"/>
      <c r="P81" s="3"/>
    </row>
    <row r="82" spans="1:16">
      <c r="A82" s="3"/>
      <c r="B82" s="3"/>
      <c r="C82" s="177"/>
      <c r="D82" s="141"/>
      <c r="E82" s="142"/>
      <c r="F82" s="1007"/>
      <c r="G82" s="141"/>
      <c r="H82" s="141"/>
      <c r="I82" s="1008"/>
      <c r="J82" s="141"/>
      <c r="K82" s="182"/>
      <c r="L82" s="3"/>
      <c r="M82" s="3"/>
      <c r="N82" s="3"/>
      <c r="O82" s="3"/>
      <c r="P82" s="3"/>
    </row>
    <row r="83" spans="1:16">
      <c r="A83" s="3"/>
      <c r="B83" s="3"/>
      <c r="C83" s="177"/>
      <c r="D83" s="141" t="s">
        <v>177</v>
      </c>
      <c r="E83" s="141"/>
      <c r="F83" s="141" t="s">
        <v>504</v>
      </c>
      <c r="G83" s="141"/>
      <c r="H83" s="141"/>
      <c r="I83" s="128">
        <v>0.18</v>
      </c>
      <c r="J83" s="141" t="s">
        <v>833</v>
      </c>
      <c r="K83" s="182"/>
      <c r="L83" s="3"/>
      <c r="M83" s="3"/>
      <c r="N83" s="3"/>
      <c r="O83" s="3"/>
      <c r="P83" s="3"/>
    </row>
    <row r="84" spans="1:16">
      <c r="A84" s="3"/>
      <c r="B84" s="3"/>
      <c r="C84" s="177"/>
      <c r="D84" s="141"/>
      <c r="E84" s="141"/>
      <c r="F84" s="141"/>
      <c r="G84" s="141"/>
      <c r="H84" s="141"/>
      <c r="I84" s="1008"/>
      <c r="J84" s="141"/>
      <c r="K84" s="182"/>
      <c r="L84" s="3"/>
      <c r="M84" s="3"/>
      <c r="N84" s="3"/>
      <c r="O84" s="3"/>
      <c r="P84" s="3"/>
    </row>
    <row r="85" spans="1:16" ht="13">
      <c r="A85" s="3"/>
      <c r="B85" s="3"/>
      <c r="C85" s="177" t="s">
        <v>175</v>
      </c>
      <c r="D85" s="141"/>
      <c r="E85" s="141"/>
      <c r="F85" s="141"/>
      <c r="G85" s="141"/>
      <c r="H85" s="141"/>
      <c r="I85" s="720">
        <f>SUM(I74:I83)</f>
        <v>0.71755999999999998</v>
      </c>
      <c r="J85" s="141" t="s">
        <v>833</v>
      </c>
      <c r="K85" s="182"/>
      <c r="L85" s="3"/>
      <c r="M85" s="3"/>
      <c r="N85" s="3"/>
      <c r="O85" s="3"/>
      <c r="P85" s="3"/>
    </row>
    <row r="86" spans="1:16">
      <c r="A86" s="3"/>
      <c r="B86" s="3"/>
      <c r="C86" s="177"/>
      <c r="D86" s="141"/>
      <c r="E86" s="141"/>
      <c r="F86" s="141"/>
      <c r="G86" s="141"/>
      <c r="H86" s="141"/>
      <c r="I86" s="342"/>
      <c r="J86" s="141"/>
      <c r="K86" s="182"/>
      <c r="L86" s="3"/>
      <c r="M86" s="3"/>
      <c r="N86" s="3"/>
      <c r="O86" s="3"/>
      <c r="P86" s="3"/>
    </row>
    <row r="87" spans="1:16">
      <c r="A87" s="3"/>
      <c r="B87" s="3"/>
      <c r="C87" s="177" t="s">
        <v>184</v>
      </c>
      <c r="D87" s="141"/>
      <c r="E87" s="141"/>
      <c r="F87" s="141"/>
      <c r="G87" s="141"/>
      <c r="H87" s="141"/>
      <c r="I87" s="328">
        <f>G60-I85</f>
        <v>-6.7381599132796239</v>
      </c>
      <c r="J87" s="141" t="s">
        <v>858</v>
      </c>
      <c r="K87" s="182"/>
      <c r="L87" s="3"/>
      <c r="M87" s="3"/>
      <c r="N87" s="3"/>
      <c r="O87" s="3"/>
      <c r="P87" s="3"/>
    </row>
    <row r="88" spans="1:16">
      <c r="A88" s="3"/>
      <c r="B88" s="3"/>
      <c r="C88" s="236"/>
      <c r="D88" s="237"/>
      <c r="E88" s="237"/>
      <c r="F88" s="237"/>
      <c r="G88" s="237"/>
      <c r="H88" s="237"/>
      <c r="I88" s="237"/>
      <c r="J88" s="237"/>
      <c r="K88" s="238"/>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2"/>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186</v>
      </c>
      <c r="B1" s="127"/>
      <c r="C1" s="127"/>
      <c r="D1" s="127"/>
      <c r="E1" s="127"/>
      <c r="F1" s="127"/>
      <c r="G1" s="127"/>
      <c r="H1" s="676" t="str">
        <f>'Title Page'!F3</f>
        <v>OreSat - CS0</v>
      </c>
      <c r="I1" s="127"/>
      <c r="J1" s="127"/>
      <c r="K1" s="675" t="str">
        <f>'Title Page'!F23</f>
        <v>2019 May 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187</v>
      </c>
      <c r="C4" s="189"/>
      <c r="D4" s="189"/>
      <c r="E4" s="189"/>
      <c r="F4" s="190"/>
      <c r="G4" s="3"/>
      <c r="H4" s="3"/>
      <c r="I4" s="3"/>
      <c r="J4" s="528"/>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6" t="s">
        <v>253</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10" t="s">
        <v>1074</v>
      </c>
      <c r="D8" s="1011"/>
      <c r="E8" s="1011"/>
      <c r="F8" s="1011"/>
      <c r="G8" s="1011"/>
      <c r="H8" s="330"/>
      <c r="I8" s="330"/>
      <c r="J8" s="330"/>
      <c r="K8" s="330"/>
      <c r="L8" s="330"/>
      <c r="M8" s="978"/>
      <c r="N8" s="3"/>
      <c r="O8" s="3"/>
      <c r="P8" s="3"/>
      <c r="Q8" s="3"/>
      <c r="R8" s="3"/>
      <c r="S8" s="3"/>
      <c r="T8" s="3"/>
      <c r="U8" s="3"/>
      <c r="V8" s="3"/>
      <c r="W8" s="3"/>
      <c r="X8" s="3"/>
      <c r="Y8" s="3"/>
      <c r="Z8" s="3"/>
      <c r="AA8" s="3"/>
    </row>
    <row r="9" spans="1:27">
      <c r="A9" s="3"/>
      <c r="B9" s="3"/>
      <c r="C9" s="331"/>
      <c r="D9" s="332"/>
      <c r="E9" s="332"/>
      <c r="F9" s="332"/>
      <c r="G9" s="332"/>
      <c r="H9" s="332"/>
      <c r="I9" s="332"/>
      <c r="J9" s="332"/>
      <c r="K9" s="332"/>
      <c r="L9" s="332"/>
      <c r="M9" s="324"/>
      <c r="N9" s="3"/>
      <c r="O9" s="3"/>
      <c r="P9" s="3"/>
      <c r="Q9" s="3"/>
      <c r="R9" s="3"/>
      <c r="S9" s="3"/>
      <c r="T9" s="3"/>
      <c r="U9" s="3"/>
      <c r="V9" s="3"/>
      <c r="W9" s="3"/>
      <c r="X9" s="3"/>
      <c r="Y9" s="3"/>
      <c r="Z9" s="3"/>
      <c r="AA9" s="3"/>
    </row>
    <row r="10" spans="1:27">
      <c r="A10" s="3"/>
      <c r="B10" s="3"/>
      <c r="C10" s="331"/>
      <c r="D10" s="332"/>
      <c r="E10" s="332"/>
      <c r="F10" s="332"/>
      <c r="G10" s="332"/>
      <c r="H10" s="332"/>
      <c r="I10" s="332"/>
      <c r="J10" s="332"/>
      <c r="K10" s="332"/>
      <c r="L10" s="332"/>
      <c r="M10" s="324"/>
      <c r="N10" s="3"/>
      <c r="O10" s="3"/>
      <c r="P10" s="3"/>
      <c r="Q10" s="3"/>
      <c r="R10" s="3"/>
      <c r="S10" s="3"/>
      <c r="T10" s="3"/>
      <c r="U10" s="3"/>
      <c r="V10" s="3"/>
      <c r="W10" s="3"/>
      <c r="X10" s="3"/>
      <c r="Y10" s="3"/>
      <c r="Z10" s="3"/>
      <c r="AA10" s="3"/>
    </row>
    <row r="11" spans="1:27">
      <c r="A11" s="3"/>
      <c r="B11" s="3"/>
      <c r="C11" s="331"/>
      <c r="D11" s="332"/>
      <c r="E11" s="332"/>
      <c r="F11" s="332"/>
      <c r="G11" s="332"/>
      <c r="H11" s="332"/>
      <c r="I11" s="332"/>
      <c r="J11" s="332"/>
      <c r="K11" s="332"/>
      <c r="L11" s="332"/>
      <c r="M11" s="324"/>
      <c r="N11" s="3"/>
      <c r="O11" s="3"/>
      <c r="P11" s="3"/>
      <c r="Q11" s="3"/>
      <c r="R11" s="3"/>
      <c r="S11" s="3"/>
      <c r="T11" s="3"/>
      <c r="U11" s="3"/>
      <c r="V11" s="3"/>
      <c r="W11" s="3"/>
      <c r="X11" s="3"/>
      <c r="Y11" s="3"/>
      <c r="Z11" s="3"/>
      <c r="AA11" s="3"/>
    </row>
    <row r="12" spans="1:27">
      <c r="A12" s="3"/>
      <c r="B12" s="3"/>
      <c r="C12" s="331"/>
      <c r="D12" s="332"/>
      <c r="E12" s="332"/>
      <c r="F12" s="332"/>
      <c r="G12" s="332"/>
      <c r="H12" s="332"/>
      <c r="I12" s="332"/>
      <c r="J12" s="332"/>
      <c r="K12" s="332"/>
      <c r="L12" s="332"/>
      <c r="M12" s="324"/>
      <c r="N12" s="3"/>
      <c r="O12" s="3"/>
      <c r="P12" s="3"/>
      <c r="Q12" s="3"/>
      <c r="R12" s="3"/>
      <c r="S12" s="3"/>
      <c r="T12" s="3"/>
      <c r="U12" s="3"/>
      <c r="V12" s="3"/>
      <c r="W12" s="3"/>
      <c r="X12" s="3"/>
      <c r="Y12" s="3"/>
      <c r="Z12" s="3"/>
      <c r="AA12" s="3"/>
    </row>
    <row r="13" spans="1:27">
      <c r="A13" s="3"/>
      <c r="B13" s="3"/>
      <c r="C13" s="331"/>
      <c r="D13" s="332"/>
      <c r="E13" s="332"/>
      <c r="F13" s="332"/>
      <c r="G13" s="332"/>
      <c r="H13" s="332"/>
      <c r="I13" s="332"/>
      <c r="J13" s="332"/>
      <c r="K13" s="332"/>
      <c r="L13" s="332"/>
      <c r="M13" s="324"/>
      <c r="N13" s="3"/>
      <c r="O13" s="3"/>
      <c r="P13" s="3"/>
      <c r="Q13" s="3"/>
      <c r="R13" s="3"/>
      <c r="S13" s="3"/>
      <c r="T13" s="3"/>
      <c r="U13" s="3"/>
      <c r="V13" s="3"/>
      <c r="W13" s="3"/>
      <c r="X13" s="3"/>
      <c r="Y13" s="3"/>
      <c r="Z13" s="3"/>
      <c r="AA13" s="3"/>
    </row>
    <row r="14" spans="1:27">
      <c r="A14" s="3"/>
      <c r="B14" s="3"/>
      <c r="C14" s="331"/>
      <c r="D14" s="334"/>
      <c r="E14" s="332"/>
      <c r="F14" s="334"/>
      <c r="G14" s="332"/>
      <c r="H14" s="334"/>
      <c r="I14" s="332"/>
      <c r="J14" s="332"/>
      <c r="K14" s="332"/>
      <c r="L14" s="332"/>
      <c r="M14" s="324"/>
      <c r="N14" s="3"/>
      <c r="O14" s="3"/>
      <c r="P14" s="3"/>
      <c r="Q14" s="3"/>
      <c r="R14" s="3"/>
      <c r="S14" s="3"/>
      <c r="T14" s="3"/>
      <c r="U14" s="3"/>
      <c r="V14" s="3"/>
      <c r="W14" s="3"/>
      <c r="X14" s="3"/>
      <c r="Y14" s="3"/>
      <c r="Z14" s="3"/>
      <c r="AA14" s="3"/>
    </row>
    <row r="15" spans="1:27">
      <c r="A15" s="3"/>
      <c r="B15" s="3"/>
      <c r="C15" s="331"/>
      <c r="D15" s="332"/>
      <c r="E15" s="332"/>
      <c r="F15" s="332"/>
      <c r="G15" s="332"/>
      <c r="H15" s="332"/>
      <c r="I15" s="332"/>
      <c r="J15" s="332"/>
      <c r="K15" s="332"/>
      <c r="L15" s="332"/>
      <c r="M15" s="324"/>
      <c r="N15" s="3"/>
      <c r="O15" s="3"/>
      <c r="P15" s="3"/>
      <c r="Q15" s="3"/>
      <c r="R15" s="3"/>
      <c r="S15" s="3"/>
      <c r="T15" s="3"/>
      <c r="U15" s="3"/>
      <c r="V15" s="3"/>
      <c r="W15" s="3"/>
      <c r="X15" s="3"/>
      <c r="Y15" s="3"/>
      <c r="Z15" s="3"/>
      <c r="AA15" s="3"/>
    </row>
    <row r="16" spans="1:27">
      <c r="A16" s="3"/>
      <c r="B16" s="3"/>
      <c r="C16" s="331"/>
      <c r="D16" s="334"/>
      <c r="E16" s="332"/>
      <c r="F16" s="334"/>
      <c r="G16" s="332"/>
      <c r="H16" s="332"/>
      <c r="I16" s="332"/>
      <c r="J16" s="332"/>
      <c r="K16" s="332"/>
      <c r="L16" s="332"/>
      <c r="M16" s="324"/>
      <c r="N16" s="3"/>
      <c r="O16" s="3"/>
      <c r="P16" s="3"/>
      <c r="Q16" s="3"/>
      <c r="R16" s="3"/>
      <c r="S16" s="3"/>
      <c r="T16" s="3"/>
      <c r="U16" s="3"/>
      <c r="V16" s="3"/>
      <c r="W16" s="3"/>
      <c r="X16" s="3"/>
      <c r="Y16" s="3"/>
      <c r="Z16" s="3"/>
      <c r="AA16" s="3"/>
    </row>
    <row r="17" spans="1:27">
      <c r="A17" s="3"/>
      <c r="B17" s="3"/>
      <c r="C17" s="331"/>
      <c r="D17" s="332"/>
      <c r="E17" s="332"/>
      <c r="F17" s="332"/>
      <c r="G17" s="332"/>
      <c r="H17" s="332"/>
      <c r="I17" s="332"/>
      <c r="J17" s="332"/>
      <c r="K17" s="335"/>
      <c r="L17" s="332"/>
      <c r="M17" s="324"/>
      <c r="N17" s="3"/>
      <c r="O17" s="3"/>
      <c r="P17" s="3"/>
      <c r="Q17" s="3"/>
      <c r="R17" s="3"/>
      <c r="S17" s="3"/>
      <c r="T17" s="3"/>
      <c r="U17" s="3"/>
      <c r="V17" s="3"/>
      <c r="W17" s="3"/>
      <c r="X17" s="3"/>
      <c r="Y17" s="3"/>
      <c r="Z17" s="3"/>
      <c r="AA17" s="3"/>
    </row>
    <row r="18" spans="1:27">
      <c r="A18" s="3"/>
      <c r="B18" s="3"/>
      <c r="C18" s="331"/>
      <c r="D18" s="332"/>
      <c r="E18" s="332"/>
      <c r="F18" s="332"/>
      <c r="G18" s="332"/>
      <c r="H18" s="332"/>
      <c r="I18" s="332"/>
      <c r="J18" s="332"/>
      <c r="K18" s="332"/>
      <c r="L18" s="332"/>
      <c r="M18" s="324"/>
      <c r="N18" s="3"/>
      <c r="O18" s="3"/>
      <c r="P18" s="3"/>
      <c r="Q18" s="3"/>
      <c r="R18" s="3"/>
      <c r="S18" s="3"/>
      <c r="T18" s="3"/>
      <c r="U18" s="3"/>
      <c r="V18" s="3"/>
      <c r="W18" s="3"/>
      <c r="X18" s="3"/>
      <c r="Y18" s="3"/>
      <c r="Z18" s="3"/>
      <c r="AA18" s="3"/>
    </row>
    <row r="19" spans="1:27">
      <c r="A19" s="3"/>
      <c r="B19" s="3"/>
      <c r="C19" s="331"/>
      <c r="D19" s="332"/>
      <c r="E19" s="332"/>
      <c r="F19" s="332"/>
      <c r="G19" s="332"/>
      <c r="H19" s="332"/>
      <c r="I19" s="332"/>
      <c r="J19" s="332"/>
      <c r="K19" s="332"/>
      <c r="L19" s="332"/>
      <c r="M19" s="324"/>
      <c r="N19" s="3"/>
      <c r="O19" s="3"/>
      <c r="P19" s="3"/>
      <c r="Q19" s="3"/>
      <c r="R19" s="3"/>
      <c r="S19" s="3"/>
      <c r="T19" s="3"/>
      <c r="U19" s="3"/>
      <c r="V19" s="3"/>
      <c r="W19" s="3"/>
      <c r="X19" s="3"/>
      <c r="Y19" s="3"/>
      <c r="Z19" s="3"/>
      <c r="AA19" s="3"/>
    </row>
    <row r="20" spans="1:27">
      <c r="A20" s="3"/>
      <c r="B20" s="3"/>
      <c r="C20" s="331"/>
      <c r="D20" s="332" t="s">
        <v>1077</v>
      </c>
      <c r="E20" s="332"/>
      <c r="F20" s="332"/>
      <c r="G20" s="332"/>
      <c r="H20" s="332"/>
      <c r="I20" s="332"/>
      <c r="J20" s="332"/>
      <c r="K20" s="332"/>
      <c r="L20" s="332"/>
      <c r="M20" s="324"/>
      <c r="N20" s="3"/>
      <c r="O20" s="3"/>
      <c r="P20" s="3"/>
      <c r="Q20" s="3"/>
      <c r="R20" s="3"/>
      <c r="S20" s="3"/>
      <c r="T20" s="3"/>
      <c r="U20" s="3"/>
      <c r="V20" s="3"/>
      <c r="W20" s="3"/>
      <c r="X20" s="3"/>
      <c r="Y20" s="3"/>
      <c r="Z20" s="3"/>
      <c r="AA20" s="3"/>
    </row>
    <row r="21" spans="1:27">
      <c r="A21" s="3"/>
      <c r="B21" s="3"/>
      <c r="C21" s="331"/>
      <c r="D21" s="332"/>
      <c r="E21" s="332"/>
      <c r="F21" s="332"/>
      <c r="G21" s="332"/>
      <c r="H21" s="332"/>
      <c r="I21" s="332"/>
      <c r="J21" s="332"/>
      <c r="K21" s="332"/>
      <c r="L21" s="332"/>
      <c r="M21" s="324"/>
      <c r="N21" s="3"/>
      <c r="O21" s="3"/>
      <c r="P21" s="3"/>
      <c r="Q21" s="3"/>
      <c r="R21" s="3"/>
      <c r="S21" s="3"/>
      <c r="T21" s="3"/>
      <c r="U21" s="3"/>
      <c r="V21" s="3"/>
      <c r="W21" s="3"/>
      <c r="X21" s="3"/>
      <c r="Y21" s="3"/>
      <c r="Z21" s="3"/>
      <c r="AA21" s="3"/>
    </row>
    <row r="22" spans="1:27" ht="13">
      <c r="A22" s="3"/>
      <c r="B22" s="3"/>
      <c r="C22" s="331"/>
      <c r="D22" s="1009" t="s">
        <v>1078</v>
      </c>
      <c r="E22" s="332"/>
      <c r="F22" s="332"/>
      <c r="G22" s="332"/>
      <c r="H22" s="332"/>
      <c r="I22" s="332"/>
      <c r="J22" s="332"/>
      <c r="K22" s="332"/>
      <c r="L22" s="332"/>
      <c r="M22" s="324"/>
      <c r="N22" s="3"/>
      <c r="O22" s="3"/>
      <c r="P22" s="3"/>
      <c r="Q22" s="3"/>
      <c r="R22" s="3"/>
      <c r="S22" s="3"/>
      <c r="T22" s="3"/>
      <c r="U22" s="3"/>
      <c r="V22" s="3"/>
      <c r="W22" s="3"/>
      <c r="X22" s="3"/>
      <c r="Y22" s="3"/>
      <c r="Z22" s="3"/>
      <c r="AA22" s="3"/>
    </row>
    <row r="23" spans="1:27">
      <c r="A23" s="3"/>
      <c r="B23" s="3"/>
      <c r="C23" s="331"/>
      <c r="D23" s="332" t="s">
        <v>194</v>
      </c>
      <c r="E23" s="332"/>
      <c r="F23" s="332"/>
      <c r="G23" s="349"/>
      <c r="H23" s="332"/>
      <c r="I23" s="332"/>
      <c r="J23" s="332"/>
      <c r="K23" s="332"/>
      <c r="L23" s="332"/>
      <c r="M23" s="324"/>
      <c r="N23" s="3"/>
      <c r="O23" s="3"/>
      <c r="P23" s="3"/>
      <c r="Q23" s="3"/>
      <c r="R23" s="3"/>
      <c r="S23" s="3"/>
      <c r="T23" s="3"/>
      <c r="U23" s="3"/>
      <c r="V23" s="3"/>
      <c r="W23" s="3"/>
      <c r="X23" s="3"/>
      <c r="Y23" s="3"/>
      <c r="Z23" s="3"/>
      <c r="AA23" s="3"/>
    </row>
    <row r="24" spans="1:27">
      <c r="A24" s="3"/>
      <c r="B24" s="3"/>
      <c r="C24" s="331"/>
      <c r="D24" s="350" t="s">
        <v>1079</v>
      </c>
      <c r="E24" s="332"/>
      <c r="F24" s="332"/>
      <c r="G24" s="332"/>
      <c r="H24" s="332"/>
      <c r="I24" s="332"/>
      <c r="J24" s="332"/>
      <c r="K24" s="332"/>
      <c r="L24" s="332"/>
      <c r="M24" s="324"/>
      <c r="N24" s="3"/>
      <c r="O24" s="3"/>
      <c r="P24" s="3"/>
      <c r="Q24" s="3"/>
      <c r="R24" s="3"/>
      <c r="S24" s="3"/>
      <c r="T24" s="3"/>
      <c r="U24" s="3"/>
      <c r="V24" s="3"/>
      <c r="W24" s="3"/>
      <c r="X24" s="3"/>
      <c r="Y24" s="3"/>
      <c r="Z24" s="3"/>
      <c r="AA24" s="3"/>
    </row>
    <row r="25" spans="1:27">
      <c r="A25" s="3"/>
      <c r="B25" s="3"/>
      <c r="C25" s="331"/>
      <c r="D25" s="350" t="s">
        <v>1080</v>
      </c>
      <c r="E25" s="332"/>
      <c r="F25" s="332"/>
      <c r="G25" s="332"/>
      <c r="H25" s="332"/>
      <c r="I25" s="332"/>
      <c r="J25" s="332"/>
      <c r="K25" s="332"/>
      <c r="L25" s="332"/>
      <c r="M25" s="324"/>
      <c r="N25" s="3"/>
      <c r="O25" s="3"/>
      <c r="P25" s="3"/>
      <c r="Q25" s="3"/>
      <c r="R25" s="3"/>
      <c r="S25" s="3"/>
      <c r="T25" s="3"/>
      <c r="U25" s="3"/>
      <c r="V25" s="3"/>
      <c r="W25" s="3"/>
      <c r="X25" s="3"/>
      <c r="Y25" s="3"/>
      <c r="Z25" s="3"/>
      <c r="AA25" s="3"/>
    </row>
    <row r="26" spans="1:27">
      <c r="A26" s="3"/>
      <c r="B26" s="3"/>
      <c r="C26" s="331"/>
      <c r="D26" s="350" t="s">
        <v>1081</v>
      </c>
      <c r="E26" s="332"/>
      <c r="F26" s="332"/>
      <c r="G26" s="332"/>
      <c r="H26" s="332"/>
      <c r="I26" s="332"/>
      <c r="J26" s="332"/>
      <c r="K26" s="332"/>
      <c r="L26" s="332"/>
      <c r="M26" s="324"/>
      <c r="N26" s="3"/>
      <c r="O26" s="3"/>
      <c r="P26" s="3"/>
      <c r="Q26" s="3"/>
      <c r="R26" s="3"/>
      <c r="S26" s="3"/>
      <c r="T26" s="3"/>
      <c r="U26" s="3"/>
      <c r="V26" s="3"/>
      <c r="W26" s="3"/>
      <c r="X26" s="3"/>
      <c r="Y26" s="3"/>
      <c r="Z26" s="3"/>
      <c r="AA26" s="3"/>
    </row>
    <row r="27" spans="1:27">
      <c r="A27" s="3"/>
      <c r="B27" s="3"/>
      <c r="C27" s="331"/>
      <c r="D27" s="332" t="s">
        <v>1082</v>
      </c>
      <c r="E27" s="332"/>
      <c r="F27" s="332"/>
      <c r="G27" s="332"/>
      <c r="H27" s="332"/>
      <c r="I27" s="332"/>
      <c r="J27" s="332"/>
      <c r="K27" s="332"/>
      <c r="L27" s="332"/>
      <c r="M27" s="324"/>
      <c r="N27" s="3"/>
      <c r="O27" s="3"/>
      <c r="P27" s="3"/>
      <c r="Q27" s="3"/>
      <c r="R27" s="3"/>
      <c r="S27" s="3"/>
      <c r="T27" s="3"/>
      <c r="U27" s="3"/>
      <c r="V27" s="3"/>
      <c r="W27" s="3"/>
      <c r="X27" s="3"/>
      <c r="Y27" s="3"/>
      <c r="Z27" s="3"/>
      <c r="AA27" s="3"/>
    </row>
    <row r="28" spans="1:27">
      <c r="A28" s="3"/>
      <c r="B28" s="3"/>
      <c r="C28" s="331"/>
      <c r="D28" s="350" t="s">
        <v>1083</v>
      </c>
      <c r="E28" s="332"/>
      <c r="F28" s="332"/>
      <c r="G28" s="332"/>
      <c r="H28" s="332"/>
      <c r="I28" s="242" t="s">
        <v>237</v>
      </c>
      <c r="J28" s="332"/>
      <c r="K28" s="332"/>
      <c r="L28" s="332"/>
      <c r="M28" s="324"/>
      <c r="N28" s="3"/>
      <c r="O28" s="3"/>
      <c r="P28" s="3"/>
      <c r="Q28" s="3"/>
      <c r="R28" s="3"/>
      <c r="S28" s="3"/>
      <c r="T28" s="3"/>
      <c r="U28" s="3"/>
      <c r="V28" s="3"/>
      <c r="W28" s="3"/>
      <c r="X28" s="3"/>
      <c r="Y28" s="3"/>
      <c r="Z28" s="3"/>
      <c r="AA28" s="3"/>
    </row>
    <row r="29" spans="1:27">
      <c r="A29" s="3"/>
      <c r="B29" s="3"/>
      <c r="C29" s="331"/>
      <c r="D29" s="351" t="s">
        <v>1084</v>
      </c>
      <c r="E29" s="332"/>
      <c r="F29" s="332"/>
      <c r="G29" s="332"/>
      <c r="H29" s="332"/>
      <c r="I29" s="332"/>
      <c r="J29" s="332"/>
      <c r="K29" s="332"/>
      <c r="L29" s="332"/>
      <c r="M29" s="324"/>
      <c r="N29" s="3"/>
      <c r="O29" s="3"/>
      <c r="P29" s="3"/>
      <c r="Q29" s="3"/>
      <c r="R29" s="3"/>
      <c r="S29" s="3"/>
      <c r="T29" s="3"/>
      <c r="U29" s="3"/>
      <c r="V29" s="3"/>
      <c r="W29" s="3"/>
      <c r="X29" s="3"/>
      <c r="Y29" s="3"/>
      <c r="Z29" s="3"/>
      <c r="AA29" s="3"/>
    </row>
    <row r="30" spans="1:27">
      <c r="A30" s="3"/>
      <c r="B30" s="3"/>
      <c r="C30" s="331"/>
      <c r="D30" s="332" t="s">
        <v>194</v>
      </c>
      <c r="E30" s="332"/>
      <c r="F30" s="332"/>
      <c r="G30" s="332"/>
      <c r="H30" s="332"/>
      <c r="I30" s="332"/>
      <c r="J30" s="332"/>
      <c r="K30" s="332"/>
      <c r="L30" s="332"/>
      <c r="M30" s="324"/>
      <c r="N30" s="3"/>
      <c r="O30" s="3"/>
      <c r="P30" s="3"/>
      <c r="Q30" s="3"/>
      <c r="R30" s="3"/>
      <c r="S30" s="3"/>
      <c r="T30" s="3"/>
      <c r="U30" s="3"/>
      <c r="V30" s="3"/>
      <c r="W30" s="3"/>
      <c r="X30" s="3"/>
      <c r="Y30" s="3"/>
      <c r="Z30" s="3"/>
      <c r="AA30" s="3"/>
    </row>
    <row r="31" spans="1:27">
      <c r="A31" s="3"/>
      <c r="B31" s="3"/>
      <c r="C31" s="331"/>
      <c r="D31" s="332"/>
      <c r="E31" s="332" t="s">
        <v>1085</v>
      </c>
      <c r="F31" s="332"/>
      <c r="G31" s="332"/>
      <c r="H31" s="332"/>
      <c r="I31" s="332"/>
      <c r="J31" s="332"/>
      <c r="K31" s="332"/>
      <c r="L31" s="332"/>
      <c r="M31" s="324"/>
      <c r="N31" s="3"/>
      <c r="O31" s="3"/>
      <c r="P31" s="3"/>
      <c r="Q31" s="3"/>
      <c r="R31" s="3"/>
      <c r="S31" s="3"/>
      <c r="T31" s="3"/>
      <c r="U31" s="3"/>
      <c r="V31" s="3"/>
      <c r="W31" s="3"/>
      <c r="X31" s="3"/>
      <c r="Y31" s="3"/>
      <c r="Z31" s="3"/>
      <c r="AA31" s="3"/>
    </row>
    <row r="32" spans="1:27">
      <c r="A32" s="3"/>
      <c r="B32" s="3"/>
      <c r="C32" s="331"/>
      <c r="D32" s="332"/>
      <c r="E32" s="332" t="s">
        <v>1086</v>
      </c>
      <c r="F32" s="332"/>
      <c r="G32" s="332"/>
      <c r="H32" s="332"/>
      <c r="I32" s="332"/>
      <c r="J32" s="332"/>
      <c r="K32" s="332"/>
      <c r="L32" s="332"/>
      <c r="M32" s="324"/>
      <c r="N32" s="3"/>
      <c r="O32" s="3"/>
      <c r="P32" s="3"/>
      <c r="Q32" s="3"/>
      <c r="R32" s="3"/>
      <c r="S32" s="3"/>
      <c r="T32" s="3"/>
      <c r="U32" s="3"/>
      <c r="V32" s="3"/>
      <c r="W32" s="3"/>
      <c r="X32" s="3"/>
      <c r="Y32" s="3"/>
      <c r="Z32" s="3"/>
      <c r="AA32" s="3"/>
    </row>
    <row r="33" spans="1:27">
      <c r="A33" s="3"/>
      <c r="B33" s="3"/>
      <c r="C33" s="331"/>
      <c r="D33" s="332"/>
      <c r="E33" s="928" t="s">
        <v>1087</v>
      </c>
      <c r="F33" s="332"/>
      <c r="G33" s="332"/>
      <c r="H33" s="332"/>
      <c r="I33" s="332"/>
      <c r="J33" s="332"/>
      <c r="K33" s="332"/>
      <c r="L33" s="332"/>
      <c r="M33" s="324"/>
      <c r="N33" s="3"/>
      <c r="O33" s="3"/>
      <c r="P33" s="3"/>
      <c r="Q33" s="3"/>
      <c r="R33" s="3"/>
      <c r="S33" s="3"/>
      <c r="T33" s="3"/>
      <c r="U33" s="3"/>
      <c r="V33" s="3"/>
      <c r="W33" s="3"/>
      <c r="X33" s="3"/>
      <c r="Y33" s="3"/>
      <c r="Z33" s="3"/>
      <c r="AA33" s="3"/>
    </row>
    <row r="34" spans="1:27">
      <c r="A34" s="3"/>
      <c r="B34" s="3"/>
      <c r="C34" s="331"/>
      <c r="D34" s="332"/>
      <c r="E34" s="332"/>
      <c r="F34" s="332"/>
      <c r="G34" s="332"/>
      <c r="H34" s="332"/>
      <c r="I34" s="332"/>
      <c r="J34" s="332"/>
      <c r="K34" s="332"/>
      <c r="L34" s="332"/>
      <c r="M34" s="324"/>
      <c r="N34" s="3"/>
      <c r="O34" s="3"/>
      <c r="P34" s="3"/>
      <c r="Q34" s="3"/>
      <c r="R34" s="3"/>
      <c r="S34" s="3"/>
      <c r="T34" s="3"/>
      <c r="U34" s="3"/>
      <c r="V34" s="3"/>
      <c r="W34" s="3"/>
      <c r="X34" s="3"/>
      <c r="Y34" s="3"/>
      <c r="Z34" s="3"/>
      <c r="AA34" s="3"/>
    </row>
    <row r="35" spans="1:27">
      <c r="A35" s="3"/>
      <c r="B35" s="3"/>
      <c r="C35" s="331"/>
      <c r="D35" s="332"/>
      <c r="E35" s="332"/>
      <c r="F35" s="332"/>
      <c r="G35" s="332"/>
      <c r="H35" s="332"/>
      <c r="I35" s="332"/>
      <c r="J35" s="332"/>
      <c r="K35" s="332"/>
      <c r="L35" s="332"/>
      <c r="M35" s="324"/>
      <c r="N35" s="3"/>
      <c r="O35" s="3"/>
      <c r="P35" s="3"/>
      <c r="Q35" s="3"/>
      <c r="R35" s="3"/>
      <c r="S35" s="3"/>
      <c r="T35" s="3"/>
      <c r="U35" s="3"/>
      <c r="V35" s="3"/>
      <c r="W35" s="3"/>
      <c r="X35" s="3"/>
      <c r="Y35" s="3"/>
      <c r="Z35" s="3"/>
      <c r="AA35" s="3"/>
    </row>
    <row r="36" spans="1:27">
      <c r="A36" s="3"/>
      <c r="B36" s="3"/>
      <c r="C36" s="331"/>
      <c r="D36" s="332" t="s">
        <v>202</v>
      </c>
      <c r="E36" s="332"/>
      <c r="F36" s="332"/>
      <c r="G36" s="332"/>
      <c r="H36" s="332"/>
      <c r="I36" s="332"/>
      <c r="J36" s="332"/>
      <c r="K36" s="332"/>
      <c r="L36" s="332"/>
      <c r="M36" s="324"/>
      <c r="N36" s="3"/>
      <c r="O36" s="3"/>
      <c r="P36" s="3"/>
      <c r="Q36" s="3"/>
      <c r="R36" s="3"/>
      <c r="S36" s="3"/>
      <c r="T36" s="3"/>
      <c r="U36" s="3"/>
      <c r="V36" s="3"/>
      <c r="W36" s="3"/>
      <c r="X36" s="3"/>
      <c r="Y36" s="3"/>
      <c r="Z36" s="3"/>
      <c r="AA36" s="3"/>
    </row>
    <row r="37" spans="1:27">
      <c r="A37" s="3"/>
      <c r="B37" s="3"/>
      <c r="C37" s="331"/>
      <c r="D37" s="332"/>
      <c r="E37" s="332"/>
      <c r="F37" s="332"/>
      <c r="G37" s="332"/>
      <c r="H37" s="332"/>
      <c r="I37" s="332"/>
      <c r="J37" s="332"/>
      <c r="K37" s="332"/>
      <c r="L37" s="332"/>
      <c r="M37" s="324"/>
      <c r="N37" s="3"/>
      <c r="O37" s="3"/>
      <c r="P37" s="3"/>
      <c r="Q37" s="3"/>
      <c r="R37" s="3"/>
      <c r="S37" s="3"/>
      <c r="T37" s="3"/>
      <c r="U37" s="3"/>
      <c r="V37" s="3"/>
      <c r="W37" s="3"/>
      <c r="X37" s="3"/>
      <c r="Y37" s="3"/>
      <c r="Z37" s="3"/>
      <c r="AA37" s="3"/>
    </row>
    <row r="38" spans="1:27">
      <c r="A38" s="3"/>
      <c r="B38" s="3"/>
      <c r="C38" s="331"/>
      <c r="D38" s="335" t="s">
        <v>791</v>
      </c>
      <c r="E38" s="332" t="s">
        <v>178</v>
      </c>
      <c r="F38" s="332"/>
      <c r="G38" s="521" t="s">
        <v>1075</v>
      </c>
      <c r="H38" s="970"/>
      <c r="I38" s="332"/>
      <c r="J38" s="1003">
        <v>6.0000000000000001E-3</v>
      </c>
      <c r="K38" s="332" t="s">
        <v>831</v>
      </c>
      <c r="L38" s="332"/>
      <c r="M38" s="324"/>
      <c r="N38" s="3"/>
      <c r="O38" s="3"/>
      <c r="P38" s="3"/>
      <c r="Q38" s="3"/>
      <c r="R38" s="3"/>
      <c r="S38" s="3"/>
      <c r="T38" s="3"/>
      <c r="U38" s="3"/>
      <c r="V38" s="3"/>
      <c r="W38" s="3"/>
      <c r="X38" s="3"/>
      <c r="Y38" s="3"/>
      <c r="Z38" s="3"/>
      <c r="AA38" s="3"/>
    </row>
    <row r="39" spans="1:27">
      <c r="A39" s="3"/>
      <c r="B39" s="3"/>
      <c r="C39" s="331"/>
      <c r="D39" s="332"/>
      <c r="E39" s="332" t="s">
        <v>179</v>
      </c>
      <c r="F39" s="332"/>
      <c r="G39" s="521"/>
      <c r="H39" s="970"/>
      <c r="I39" s="332"/>
      <c r="J39" s="1003"/>
      <c r="K39" s="332" t="s">
        <v>831</v>
      </c>
      <c r="L39" s="332"/>
      <c r="M39" s="324"/>
      <c r="N39" s="3"/>
      <c r="O39" s="3"/>
      <c r="P39" s="3"/>
      <c r="Q39" s="3"/>
      <c r="R39" s="3"/>
      <c r="S39" s="3"/>
      <c r="T39" s="3"/>
      <c r="U39" s="3"/>
      <c r="V39" s="3"/>
      <c r="W39" s="3"/>
      <c r="X39" s="3"/>
      <c r="Y39" s="3"/>
      <c r="Z39" s="3"/>
      <c r="AA39" s="3"/>
    </row>
    <row r="40" spans="1:27">
      <c r="A40" s="3"/>
      <c r="B40" s="3"/>
      <c r="C40" s="331"/>
      <c r="D40" s="332"/>
      <c r="E40" s="332" t="s">
        <v>180</v>
      </c>
      <c r="F40" s="332"/>
      <c r="G40" s="521"/>
      <c r="H40" s="970"/>
      <c r="I40" s="332"/>
      <c r="J40" s="1003"/>
      <c r="K40" s="332" t="s">
        <v>831</v>
      </c>
      <c r="L40" s="332"/>
      <c r="M40" s="324"/>
      <c r="N40" s="3"/>
      <c r="O40" s="3"/>
      <c r="P40" s="3"/>
      <c r="Q40" s="3"/>
      <c r="R40" s="3"/>
      <c r="S40" s="3"/>
      <c r="T40" s="3"/>
      <c r="U40" s="3"/>
      <c r="V40" s="3"/>
      <c r="W40" s="3"/>
      <c r="X40" s="3"/>
      <c r="Y40" s="3"/>
      <c r="Z40" s="3"/>
      <c r="AA40" s="3"/>
    </row>
    <row r="41" spans="1:27">
      <c r="A41" s="3"/>
      <c r="B41" s="3"/>
      <c r="C41" s="331"/>
      <c r="D41" s="332"/>
      <c r="E41" s="332"/>
      <c r="F41" s="332"/>
      <c r="G41" s="332"/>
      <c r="H41" s="332"/>
      <c r="I41" s="332"/>
      <c r="J41" s="337"/>
      <c r="K41" s="332"/>
      <c r="L41" s="332"/>
      <c r="M41" s="324"/>
      <c r="N41" s="3"/>
      <c r="O41" s="3"/>
      <c r="P41" s="3"/>
      <c r="Q41" s="3"/>
      <c r="R41" s="3"/>
      <c r="S41" s="3"/>
      <c r="T41" s="3"/>
      <c r="U41" s="3"/>
      <c r="V41" s="3"/>
      <c r="W41" s="3"/>
      <c r="X41" s="3"/>
      <c r="Y41" s="3"/>
      <c r="Z41" s="3"/>
      <c r="AA41" s="3"/>
    </row>
    <row r="42" spans="1:27">
      <c r="A42" s="3"/>
      <c r="B42" s="3"/>
      <c r="C42" s="331"/>
      <c r="D42" s="332"/>
      <c r="E42" s="968" t="s">
        <v>1030</v>
      </c>
      <c r="F42" s="332"/>
      <c r="G42" s="332"/>
      <c r="H42" s="332"/>
      <c r="I42" s="332"/>
      <c r="J42" s="337"/>
      <c r="K42" s="332"/>
      <c r="L42" s="332"/>
      <c r="M42" s="324"/>
      <c r="N42" s="3"/>
      <c r="O42" s="3"/>
      <c r="P42" s="3"/>
      <c r="Q42" s="3"/>
      <c r="R42" s="3"/>
      <c r="S42" s="3"/>
      <c r="T42" s="3"/>
      <c r="U42" s="3"/>
      <c r="V42" s="3"/>
      <c r="W42" s="3"/>
      <c r="X42" s="3"/>
      <c r="Y42" s="3"/>
      <c r="Z42" s="3"/>
      <c r="AA42" s="3"/>
    </row>
    <row r="43" spans="1:27">
      <c r="A43" s="3"/>
      <c r="B43" s="3"/>
      <c r="C43" s="331"/>
      <c r="D43" s="332"/>
      <c r="E43" s="968" t="s">
        <v>1025</v>
      </c>
      <c r="F43" s="332"/>
      <c r="G43" s="332"/>
      <c r="H43" s="1004">
        <v>1.26</v>
      </c>
      <c r="I43" s="976" t="s">
        <v>1036</v>
      </c>
      <c r="J43" s="973">
        <f>Frequency!$M$10</f>
        <v>436.5</v>
      </c>
      <c r="K43" s="332" t="s">
        <v>830</v>
      </c>
      <c r="L43" s="332"/>
      <c r="M43" s="324"/>
      <c r="N43" s="3"/>
      <c r="O43" s="3"/>
      <c r="P43" s="3"/>
      <c r="Q43" s="3"/>
      <c r="R43" s="3"/>
      <c r="S43" s="3"/>
      <c r="T43" s="3"/>
      <c r="U43" s="3"/>
      <c r="V43" s="3"/>
      <c r="W43" s="3"/>
      <c r="X43" s="3"/>
      <c r="Y43" s="3"/>
      <c r="Z43" s="3"/>
      <c r="AA43" s="3"/>
    </row>
    <row r="44" spans="1:27">
      <c r="A44" s="3"/>
      <c r="B44" s="3"/>
      <c r="C44" s="331"/>
      <c r="D44" s="332"/>
      <c r="E44" s="968" t="s">
        <v>1026</v>
      </c>
      <c r="F44" s="332"/>
      <c r="G44" s="332"/>
      <c r="H44" s="1004"/>
      <c r="I44" s="976" t="s">
        <v>1036</v>
      </c>
      <c r="J44" s="973">
        <f>Frequency!$M$10</f>
        <v>436.5</v>
      </c>
      <c r="K44" s="332" t="s">
        <v>830</v>
      </c>
      <c r="L44" s="332"/>
      <c r="M44" s="324"/>
      <c r="N44" s="3"/>
      <c r="O44" s="3"/>
      <c r="P44" s="3"/>
      <c r="Q44" s="3"/>
      <c r="R44" s="3"/>
      <c r="S44" s="3"/>
      <c r="T44" s="3"/>
      <c r="U44" s="3"/>
      <c r="V44" s="3"/>
      <c r="W44" s="3"/>
      <c r="X44" s="3"/>
      <c r="Y44" s="3"/>
      <c r="Z44" s="3"/>
      <c r="AA44" s="3"/>
    </row>
    <row r="45" spans="1:27">
      <c r="A45" s="3"/>
      <c r="B45" s="3"/>
      <c r="C45" s="331"/>
      <c r="D45" s="332"/>
      <c r="E45" s="968" t="s">
        <v>1027</v>
      </c>
      <c r="F45" s="332"/>
      <c r="G45" s="332"/>
      <c r="H45" s="1004"/>
      <c r="I45" s="976" t="s">
        <v>1036</v>
      </c>
      <c r="J45" s="973">
        <f>Frequency!$M$10</f>
        <v>436.5</v>
      </c>
      <c r="K45" s="332" t="s">
        <v>830</v>
      </c>
      <c r="L45" s="332"/>
      <c r="M45" s="324"/>
      <c r="N45" s="3"/>
      <c r="O45" s="3"/>
      <c r="P45" s="3"/>
      <c r="Q45" s="3"/>
      <c r="R45" s="3"/>
      <c r="S45" s="3"/>
      <c r="T45" s="3"/>
      <c r="U45" s="3"/>
      <c r="V45" s="3"/>
      <c r="W45" s="3"/>
      <c r="X45" s="3"/>
      <c r="Y45" s="3"/>
      <c r="Z45" s="3"/>
      <c r="AA45" s="3"/>
    </row>
    <row r="46" spans="1:27" ht="13">
      <c r="A46" s="3"/>
      <c r="B46" s="3"/>
      <c r="C46" s="331"/>
      <c r="D46" s="332"/>
      <c r="E46" s="332"/>
      <c r="F46" s="332"/>
      <c r="G46" s="332"/>
      <c r="H46" s="332"/>
      <c r="I46" s="332"/>
      <c r="J46" s="332"/>
      <c r="K46" s="332"/>
      <c r="L46" s="332"/>
      <c r="M46" s="324"/>
      <c r="N46" s="3"/>
      <c r="O46" s="357" t="s">
        <v>753</v>
      </c>
      <c r="P46" s="368"/>
      <c r="Q46" s="294"/>
      <c r="R46" s="294"/>
      <c r="S46" s="294"/>
      <c r="T46" s="294"/>
      <c r="U46" s="294"/>
      <c r="V46" s="244" t="s">
        <v>140</v>
      </c>
      <c r="W46" s="3"/>
      <c r="X46" s="3"/>
      <c r="Y46" s="3"/>
      <c r="Z46" s="3"/>
      <c r="AA46" s="3"/>
    </row>
    <row r="47" spans="1:27">
      <c r="A47" s="3"/>
      <c r="B47" s="3"/>
      <c r="C47" s="331"/>
      <c r="D47" s="332"/>
      <c r="E47" s="332" t="s">
        <v>207</v>
      </c>
      <c r="F47" s="332"/>
      <c r="G47" s="332"/>
      <c r="H47" s="332"/>
      <c r="I47" s="332" t="s">
        <v>204</v>
      </c>
      <c r="J47" s="332">
        <f>J38*H43</f>
        <v>7.5599999999999999E-3</v>
      </c>
      <c r="K47" s="974" t="s">
        <v>833</v>
      </c>
      <c r="L47" s="332"/>
      <c r="M47" s="324"/>
      <c r="N47" s="3"/>
      <c r="O47" s="296"/>
      <c r="P47" s="298"/>
      <c r="Q47" s="298"/>
      <c r="R47" s="298"/>
      <c r="S47" s="298"/>
      <c r="T47" s="298"/>
      <c r="U47" s="298"/>
      <c r="V47" s="358"/>
      <c r="W47" s="3"/>
      <c r="X47" s="3"/>
      <c r="Y47" s="3"/>
      <c r="Z47" s="3"/>
      <c r="AA47" s="3"/>
    </row>
    <row r="48" spans="1:27">
      <c r="A48" s="3"/>
      <c r="B48" s="3"/>
      <c r="C48" s="331"/>
      <c r="D48" s="332"/>
      <c r="E48" s="332" t="s">
        <v>211</v>
      </c>
      <c r="F48" s="332"/>
      <c r="G48" s="332"/>
      <c r="H48" s="332"/>
      <c r="I48" s="332" t="s">
        <v>205</v>
      </c>
      <c r="J48" s="332">
        <f t="shared" ref="J48:J49" si="0">J39*H44</f>
        <v>0</v>
      </c>
      <c r="K48" s="974" t="s">
        <v>833</v>
      </c>
      <c r="L48" s="332"/>
      <c r="M48" s="324"/>
      <c r="N48" s="3"/>
      <c r="O48" s="296"/>
      <c r="P48" s="298"/>
      <c r="Q48" s="298" t="s">
        <v>1089</v>
      </c>
      <c r="R48" s="298"/>
      <c r="S48" s="298"/>
      <c r="T48" s="298"/>
      <c r="U48" s="298"/>
      <c r="V48" s="358"/>
      <c r="W48" s="3"/>
      <c r="X48" s="3"/>
      <c r="Y48" s="3"/>
      <c r="Z48" s="3"/>
      <c r="AA48" s="3"/>
    </row>
    <row r="49" spans="1:27">
      <c r="A49" s="3"/>
      <c r="B49" s="3"/>
      <c r="C49" s="331"/>
      <c r="D49" s="332"/>
      <c r="E49" s="332" t="s">
        <v>212</v>
      </c>
      <c r="F49" s="332"/>
      <c r="G49" s="332"/>
      <c r="H49" s="332"/>
      <c r="I49" s="332" t="s">
        <v>206</v>
      </c>
      <c r="J49" s="332">
        <f t="shared" si="0"/>
        <v>0</v>
      </c>
      <c r="K49" s="332" t="s">
        <v>833</v>
      </c>
      <c r="L49" s="332"/>
      <c r="M49" s="324"/>
      <c r="N49" s="3"/>
      <c r="O49" s="296"/>
      <c r="P49" s="298"/>
      <c r="Q49" s="298"/>
      <c r="R49" s="298" t="s">
        <v>230</v>
      </c>
      <c r="S49" s="298"/>
      <c r="T49" s="298"/>
      <c r="U49" s="298"/>
      <c r="V49" s="358"/>
      <c r="W49" s="3"/>
      <c r="X49" s="3"/>
      <c r="Y49" s="3"/>
      <c r="Z49" s="3"/>
      <c r="AA49" s="3"/>
    </row>
    <row r="50" spans="1:27">
      <c r="A50" s="3"/>
      <c r="B50" s="3"/>
      <c r="C50" s="331"/>
      <c r="D50" s="332"/>
      <c r="E50" s="332" t="s">
        <v>213</v>
      </c>
      <c r="F50" s="332"/>
      <c r="G50" s="332"/>
      <c r="H50" s="332"/>
      <c r="I50" s="332" t="s">
        <v>214</v>
      </c>
      <c r="J50" s="966">
        <v>0.81</v>
      </c>
      <c r="K50" s="332" t="s">
        <v>833</v>
      </c>
      <c r="L50" s="332" t="s">
        <v>1058</v>
      </c>
      <c r="M50" s="324"/>
      <c r="N50" s="3"/>
      <c r="O50" s="296"/>
      <c r="P50" s="298"/>
      <c r="Q50" s="298" t="s">
        <v>1090</v>
      </c>
      <c r="R50" s="298"/>
      <c r="S50" s="298"/>
      <c r="T50" s="750" t="s">
        <v>1091</v>
      </c>
      <c r="U50" s="242">
        <f>J76</f>
        <v>0</v>
      </c>
      <c r="V50" s="358" t="s">
        <v>861</v>
      </c>
      <c r="W50" s="3"/>
      <c r="X50" s="3"/>
      <c r="Y50" s="3"/>
      <c r="Z50" s="3"/>
      <c r="AA50" s="3"/>
    </row>
    <row r="51" spans="1:27">
      <c r="A51" s="3"/>
      <c r="B51" s="3"/>
      <c r="C51" s="331"/>
      <c r="D51" s="332"/>
      <c r="E51" s="332" t="s">
        <v>215</v>
      </c>
      <c r="F51" s="332"/>
      <c r="G51" s="332"/>
      <c r="H51" s="332"/>
      <c r="I51" s="332" t="s">
        <v>216</v>
      </c>
      <c r="J51" s="977">
        <v>0.2</v>
      </c>
      <c r="K51" s="332" t="s">
        <v>833</v>
      </c>
      <c r="L51" s="332"/>
      <c r="M51" s="981" t="s">
        <v>1059</v>
      </c>
      <c r="N51" s="3"/>
      <c r="O51" s="296"/>
      <c r="P51" s="298"/>
      <c r="Q51" s="298"/>
      <c r="R51" s="298"/>
      <c r="S51" s="298"/>
      <c r="T51" s="298"/>
      <c r="U51" s="298"/>
      <c r="V51" s="358"/>
      <c r="W51" s="3"/>
      <c r="X51" s="3"/>
      <c r="Y51" s="3"/>
      <c r="Z51" s="3"/>
      <c r="AA51" s="3"/>
    </row>
    <row r="52" spans="1:27">
      <c r="A52" s="3"/>
      <c r="B52" s="3"/>
      <c r="C52" s="331"/>
      <c r="D52" s="332"/>
      <c r="E52" s="332" t="s">
        <v>215</v>
      </c>
      <c r="F52" s="332"/>
      <c r="G52" s="332"/>
      <c r="H52" s="332"/>
      <c r="I52" s="332" t="s">
        <v>216</v>
      </c>
      <c r="J52" s="977">
        <v>0.1</v>
      </c>
      <c r="K52" s="332"/>
      <c r="L52" s="332"/>
      <c r="M52" s="1012" t="s">
        <v>1076</v>
      </c>
      <c r="N52" s="3"/>
      <c r="O52" s="296"/>
      <c r="P52" s="298"/>
      <c r="Q52" s="298"/>
      <c r="R52" s="298"/>
      <c r="S52" s="298"/>
      <c r="T52" s="298"/>
      <c r="U52" s="298"/>
      <c r="V52" s="358"/>
      <c r="W52" s="3"/>
      <c r="X52" s="3"/>
      <c r="Y52" s="3"/>
      <c r="Z52" s="3"/>
      <c r="AA52" s="3"/>
    </row>
    <row r="53" spans="1:27">
      <c r="A53" s="3"/>
      <c r="B53" s="3"/>
      <c r="C53" s="331"/>
      <c r="D53" s="332"/>
      <c r="E53" s="332" t="s">
        <v>234</v>
      </c>
      <c r="F53" s="332"/>
      <c r="G53" s="332"/>
      <c r="H53" s="265">
        <v>1</v>
      </c>
      <c r="I53" s="332" t="s">
        <v>235</v>
      </c>
      <c r="J53" s="979">
        <f>H53*0.05</f>
        <v>0.05</v>
      </c>
      <c r="K53" s="332" t="s">
        <v>833</v>
      </c>
      <c r="L53" s="332"/>
      <c r="M53" s="324"/>
      <c r="N53" s="3"/>
      <c r="O53" s="296"/>
      <c r="P53" s="298"/>
      <c r="Q53" s="359" t="s">
        <v>1092</v>
      </c>
      <c r="R53" s="128">
        <v>0.44</v>
      </c>
      <c r="S53" s="298" t="s">
        <v>833</v>
      </c>
      <c r="T53" s="359" t="s">
        <v>231</v>
      </c>
      <c r="U53" s="348">
        <f>J76*(10^(R53/10)-1)</f>
        <v>0</v>
      </c>
      <c r="V53" s="358" t="s">
        <v>861</v>
      </c>
      <c r="W53" s="3"/>
      <c r="X53" s="3"/>
      <c r="Y53" s="3"/>
      <c r="Z53" s="3"/>
      <c r="AA53" s="3"/>
    </row>
    <row r="54" spans="1:27">
      <c r="A54" s="3"/>
      <c r="B54" s="3"/>
      <c r="C54" s="331"/>
      <c r="D54" s="332"/>
      <c r="E54" s="332"/>
      <c r="F54" s="332"/>
      <c r="G54" s="332"/>
      <c r="H54" s="332"/>
      <c r="I54" s="332"/>
      <c r="J54" s="332"/>
      <c r="K54" s="332"/>
      <c r="L54" s="332"/>
      <c r="M54" s="324"/>
      <c r="N54" s="3"/>
      <c r="O54" s="296"/>
      <c r="P54" s="298"/>
      <c r="Q54" s="298"/>
      <c r="R54" s="298"/>
      <c r="S54" s="298"/>
      <c r="T54" s="298"/>
      <c r="U54" s="298"/>
      <c r="V54" s="358"/>
      <c r="W54" s="3"/>
      <c r="X54" s="3"/>
      <c r="Y54" s="3"/>
      <c r="Z54" s="3"/>
      <c r="AA54" s="3"/>
    </row>
    <row r="55" spans="1:27">
      <c r="A55" s="3"/>
      <c r="B55" s="3"/>
      <c r="C55" s="331"/>
      <c r="D55" s="332"/>
      <c r="E55" s="332"/>
      <c r="F55" s="332"/>
      <c r="G55" s="332"/>
      <c r="H55" s="332"/>
      <c r="I55" s="332"/>
      <c r="J55" s="332"/>
      <c r="K55" s="332"/>
      <c r="L55" s="332"/>
      <c r="M55" s="324"/>
      <c r="N55" s="3"/>
      <c r="O55" s="296"/>
      <c r="P55" s="298"/>
      <c r="Q55" s="298"/>
      <c r="R55" s="298"/>
      <c r="S55" s="298"/>
      <c r="T55" s="298"/>
      <c r="U55" s="298"/>
      <c r="V55" s="358"/>
      <c r="W55" s="3"/>
      <c r="X55" s="3"/>
      <c r="Y55" s="3"/>
      <c r="Z55" s="3"/>
      <c r="AA55" s="3"/>
    </row>
    <row r="56" spans="1:27">
      <c r="A56" s="3"/>
      <c r="B56" s="3"/>
      <c r="C56" s="331"/>
      <c r="D56" s="332"/>
      <c r="E56" s="332" t="s">
        <v>217</v>
      </c>
      <c r="F56" s="332"/>
      <c r="G56" s="332"/>
      <c r="H56" s="332"/>
      <c r="I56" s="332"/>
      <c r="J56" s="346">
        <f>SUM(J47:J53)</f>
        <v>1.1675600000000002</v>
      </c>
      <c r="K56" s="332" t="s">
        <v>833</v>
      </c>
      <c r="L56" s="332"/>
      <c r="M56" s="324"/>
      <c r="N56" s="3"/>
      <c r="O56" s="296"/>
      <c r="P56" s="298"/>
      <c r="Q56" s="359" t="s">
        <v>231</v>
      </c>
      <c r="R56" s="129">
        <v>500</v>
      </c>
      <c r="S56" s="298" t="s">
        <v>861</v>
      </c>
      <c r="T56" s="359" t="s">
        <v>1093</v>
      </c>
      <c r="U56" s="356" t="e">
        <f>10*LOG10(1+(R56/J76))</f>
        <v>#DIV/0!</v>
      </c>
      <c r="V56" s="358" t="s">
        <v>833</v>
      </c>
      <c r="W56" s="3"/>
      <c r="X56" s="3"/>
      <c r="Y56" s="3"/>
      <c r="Z56" s="3"/>
      <c r="AA56" s="3"/>
    </row>
    <row r="57" spans="1:27">
      <c r="A57" s="3"/>
      <c r="B57" s="3"/>
      <c r="C57" s="331"/>
      <c r="D57" s="332"/>
      <c r="E57" s="332"/>
      <c r="F57" s="332"/>
      <c r="G57" s="332"/>
      <c r="H57" s="332"/>
      <c r="I57" s="332"/>
      <c r="J57" s="332"/>
      <c r="K57" s="332"/>
      <c r="L57" s="332"/>
      <c r="M57" s="324"/>
      <c r="N57" s="3"/>
      <c r="O57" s="299"/>
      <c r="P57" s="300"/>
      <c r="Q57" s="300"/>
      <c r="R57" s="300"/>
      <c r="S57" s="300"/>
      <c r="T57" s="300"/>
      <c r="U57" s="300"/>
      <c r="V57" s="301"/>
      <c r="W57" s="3"/>
      <c r="X57" s="3"/>
      <c r="Y57" s="3"/>
      <c r="Z57" s="3"/>
      <c r="AA57" s="3"/>
    </row>
    <row r="58" spans="1:27">
      <c r="A58" s="3"/>
      <c r="B58" s="3"/>
      <c r="C58" s="331"/>
      <c r="D58" s="332" t="s">
        <v>218</v>
      </c>
      <c r="E58" s="332"/>
      <c r="F58" s="332"/>
      <c r="G58" s="332"/>
      <c r="H58" s="332"/>
      <c r="I58" s="354" t="s">
        <v>219</v>
      </c>
      <c r="J58" s="347">
        <f>10^-(J56/10)</f>
        <v>0.76426505059496463</v>
      </c>
      <c r="K58" s="332"/>
      <c r="L58" s="332"/>
      <c r="M58" s="324"/>
      <c r="N58" s="3"/>
      <c r="O58" s="3"/>
      <c r="P58" s="3"/>
      <c r="Q58" s="3"/>
      <c r="R58" s="3"/>
      <c r="S58" s="3"/>
      <c r="T58" s="3"/>
      <c r="U58" s="3"/>
      <c r="V58" s="3"/>
      <c r="W58" s="3"/>
      <c r="X58" s="3"/>
      <c r="Y58" s="3"/>
      <c r="Z58" s="3"/>
      <c r="AA58" s="3"/>
    </row>
    <row r="59" spans="1:27">
      <c r="A59" s="3"/>
      <c r="B59" s="3"/>
      <c r="C59" s="331"/>
      <c r="D59" s="332"/>
      <c r="E59" s="332"/>
      <c r="F59" s="332"/>
      <c r="G59" s="332"/>
      <c r="H59" s="332"/>
      <c r="I59" s="332"/>
      <c r="J59" s="332"/>
      <c r="K59" s="332"/>
      <c r="L59" s="332"/>
      <c r="M59" s="324"/>
      <c r="N59" s="3"/>
      <c r="O59" s="3"/>
      <c r="P59" s="3"/>
      <c r="Q59" s="3"/>
      <c r="R59" s="3"/>
      <c r="S59" s="3"/>
      <c r="T59" s="3"/>
      <c r="U59" s="3"/>
      <c r="V59" s="3"/>
      <c r="W59" s="3"/>
      <c r="X59" s="3"/>
      <c r="Y59" s="3"/>
      <c r="Z59" s="3"/>
      <c r="AA59" s="3"/>
    </row>
    <row r="60" spans="1:27" ht="13">
      <c r="A60" s="3"/>
      <c r="B60" s="3"/>
      <c r="C60" s="331"/>
      <c r="D60" s="332" t="s">
        <v>220</v>
      </c>
      <c r="E60" s="332"/>
      <c r="F60" s="332"/>
      <c r="G60" s="242" t="s">
        <v>140</v>
      </c>
      <c r="H60" s="332"/>
      <c r="I60" s="332" t="s">
        <v>221</v>
      </c>
      <c r="J60" s="344">
        <v>140</v>
      </c>
      <c r="K60" s="332" t="s">
        <v>861</v>
      </c>
      <c r="L60" s="332"/>
      <c r="M60" s="324"/>
      <c r="N60" s="3"/>
      <c r="O60" s="1013" t="s">
        <v>1055</v>
      </c>
      <c r="P60" s="1014"/>
      <c r="Q60" s="1014"/>
      <c r="R60" s="1014"/>
      <c r="S60" s="1014"/>
      <c r="T60" s="1014"/>
      <c r="U60" s="1014"/>
      <c r="V60" s="1014"/>
      <c r="W60" s="1014"/>
      <c r="X60" s="1014"/>
      <c r="Y60" s="1014"/>
      <c r="Z60" s="1014"/>
      <c r="AA60" s="1015"/>
    </row>
    <row r="61" spans="1:27">
      <c r="A61" s="3"/>
      <c r="B61" s="3"/>
      <c r="C61" s="331"/>
      <c r="D61" s="332"/>
      <c r="E61" s="332"/>
      <c r="F61" s="332"/>
      <c r="G61" s="332"/>
      <c r="H61" s="332"/>
      <c r="I61" s="332"/>
      <c r="J61" s="332"/>
      <c r="K61" s="332"/>
      <c r="L61" s="332"/>
      <c r="M61" s="324"/>
      <c r="N61" s="3"/>
      <c r="O61" s="1016"/>
      <c r="P61" s="1017"/>
      <c r="Q61" s="1017"/>
      <c r="R61" s="1017"/>
      <c r="S61" s="1017"/>
      <c r="T61" s="1017"/>
      <c r="U61" s="1017"/>
      <c r="V61" s="1017"/>
      <c r="W61" s="1017"/>
      <c r="X61" s="1017"/>
      <c r="Y61" s="1017"/>
      <c r="Z61" s="1017"/>
      <c r="AA61" s="1018"/>
    </row>
    <row r="62" spans="1:27" ht="15" thickBot="1">
      <c r="A62" s="3"/>
      <c r="B62" s="3"/>
      <c r="C62" s="331"/>
      <c r="D62" s="332" t="s">
        <v>222</v>
      </c>
      <c r="E62" s="332"/>
      <c r="F62" s="332"/>
      <c r="G62" s="332"/>
      <c r="H62" s="332"/>
      <c r="I62" s="332" t="s">
        <v>223</v>
      </c>
      <c r="J62" s="344">
        <v>290</v>
      </c>
      <c r="K62" s="332" t="s">
        <v>861</v>
      </c>
      <c r="L62" s="332"/>
      <c r="M62" s="324"/>
      <c r="N62" s="3"/>
      <c r="O62" s="1019" t="s">
        <v>1039</v>
      </c>
      <c r="P62" s="1020" t="s">
        <v>1040</v>
      </c>
      <c r="Q62" s="1021"/>
      <c r="R62" s="1019" t="s">
        <v>1041</v>
      </c>
      <c r="S62" s="1019" t="s">
        <v>1042</v>
      </c>
      <c r="T62" s="1019"/>
      <c r="U62" s="1019" t="s">
        <v>1043</v>
      </c>
      <c r="V62" s="1019" t="s">
        <v>1044</v>
      </c>
      <c r="W62" s="1019" t="s">
        <v>1045</v>
      </c>
      <c r="X62" s="1019" t="s">
        <v>1046</v>
      </c>
      <c r="Y62" s="1019" t="s">
        <v>1047</v>
      </c>
      <c r="Z62" s="1019" t="s">
        <v>1048</v>
      </c>
      <c r="AA62" s="1019" t="s">
        <v>1049</v>
      </c>
    </row>
    <row r="63" spans="1:27">
      <c r="A63" s="3"/>
      <c r="B63" s="3"/>
      <c r="C63" s="331"/>
      <c r="D63" s="332"/>
      <c r="E63" s="332"/>
      <c r="F63" s="332"/>
      <c r="G63" s="332"/>
      <c r="H63" s="332"/>
      <c r="I63" s="332"/>
      <c r="J63" s="332"/>
      <c r="K63" s="332"/>
      <c r="L63" s="332"/>
      <c r="M63" s="324"/>
      <c r="N63" s="3"/>
      <c r="O63" s="1022">
        <v>1</v>
      </c>
      <c r="P63" s="1023" t="s">
        <v>1060</v>
      </c>
      <c r="Q63" s="1024"/>
      <c r="R63" s="1025">
        <v>-1.9</v>
      </c>
      <c r="S63" s="1025">
        <v>1.9</v>
      </c>
      <c r="T63" s="1026"/>
      <c r="U63" s="1027">
        <f>IF(R63,10^(R63/10), "")</f>
        <v>0.64565422903465541</v>
      </c>
      <c r="V63" s="1027">
        <f>IF(S63,10^(S63/10), "")</f>
        <v>1.5488166189124815</v>
      </c>
      <c r="W63" s="1027">
        <f>IF(S63,1,"")</f>
        <v>1</v>
      </c>
      <c r="X63" s="1026">
        <f>IF(S63,290*(V63-1), "")</f>
        <v>159.15681948461963</v>
      </c>
      <c r="Y63" s="1026">
        <f t="shared" ref="Y63:Y72" si="1">IF(S63,X63/W63, "")</f>
        <v>159.15681948461963</v>
      </c>
      <c r="Z63" s="1027">
        <f>IF(S63,(V63-1)/W63, "")</f>
        <v>0.54881661891248146</v>
      </c>
      <c r="AA63" s="1027">
        <f>IF(S63,Z63+1, "")</f>
        <v>1.5488166189124815</v>
      </c>
    </row>
    <row r="64" spans="1:27">
      <c r="A64" s="3"/>
      <c r="B64" s="3"/>
      <c r="C64" s="331"/>
      <c r="D64" s="332" t="s">
        <v>224</v>
      </c>
      <c r="E64" s="332"/>
      <c r="F64" s="332"/>
      <c r="G64" s="332"/>
      <c r="H64" s="332"/>
      <c r="I64" s="332" t="s">
        <v>225</v>
      </c>
      <c r="J64" s="344">
        <v>27</v>
      </c>
      <c r="K64" s="332" t="s">
        <v>861</v>
      </c>
      <c r="L64" s="332"/>
      <c r="M64" s="324"/>
      <c r="N64" s="3"/>
      <c r="O64" s="1022">
        <v>2</v>
      </c>
      <c r="P64" s="1028" t="s">
        <v>1057</v>
      </c>
      <c r="Q64" s="1029"/>
      <c r="R64" s="1025"/>
      <c r="S64" s="1025">
        <v>6</v>
      </c>
      <c r="T64" s="1026"/>
      <c r="U64" s="1027" t="str">
        <f t="shared" ref="U64:V72" si="2">IF(R64,10^(R64/10), "")</f>
        <v/>
      </c>
      <c r="V64" s="1027">
        <f t="shared" si="2"/>
        <v>3.9810717055349727</v>
      </c>
      <c r="W64" s="1027">
        <f t="shared" ref="W64:W72" si="3">IF(S64,W63*U63, "")</f>
        <v>0.64565422903465541</v>
      </c>
      <c r="X64" s="1026">
        <f t="shared" ref="X64:X72" si="4">IF(S64,290*(V64-1), "")</f>
        <v>864.51079460514211</v>
      </c>
      <c r="Y64" s="1026">
        <f t="shared" si="1"/>
        <v>1338.9686859136791</v>
      </c>
      <c r="Z64" s="1027">
        <f t="shared" ref="Z64:Z72" si="5">IF(S64,(V64-1)/W64, "")</f>
        <v>4.6171333997023414</v>
      </c>
      <c r="AA64" s="1027">
        <f>IF(S64, AA63+Z64, "")</f>
        <v>6.1659500186148231</v>
      </c>
    </row>
    <row r="65" spans="1:27">
      <c r="A65" s="3"/>
      <c r="B65" s="3"/>
      <c r="C65" s="331"/>
      <c r="D65" s="332"/>
      <c r="E65" s="332"/>
      <c r="F65" s="332"/>
      <c r="G65" s="332"/>
      <c r="H65" s="332"/>
      <c r="I65" s="332"/>
      <c r="J65" s="332"/>
      <c r="K65" s="332"/>
      <c r="L65" s="332"/>
      <c r="M65" s="324"/>
      <c r="N65" s="3"/>
      <c r="O65" s="1022">
        <v>3</v>
      </c>
      <c r="P65" s="1028"/>
      <c r="Q65" s="1029"/>
      <c r="R65" s="1025"/>
      <c r="S65" s="1025"/>
      <c r="T65" s="1026"/>
      <c r="U65" s="1027" t="str">
        <f t="shared" si="2"/>
        <v/>
      </c>
      <c r="V65" s="1027" t="str">
        <f t="shared" si="2"/>
        <v/>
      </c>
      <c r="W65" s="1027" t="str">
        <f t="shared" si="3"/>
        <v/>
      </c>
      <c r="X65" s="1026" t="str">
        <f t="shared" si="4"/>
        <v/>
      </c>
      <c r="Y65" s="1026" t="str">
        <f t="shared" si="1"/>
        <v/>
      </c>
      <c r="Z65" s="1027" t="str">
        <f t="shared" si="5"/>
        <v/>
      </c>
      <c r="AA65" s="1027" t="str">
        <f t="shared" ref="AA65:AA72" si="6">IF(S65, AA64+Z65, "")</f>
        <v/>
      </c>
    </row>
    <row r="66" spans="1:27">
      <c r="A66" s="3"/>
      <c r="B66" s="3"/>
      <c r="C66" s="331"/>
      <c r="D66" s="332" t="s">
        <v>226</v>
      </c>
      <c r="E66" s="332"/>
      <c r="F66" s="345">
        <v>24</v>
      </c>
      <c r="G66" s="332" t="s">
        <v>833</v>
      </c>
      <c r="H66" s="332"/>
      <c r="I66" s="332" t="s">
        <v>227</v>
      </c>
      <c r="J66" s="352">
        <f>10^(F66/10)</f>
        <v>251.18864315095806</v>
      </c>
      <c r="K66" s="332"/>
      <c r="L66" s="332"/>
      <c r="M66" s="981" t="s">
        <v>1056</v>
      </c>
      <c r="N66" s="3"/>
      <c r="O66" s="1022">
        <v>4</v>
      </c>
      <c r="P66" s="1028"/>
      <c r="Q66" s="1029"/>
      <c r="R66" s="1025"/>
      <c r="S66" s="1025"/>
      <c r="T66" s="1026"/>
      <c r="U66" s="1027" t="str">
        <f t="shared" si="2"/>
        <v/>
      </c>
      <c r="V66" s="1027" t="str">
        <f t="shared" si="2"/>
        <v/>
      </c>
      <c r="W66" s="1027" t="str">
        <f t="shared" si="3"/>
        <v/>
      </c>
      <c r="X66" s="1026" t="str">
        <f t="shared" si="4"/>
        <v/>
      </c>
      <c r="Y66" s="1026" t="str">
        <f t="shared" si="1"/>
        <v/>
      </c>
      <c r="Z66" s="1027" t="str">
        <f t="shared" si="5"/>
        <v/>
      </c>
      <c r="AA66" s="1027" t="str">
        <f t="shared" si="6"/>
        <v/>
      </c>
    </row>
    <row r="67" spans="1:27">
      <c r="A67" s="3"/>
      <c r="B67" s="3"/>
      <c r="C67" s="331"/>
      <c r="D67" s="332"/>
      <c r="E67" s="332"/>
      <c r="F67" s="332"/>
      <c r="G67" s="332"/>
      <c r="H67" s="332"/>
      <c r="I67" s="332"/>
      <c r="J67" s="332"/>
      <c r="K67" s="332"/>
      <c r="L67" s="332"/>
      <c r="M67" s="324"/>
      <c r="N67" s="3"/>
      <c r="O67" s="1022">
        <v>5</v>
      </c>
      <c r="P67" s="1028"/>
      <c r="Q67" s="1029"/>
      <c r="R67" s="1025"/>
      <c r="S67" s="1025"/>
      <c r="T67" s="1026"/>
      <c r="U67" s="1027" t="str">
        <f t="shared" si="2"/>
        <v/>
      </c>
      <c r="V67" s="1027" t="str">
        <f t="shared" si="2"/>
        <v/>
      </c>
      <c r="W67" s="1027" t="str">
        <f t="shared" si="3"/>
        <v/>
      </c>
      <c r="X67" s="1026" t="str">
        <f t="shared" si="4"/>
        <v/>
      </c>
      <c r="Y67" s="1026" t="str">
        <f t="shared" si="1"/>
        <v/>
      </c>
      <c r="Z67" s="1027" t="str">
        <f t="shared" si="5"/>
        <v/>
      </c>
      <c r="AA67" s="1027" t="str">
        <f t="shared" si="6"/>
        <v/>
      </c>
    </row>
    <row r="68" spans="1:27" ht="13">
      <c r="A68" s="3"/>
      <c r="B68" s="3"/>
      <c r="C68" s="331"/>
      <c r="D68" s="332" t="s">
        <v>108</v>
      </c>
      <c r="E68" s="332"/>
      <c r="F68" s="332"/>
      <c r="G68" s="332"/>
      <c r="H68" s="332"/>
      <c r="I68" s="332" t="s">
        <v>1088</v>
      </c>
      <c r="J68" s="375">
        <f>Y74</f>
        <v>1498.1255053982986</v>
      </c>
      <c r="K68" s="332" t="s">
        <v>861</v>
      </c>
      <c r="L68" s="332"/>
      <c r="M68" s="324"/>
      <c r="N68" s="3"/>
      <c r="O68" s="1022">
        <v>8</v>
      </c>
      <c r="P68" s="1028"/>
      <c r="Q68" s="1029"/>
      <c r="R68" s="1025"/>
      <c r="S68" s="1025"/>
      <c r="T68" s="1026"/>
      <c r="U68" s="1027" t="str">
        <f t="shared" si="2"/>
        <v/>
      </c>
      <c r="V68" s="1027" t="str">
        <f t="shared" si="2"/>
        <v/>
      </c>
      <c r="W68" s="1027" t="str">
        <f t="shared" si="3"/>
        <v/>
      </c>
      <c r="X68" s="1026" t="str">
        <f t="shared" si="4"/>
        <v/>
      </c>
      <c r="Y68" s="1026" t="str">
        <f t="shared" si="1"/>
        <v/>
      </c>
      <c r="Z68" s="1027" t="str">
        <f t="shared" si="5"/>
        <v/>
      </c>
      <c r="AA68" s="1027" t="str">
        <f t="shared" si="6"/>
        <v/>
      </c>
    </row>
    <row r="69" spans="1:27">
      <c r="A69" s="3"/>
      <c r="B69" s="3"/>
      <c r="C69" s="331"/>
      <c r="D69" s="332"/>
      <c r="E69" s="332"/>
      <c r="F69" s="332"/>
      <c r="G69" s="332"/>
      <c r="H69" s="332"/>
      <c r="I69" s="332"/>
      <c r="J69" s="332"/>
      <c r="K69" s="332"/>
      <c r="L69" s="332"/>
      <c r="M69" s="324"/>
      <c r="N69" s="3"/>
      <c r="O69" s="1022">
        <v>9</v>
      </c>
      <c r="P69" s="1028"/>
      <c r="Q69" s="1029"/>
      <c r="R69" s="1025"/>
      <c r="S69" s="1025"/>
      <c r="T69" s="1026"/>
      <c r="U69" s="1027" t="str">
        <f t="shared" si="2"/>
        <v/>
      </c>
      <c r="V69" s="1027" t="str">
        <f t="shared" si="2"/>
        <v/>
      </c>
      <c r="W69" s="1027" t="str">
        <f t="shared" si="3"/>
        <v/>
      </c>
      <c r="X69" s="1026" t="str">
        <f t="shared" si="4"/>
        <v/>
      </c>
      <c r="Y69" s="1026" t="str">
        <f t="shared" si="1"/>
        <v/>
      </c>
      <c r="Z69" s="1027" t="str">
        <f t="shared" si="5"/>
        <v/>
      </c>
      <c r="AA69" s="1027" t="str">
        <f t="shared" si="6"/>
        <v/>
      </c>
    </row>
    <row r="70" spans="1:27" ht="13">
      <c r="A70" s="3"/>
      <c r="B70" s="3"/>
      <c r="C70" s="331"/>
      <c r="D70" s="332"/>
      <c r="E70" s="332"/>
      <c r="F70" s="332"/>
      <c r="G70" s="332"/>
      <c r="H70" s="332"/>
      <c r="I70" s="332"/>
      <c r="J70" s="332"/>
      <c r="K70" s="332"/>
      <c r="L70" s="355"/>
      <c r="M70" s="324"/>
      <c r="N70" s="3"/>
      <c r="O70" s="1022">
        <v>10</v>
      </c>
      <c r="P70" s="1028"/>
      <c r="Q70" s="1029"/>
      <c r="R70" s="1025"/>
      <c r="S70" s="1025"/>
      <c r="T70" s="1026"/>
      <c r="U70" s="1027" t="str">
        <f t="shared" si="2"/>
        <v/>
      </c>
      <c r="V70" s="1027" t="str">
        <f t="shared" si="2"/>
        <v/>
      </c>
      <c r="W70" s="1027" t="str">
        <f t="shared" si="3"/>
        <v/>
      </c>
      <c r="X70" s="1026" t="str">
        <f t="shared" si="4"/>
        <v/>
      </c>
      <c r="Y70" s="1026" t="str">
        <f t="shared" si="1"/>
        <v/>
      </c>
      <c r="Z70" s="1027" t="str">
        <f t="shared" si="5"/>
        <v/>
      </c>
      <c r="AA70" s="1027" t="str">
        <f t="shared" si="6"/>
        <v/>
      </c>
    </row>
    <row r="71" spans="1:27" ht="13">
      <c r="A71" s="3"/>
      <c r="B71" s="3"/>
      <c r="C71" s="331"/>
      <c r="D71" s="332" t="s">
        <v>228</v>
      </c>
      <c r="E71" s="332"/>
      <c r="F71" s="332"/>
      <c r="G71" s="332"/>
      <c r="H71" s="332"/>
      <c r="I71" s="332" t="s">
        <v>229</v>
      </c>
      <c r="J71" s="375">
        <f>J60*J58+J62*(1-J58)+J64+(J68/J66)</f>
        <v>208.32438747163673</v>
      </c>
      <c r="K71" s="332" t="s">
        <v>861</v>
      </c>
      <c r="L71" s="332"/>
      <c r="M71" s="324"/>
      <c r="N71" s="3"/>
      <c r="O71" s="1022">
        <v>11</v>
      </c>
      <c r="P71" s="1028"/>
      <c r="Q71" s="1029"/>
      <c r="R71" s="1025"/>
      <c r="S71" s="1025"/>
      <c r="T71" s="1026"/>
      <c r="U71" s="1027" t="str">
        <f t="shared" si="2"/>
        <v/>
      </c>
      <c r="V71" s="1027" t="str">
        <f t="shared" si="2"/>
        <v/>
      </c>
      <c r="W71" s="1027" t="str">
        <f t="shared" si="3"/>
        <v/>
      </c>
      <c r="X71" s="1026" t="str">
        <f t="shared" si="4"/>
        <v/>
      </c>
      <c r="Y71" s="1026" t="str">
        <f t="shared" si="1"/>
        <v/>
      </c>
      <c r="Z71" s="1027" t="str">
        <f t="shared" si="5"/>
        <v/>
      </c>
      <c r="AA71" s="1027" t="str">
        <f t="shared" si="6"/>
        <v/>
      </c>
    </row>
    <row r="72" spans="1:27" ht="13" thickBot="1">
      <c r="A72" s="3"/>
      <c r="B72" s="3"/>
      <c r="C72" s="331"/>
      <c r="D72" s="332"/>
      <c r="E72" s="332"/>
      <c r="F72" s="332"/>
      <c r="G72" s="332"/>
      <c r="H72" s="332"/>
      <c r="I72" s="332"/>
      <c r="J72" s="332"/>
      <c r="K72" s="332"/>
      <c r="L72" s="332"/>
      <c r="M72" s="324"/>
      <c r="N72" s="3"/>
      <c r="O72" s="1030">
        <v>12</v>
      </c>
      <c r="P72" s="1031"/>
      <c r="Q72" s="1032"/>
      <c r="R72" s="1033"/>
      <c r="S72" s="1033"/>
      <c r="T72" s="1034"/>
      <c r="U72" s="1035" t="str">
        <f t="shared" si="2"/>
        <v/>
      </c>
      <c r="V72" s="1035" t="str">
        <f t="shared" si="2"/>
        <v/>
      </c>
      <c r="W72" s="1035" t="str">
        <f t="shared" si="3"/>
        <v/>
      </c>
      <c r="X72" s="1034" t="str">
        <f t="shared" si="4"/>
        <v/>
      </c>
      <c r="Y72" s="1034" t="str">
        <f t="shared" si="1"/>
        <v/>
      </c>
      <c r="Z72" s="1035" t="str">
        <f t="shared" si="5"/>
        <v/>
      </c>
      <c r="AA72" s="1035" t="str">
        <f t="shared" si="6"/>
        <v/>
      </c>
    </row>
    <row r="73" spans="1:27">
      <c r="A73" s="3"/>
      <c r="B73" s="3"/>
      <c r="C73" s="331"/>
      <c r="D73" s="332"/>
      <c r="E73" s="332"/>
      <c r="F73" s="332"/>
      <c r="G73" s="332"/>
      <c r="H73" s="332"/>
      <c r="I73" s="332"/>
      <c r="J73" s="332"/>
      <c r="K73" s="332"/>
      <c r="L73" s="332"/>
      <c r="M73" s="324"/>
      <c r="N73" s="3"/>
      <c r="O73" s="1036"/>
      <c r="P73" s="1037"/>
      <c r="Q73" s="1017"/>
      <c r="R73" s="1038"/>
      <c r="S73" s="1038"/>
      <c r="T73" s="1038"/>
      <c r="U73" s="1038"/>
      <c r="V73" s="1038"/>
      <c r="W73" s="1038"/>
      <c r="X73" s="1038"/>
      <c r="Y73" s="1038"/>
      <c r="Z73" s="1038"/>
      <c r="AA73" s="1039"/>
    </row>
    <row r="74" spans="1:27" ht="14.5">
      <c r="A74" s="3"/>
      <c r="B74" s="3"/>
      <c r="C74" s="339"/>
      <c r="D74" s="340"/>
      <c r="E74" s="340"/>
      <c r="F74" s="340"/>
      <c r="G74" s="340"/>
      <c r="H74" s="340"/>
      <c r="I74" s="340"/>
      <c r="J74" s="340"/>
      <c r="K74" s="340"/>
      <c r="L74" s="340"/>
      <c r="M74" s="341"/>
      <c r="N74" s="3"/>
      <c r="O74" s="1040"/>
      <c r="P74" s="1041"/>
      <c r="Q74" s="1042"/>
      <c r="R74" s="1043"/>
      <c r="S74" s="1043"/>
      <c r="T74" s="1043"/>
      <c r="U74" s="1043"/>
      <c r="V74" s="1043"/>
      <c r="W74" s="1043"/>
      <c r="X74" s="1044" t="s">
        <v>1050</v>
      </c>
      <c r="Y74" s="1045">
        <f>SUM(Y63:Y72)</f>
        <v>1498.1255053982986</v>
      </c>
      <c r="Z74" s="1046"/>
      <c r="AA74" s="1047"/>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3"/>
      <c r="E77" s="3"/>
      <c r="F77" s="3"/>
      <c r="G77" s="3"/>
      <c r="H77" s="3"/>
      <c r="I77" s="3"/>
      <c r="J77" s="3"/>
      <c r="K77" s="3"/>
      <c r="L77" s="3" t="s">
        <v>791</v>
      </c>
      <c r="M77" s="3"/>
      <c r="N77" s="3"/>
      <c r="O77" s="3"/>
      <c r="P77" s="3"/>
      <c r="Q77" s="3"/>
      <c r="R77" s="3"/>
      <c r="S77" s="3"/>
      <c r="T77" s="3"/>
      <c r="U77" s="3"/>
      <c r="V77" s="3"/>
      <c r="W77" s="3"/>
      <c r="X77" s="3"/>
      <c r="Y77" s="3"/>
      <c r="Z77" s="3"/>
      <c r="AA77" s="3"/>
    </row>
    <row r="78" spans="1:27" ht="15.5">
      <c r="A78" s="3"/>
      <c r="B78" s="273" t="s">
        <v>233</v>
      </c>
      <c r="C78" s="189"/>
      <c r="D78" s="189"/>
      <c r="E78" s="189"/>
      <c r="F78" s="189"/>
      <c r="G78" s="190"/>
      <c r="H78" s="3"/>
      <c r="I78" s="3"/>
      <c r="J78" s="3"/>
      <c r="K78" s="3"/>
      <c r="L78" s="3"/>
      <c r="M78" s="3"/>
      <c r="N78" s="3"/>
      <c r="O78" s="3"/>
      <c r="P78" s="3"/>
      <c r="Q78" s="3"/>
      <c r="R78" s="3"/>
      <c r="S78" s="3"/>
      <c r="T78" s="3"/>
      <c r="U78" s="3"/>
      <c r="V78" s="3"/>
      <c r="W78" s="3"/>
      <c r="X78" s="3"/>
      <c r="Y78" s="3"/>
      <c r="Z78" s="3"/>
      <c r="AA78" s="3"/>
    </row>
    <row r="79" spans="1:27">
      <c r="A79" s="3"/>
      <c r="B79" s="3"/>
      <c r="C79" s="101"/>
      <c r="D79" s="101"/>
      <c r="E79" s="101"/>
      <c r="F79" s="101"/>
      <c r="G79" s="101"/>
      <c r="H79" s="101"/>
      <c r="I79" s="101"/>
      <c r="J79" s="101"/>
      <c r="K79" s="101"/>
      <c r="L79" s="3"/>
      <c r="M79" s="3"/>
      <c r="N79" s="3"/>
      <c r="O79" s="3"/>
      <c r="P79" s="3"/>
      <c r="Q79" s="3"/>
      <c r="R79" s="3"/>
      <c r="S79" s="3"/>
      <c r="T79" s="3"/>
      <c r="U79" s="3"/>
      <c r="V79" s="3"/>
      <c r="W79" s="3"/>
      <c r="X79" s="3"/>
      <c r="Y79" s="3"/>
      <c r="Z79" s="3"/>
      <c r="AA79" s="3"/>
    </row>
    <row r="80" spans="1:27" ht="13">
      <c r="A80" s="3"/>
      <c r="B80" s="3"/>
      <c r="C80" s="360" t="s">
        <v>159</v>
      </c>
      <c r="D80" s="180"/>
      <c r="E80" s="180"/>
      <c r="F80" s="180"/>
      <c r="G80" s="180"/>
      <c r="H80" s="180"/>
      <c r="I80" s="180"/>
      <c r="J80" s="180"/>
      <c r="K80" s="180"/>
      <c r="L80" s="180"/>
      <c r="M80" s="100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41"/>
      <c r="E85" s="141"/>
      <c r="F85" s="141"/>
      <c r="G85" s="141"/>
      <c r="H85" s="141"/>
      <c r="I85" s="141"/>
      <c r="J85" s="141"/>
      <c r="K85" s="141"/>
      <c r="L85" s="141"/>
      <c r="M85" s="182"/>
      <c r="N85" s="3"/>
      <c r="O85" s="3"/>
      <c r="P85" s="3"/>
      <c r="Q85" s="3"/>
      <c r="R85" s="3"/>
      <c r="S85" s="3"/>
      <c r="T85" s="3"/>
      <c r="U85" s="3"/>
      <c r="V85" s="3"/>
      <c r="W85" s="3"/>
      <c r="X85" s="3"/>
      <c r="Y85" s="3"/>
      <c r="Z85" s="3"/>
      <c r="AA85" s="3"/>
    </row>
    <row r="86" spans="1:27">
      <c r="A86" s="3"/>
      <c r="B86" s="3"/>
      <c r="C86" s="177"/>
      <c r="D86" s="192"/>
      <c r="E86" s="141"/>
      <c r="F86" s="192"/>
      <c r="G86" s="141"/>
      <c r="H86" s="192"/>
      <c r="I86" s="141"/>
      <c r="J86" s="141"/>
      <c r="K86" s="141"/>
      <c r="L86" s="141"/>
      <c r="M86" s="182"/>
      <c r="N86" s="3"/>
      <c r="O86" s="3"/>
      <c r="P86" s="3"/>
      <c r="Q86" s="3"/>
      <c r="R86" s="3"/>
      <c r="S86" s="3"/>
      <c r="T86" s="3"/>
      <c r="U86" s="3"/>
      <c r="V86" s="3"/>
      <c r="W86" s="3"/>
      <c r="X86" s="3"/>
      <c r="Y86" s="3"/>
      <c r="Z86" s="3"/>
      <c r="AA86" s="3"/>
    </row>
    <row r="87" spans="1:27">
      <c r="A87" s="3"/>
      <c r="B87" s="3"/>
      <c r="C87" s="177"/>
      <c r="D87" s="141"/>
      <c r="E87" s="141"/>
      <c r="F87" s="141"/>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92"/>
      <c r="E88" s="141"/>
      <c r="F88" s="192"/>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t="s">
        <v>1077</v>
      </c>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c r="E93" s="141"/>
      <c r="F93" s="141"/>
      <c r="G93" s="141"/>
      <c r="H93" s="141"/>
      <c r="I93" s="141"/>
      <c r="J93" s="141"/>
      <c r="K93" s="141"/>
      <c r="L93" s="141"/>
      <c r="M93" s="182"/>
      <c r="N93" s="3"/>
      <c r="O93" s="3"/>
      <c r="P93" s="3"/>
      <c r="Q93" s="3"/>
      <c r="R93" s="3"/>
      <c r="S93" s="3"/>
      <c r="T93" s="3"/>
      <c r="U93" s="3"/>
      <c r="V93" s="3"/>
      <c r="W93" s="3"/>
      <c r="X93" s="3"/>
      <c r="Y93" s="3"/>
      <c r="Z93" s="3"/>
      <c r="AA93" s="3"/>
    </row>
    <row r="94" spans="1:27" ht="13">
      <c r="A94" s="3"/>
      <c r="B94" s="3"/>
      <c r="C94" s="177"/>
      <c r="D94" s="1048" t="s">
        <v>740</v>
      </c>
      <c r="E94" s="141"/>
      <c r="F94" s="141"/>
      <c r="G94" s="141"/>
      <c r="H94" s="141"/>
      <c r="I94" s="141"/>
      <c r="J94" s="141"/>
      <c r="K94" s="141"/>
      <c r="L94" s="141"/>
      <c r="M94" s="182"/>
      <c r="N94" s="3"/>
      <c r="O94" s="3"/>
      <c r="P94" s="3"/>
      <c r="Q94" s="3"/>
      <c r="R94" s="3"/>
      <c r="S94" s="3"/>
      <c r="T94" s="3"/>
      <c r="U94" s="3"/>
      <c r="V94" s="3"/>
      <c r="W94" s="3"/>
      <c r="X94" s="3"/>
      <c r="Y94" s="3"/>
      <c r="Z94" s="3"/>
      <c r="AA94" s="3"/>
    </row>
    <row r="95" spans="1:27">
      <c r="A95" s="3"/>
      <c r="B95" s="3"/>
      <c r="C95" s="177"/>
      <c r="D95" s="141" t="s">
        <v>194</v>
      </c>
      <c r="E95" s="141"/>
      <c r="F95" s="141"/>
      <c r="G95" s="361"/>
      <c r="H95" s="141"/>
      <c r="I95" s="141"/>
      <c r="J95" s="141"/>
      <c r="K95" s="141"/>
      <c r="L95" s="141"/>
      <c r="M95" s="182"/>
      <c r="N95" s="3"/>
      <c r="O95" s="3"/>
      <c r="P95" s="3"/>
      <c r="Q95" s="3"/>
      <c r="R95" s="3"/>
      <c r="S95" s="3"/>
      <c r="T95" s="3"/>
      <c r="U95" s="3"/>
      <c r="V95" s="3"/>
      <c r="W95" s="3"/>
      <c r="X95" s="3"/>
      <c r="Y95" s="3"/>
      <c r="Z95" s="3"/>
      <c r="AA95" s="3"/>
    </row>
    <row r="96" spans="1:27">
      <c r="A96" s="3"/>
      <c r="B96" s="3"/>
      <c r="C96" s="177"/>
      <c r="D96" s="362" t="s">
        <v>1094</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141" t="s">
        <v>1080</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2" t="s">
        <v>1081</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2" t="s">
        <v>1082</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62" t="s">
        <v>1083</v>
      </c>
      <c r="E100" s="141"/>
      <c r="F100" s="141"/>
      <c r="G100" s="141"/>
      <c r="H100" s="141"/>
      <c r="I100" s="242" t="s">
        <v>140</v>
      </c>
      <c r="J100" s="141" t="s">
        <v>791</v>
      </c>
      <c r="K100" s="141"/>
      <c r="L100" s="141"/>
      <c r="M100" s="182"/>
      <c r="N100" s="3"/>
      <c r="O100" s="3"/>
      <c r="P100" s="3"/>
      <c r="Q100" s="3"/>
      <c r="R100" s="3"/>
      <c r="S100" s="3"/>
      <c r="T100" s="3"/>
      <c r="U100" s="3"/>
      <c r="V100" s="3"/>
      <c r="W100" s="3"/>
      <c r="X100" s="3"/>
      <c r="Y100" s="3"/>
      <c r="Z100" s="3"/>
      <c r="AA100" s="3"/>
    </row>
    <row r="101" spans="1:27">
      <c r="A101" s="3"/>
      <c r="B101" s="3"/>
      <c r="C101" s="177"/>
      <c r="D101" s="363" t="s">
        <v>1095</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t="s">
        <v>194</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1085</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1086</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929" t="s">
        <v>1087</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t="s">
        <v>202</v>
      </c>
      <c r="E108" s="141"/>
      <c r="F108" s="141"/>
      <c r="G108" s="141"/>
      <c r="H108" s="242" t="s">
        <v>140</v>
      </c>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c r="E109" s="141"/>
      <c r="F109" s="141"/>
      <c r="G109" s="141"/>
      <c r="H109" s="141"/>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2" t="s">
        <v>791</v>
      </c>
      <c r="E110" s="141" t="s">
        <v>178</v>
      </c>
      <c r="F110" s="141"/>
      <c r="G110" s="521" t="s">
        <v>1033</v>
      </c>
      <c r="H110" s="970"/>
      <c r="I110" s="141"/>
      <c r="J110" s="977">
        <v>1</v>
      </c>
      <c r="K110" s="141" t="s">
        <v>831</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521"/>
      <c r="H111" s="970"/>
      <c r="I111" s="141"/>
      <c r="J111" s="977"/>
      <c r="K111" s="141" t="s">
        <v>831</v>
      </c>
      <c r="L111" s="141"/>
      <c r="M111" s="182"/>
      <c r="N111" s="3"/>
      <c r="O111" s="3"/>
      <c r="P111" s="3"/>
      <c r="Q111" s="3"/>
      <c r="R111" s="3"/>
      <c r="S111" s="3"/>
      <c r="T111" s="3"/>
      <c r="U111" s="3"/>
      <c r="V111" s="3"/>
      <c r="W111" s="3"/>
      <c r="X111" s="3"/>
      <c r="Y111" s="3"/>
      <c r="Z111" s="3"/>
      <c r="AA111" s="3"/>
    </row>
    <row r="112" spans="1:27">
      <c r="A112" s="3"/>
      <c r="B112" s="3"/>
      <c r="C112" s="177"/>
      <c r="D112" s="141"/>
      <c r="E112" s="141" t="s">
        <v>180</v>
      </c>
      <c r="F112" s="141"/>
      <c r="G112" s="521"/>
      <c r="H112" s="970"/>
      <c r="I112" s="141"/>
      <c r="J112" s="977"/>
      <c r="K112" s="141" t="s">
        <v>831</v>
      </c>
      <c r="L112" s="141"/>
      <c r="M112" s="182"/>
      <c r="N112" s="3"/>
      <c r="O112" s="3"/>
      <c r="P112" s="3"/>
      <c r="Q112" s="3"/>
      <c r="R112" s="3"/>
      <c r="S112" s="3"/>
      <c r="T112" s="3"/>
      <c r="U112" s="3"/>
      <c r="V112" s="3"/>
      <c r="W112" s="3"/>
      <c r="X112" s="3"/>
      <c r="Y112" s="3"/>
      <c r="Z112" s="3"/>
      <c r="AA112" s="3"/>
    </row>
    <row r="113" spans="1:27">
      <c r="A113" s="3"/>
      <c r="B113" s="3"/>
      <c r="C113" s="177"/>
      <c r="D113" s="141"/>
      <c r="E113" s="141"/>
      <c r="F113" s="141"/>
      <c r="G113" s="141"/>
      <c r="H113" s="141"/>
      <c r="I113" s="141"/>
      <c r="J113" s="1049"/>
      <c r="K113" s="141"/>
      <c r="L113" s="141"/>
      <c r="M113" s="182"/>
      <c r="N113" s="3"/>
      <c r="O113" s="3"/>
      <c r="P113" s="3"/>
      <c r="Q113" s="3"/>
      <c r="R113" s="3"/>
      <c r="S113" s="3"/>
      <c r="T113" s="3"/>
      <c r="U113" s="3"/>
      <c r="V113" s="3"/>
      <c r="W113" s="3"/>
      <c r="X113" s="3"/>
      <c r="Y113" s="3"/>
      <c r="Z113" s="3"/>
      <c r="AA113" s="3"/>
    </row>
    <row r="114" spans="1:27">
      <c r="A114" s="3"/>
      <c r="B114" s="3"/>
      <c r="C114" s="177"/>
      <c r="D114" s="141"/>
      <c r="E114" s="141" t="s">
        <v>1030</v>
      </c>
      <c r="F114" s="141"/>
      <c r="G114" s="141"/>
      <c r="H114" s="141"/>
      <c r="I114" s="141"/>
      <c r="J114" s="1049"/>
      <c r="K114" s="141"/>
      <c r="L114" s="141"/>
      <c r="M114" s="182"/>
      <c r="N114" s="3"/>
      <c r="O114" s="3"/>
      <c r="P114" s="3"/>
      <c r="Q114" s="3"/>
      <c r="R114" s="3"/>
      <c r="S114" s="3"/>
      <c r="T114" s="3"/>
      <c r="U114" s="3"/>
      <c r="V114" s="3"/>
      <c r="W114" s="3"/>
      <c r="X114" s="3"/>
      <c r="Y114" s="3"/>
      <c r="Z114" s="3"/>
      <c r="AA114" s="3"/>
    </row>
    <row r="115" spans="1:27" ht="13">
      <c r="A115" s="3"/>
      <c r="B115" s="3"/>
      <c r="C115" s="177"/>
      <c r="D115" s="141"/>
      <c r="E115" s="141" t="s">
        <v>1025</v>
      </c>
      <c r="F115" s="141"/>
      <c r="G115" s="141"/>
      <c r="H115" s="1004">
        <v>7.5899999999999995E-2</v>
      </c>
      <c r="I115" s="192" t="s">
        <v>1036</v>
      </c>
      <c r="J115" s="973">
        <f>Frequency!$M$16</f>
        <v>436.5</v>
      </c>
      <c r="K115" s="141" t="s">
        <v>830</v>
      </c>
      <c r="L115" s="141"/>
      <c r="M115" s="182"/>
      <c r="N115" s="3"/>
      <c r="O115" s="357" t="s">
        <v>755</v>
      </c>
      <c r="P115" s="368"/>
      <c r="Q115" s="294"/>
      <c r="R115" s="294"/>
      <c r="S115" s="294"/>
      <c r="T115" s="294"/>
      <c r="U115" s="294"/>
      <c r="V115" s="295"/>
      <c r="W115" s="3"/>
      <c r="X115" s="3"/>
      <c r="Y115" s="3"/>
      <c r="Z115" s="3"/>
      <c r="AA115" s="3"/>
    </row>
    <row r="116" spans="1:27">
      <c r="A116" s="3"/>
      <c r="B116" s="3"/>
      <c r="C116" s="177"/>
      <c r="D116" s="141"/>
      <c r="E116" s="141" t="s">
        <v>1026</v>
      </c>
      <c r="F116" s="141"/>
      <c r="G116" s="141"/>
      <c r="H116" s="1004"/>
      <c r="I116" s="192" t="s">
        <v>1036</v>
      </c>
      <c r="J116" s="973">
        <f>Frequency!$M$16</f>
        <v>436.5</v>
      </c>
      <c r="K116" s="141" t="s">
        <v>830</v>
      </c>
      <c r="L116" s="141"/>
      <c r="M116" s="182"/>
      <c r="N116" s="3"/>
      <c r="O116" s="296"/>
      <c r="P116" s="298"/>
      <c r="Q116" s="298"/>
      <c r="R116" s="298"/>
      <c r="S116" s="298"/>
      <c r="T116" s="298"/>
      <c r="U116" s="298"/>
      <c r="V116" s="358"/>
      <c r="W116" s="3"/>
      <c r="X116" s="3"/>
      <c r="Y116" s="3"/>
      <c r="Z116" s="3"/>
      <c r="AA116" s="3"/>
    </row>
    <row r="117" spans="1:27">
      <c r="A117" s="3"/>
      <c r="B117" s="3"/>
      <c r="C117" s="177"/>
      <c r="D117" s="141"/>
      <c r="E117" s="141" t="s">
        <v>1027</v>
      </c>
      <c r="F117" s="141"/>
      <c r="G117" s="141"/>
      <c r="H117" s="1004"/>
      <c r="I117" s="192" t="s">
        <v>1036</v>
      </c>
      <c r="J117" s="973">
        <f>Frequency!$M$16</f>
        <v>436.5</v>
      </c>
      <c r="K117" s="141" t="s">
        <v>830</v>
      </c>
      <c r="L117" s="141"/>
      <c r="M117" s="182"/>
      <c r="N117" s="3"/>
      <c r="O117" s="296"/>
      <c r="P117" s="298" t="s">
        <v>241</v>
      </c>
      <c r="Q117" s="298"/>
      <c r="R117" s="298"/>
      <c r="S117" s="298"/>
      <c r="T117" s="298"/>
      <c r="U117" s="298"/>
      <c r="V117" s="358"/>
      <c r="W117" s="3"/>
      <c r="X117" s="3"/>
      <c r="Y117" s="3"/>
      <c r="Z117" s="3"/>
      <c r="AA117" s="3"/>
    </row>
    <row r="118" spans="1:27">
      <c r="A118" s="3"/>
      <c r="B118" s="3"/>
      <c r="C118" s="177"/>
      <c r="D118" s="141"/>
      <c r="E118" s="141"/>
      <c r="F118" s="141"/>
      <c r="G118" s="141"/>
      <c r="H118" s="141"/>
      <c r="I118" s="141"/>
      <c r="J118" s="141"/>
      <c r="K118" s="141"/>
      <c r="L118" s="141"/>
      <c r="M118" s="182"/>
      <c r="N118" s="3"/>
      <c r="O118" s="296"/>
      <c r="P118" s="298"/>
      <c r="Q118" s="298"/>
      <c r="R118" s="298"/>
      <c r="S118" s="298"/>
      <c r="T118" s="298"/>
      <c r="U118" s="298"/>
      <c r="V118" s="358"/>
      <c r="W118" s="3"/>
      <c r="X118" s="3"/>
      <c r="Y118" s="3"/>
      <c r="Z118" s="3"/>
      <c r="AA118" s="3"/>
    </row>
    <row r="119" spans="1:27">
      <c r="A119" s="3"/>
      <c r="B119" s="3"/>
      <c r="C119" s="177"/>
      <c r="D119" s="141"/>
      <c r="E119" s="141" t="s">
        <v>207</v>
      </c>
      <c r="F119" s="141"/>
      <c r="G119" s="141"/>
      <c r="H119" s="141"/>
      <c r="I119" s="141" t="s">
        <v>1096</v>
      </c>
      <c r="J119" s="141">
        <f>J110*H115</f>
        <v>7.5899999999999995E-2</v>
      </c>
      <c r="K119" s="141" t="s">
        <v>833</v>
      </c>
      <c r="L119" s="141"/>
      <c r="M119" s="182"/>
      <c r="N119" s="3"/>
      <c r="O119" s="296"/>
      <c r="P119" s="298"/>
      <c r="Q119" s="298" t="s">
        <v>238</v>
      </c>
      <c r="R119" s="298"/>
      <c r="S119" s="298"/>
      <c r="T119" s="521">
        <v>436.5</v>
      </c>
      <c r="U119" s="41" t="s">
        <v>830</v>
      </c>
      <c r="V119" s="358"/>
      <c r="W119" s="3"/>
      <c r="X119" s="3"/>
      <c r="Y119" s="3"/>
      <c r="Z119" s="3"/>
      <c r="AA119" s="3"/>
    </row>
    <row r="120" spans="1:27">
      <c r="A120" s="3"/>
      <c r="B120" s="3"/>
      <c r="C120" s="177"/>
      <c r="D120" s="141"/>
      <c r="E120" s="141" t="s">
        <v>211</v>
      </c>
      <c r="F120" s="141"/>
      <c r="G120" s="141"/>
      <c r="H120" s="141"/>
      <c r="I120" s="141" t="s">
        <v>1097</v>
      </c>
      <c r="J120" s="141">
        <f t="shared" ref="J120:J121" si="7">J111*H116</f>
        <v>0</v>
      </c>
      <c r="K120" s="141" t="s">
        <v>833</v>
      </c>
      <c r="L120" s="141"/>
      <c r="M120" s="182"/>
      <c r="N120" s="3"/>
      <c r="O120" s="296"/>
      <c r="P120" s="298"/>
      <c r="Q120" s="298"/>
      <c r="R120" s="298"/>
      <c r="S120" s="298"/>
      <c r="T120" s="298"/>
      <c r="U120" s="298"/>
      <c r="V120" s="358"/>
      <c r="W120" s="3"/>
      <c r="X120" s="3"/>
      <c r="Y120" s="3"/>
      <c r="Z120" s="3"/>
      <c r="AA120" s="3"/>
    </row>
    <row r="121" spans="1:27">
      <c r="A121" s="3"/>
      <c r="B121" s="3"/>
      <c r="C121" s="177"/>
      <c r="D121" s="141"/>
      <c r="E121" s="141" t="s">
        <v>212</v>
      </c>
      <c r="F121" s="141"/>
      <c r="G121" s="141"/>
      <c r="H121" s="141"/>
      <c r="I121" s="141" t="s">
        <v>1098</v>
      </c>
      <c r="J121" s="141">
        <f t="shared" si="7"/>
        <v>0</v>
      </c>
      <c r="K121" s="141" t="s">
        <v>833</v>
      </c>
      <c r="L121" s="141"/>
      <c r="M121" s="182"/>
      <c r="N121" s="3"/>
      <c r="O121" s="296"/>
      <c r="P121" s="298"/>
      <c r="Q121" s="298" t="s">
        <v>239</v>
      </c>
      <c r="R121" s="298"/>
      <c r="S121" s="298"/>
      <c r="T121" s="1050">
        <f>80*((T119/1000)/0.25)^-2.75+2.7</f>
        <v>19.976999820031672</v>
      </c>
      <c r="U121" s="370" t="s">
        <v>861</v>
      </c>
      <c r="V121" s="358"/>
      <c r="W121" s="3"/>
      <c r="X121" s="3"/>
      <c r="Y121" s="3"/>
      <c r="Z121" s="3"/>
      <c r="AA121" s="3"/>
    </row>
    <row r="122" spans="1:27">
      <c r="A122" s="3"/>
      <c r="B122" s="3"/>
      <c r="C122" s="177"/>
      <c r="D122" s="141"/>
      <c r="E122" s="141" t="s">
        <v>213</v>
      </c>
      <c r="F122" s="141"/>
      <c r="G122" s="141"/>
      <c r="H122" s="141"/>
      <c r="I122" s="141" t="s">
        <v>1099</v>
      </c>
      <c r="J122" s="977"/>
      <c r="K122" s="141" t="s">
        <v>833</v>
      </c>
      <c r="L122" s="141"/>
      <c r="M122" s="182"/>
      <c r="N122" s="3"/>
      <c r="O122" s="296"/>
      <c r="P122" s="298"/>
      <c r="Q122" s="298"/>
      <c r="R122" s="298"/>
      <c r="S122" s="298"/>
      <c r="T122" s="298"/>
      <c r="U122" s="359"/>
      <c r="V122" s="358"/>
      <c r="W122" s="3"/>
      <c r="X122" s="3"/>
      <c r="Y122" s="3"/>
      <c r="Z122" s="3"/>
      <c r="AA122" s="3"/>
    </row>
    <row r="123" spans="1:27">
      <c r="A123" s="3"/>
      <c r="B123" s="3"/>
      <c r="C123" s="177"/>
      <c r="D123" s="141"/>
      <c r="E123" s="141" t="s">
        <v>215</v>
      </c>
      <c r="F123" s="141"/>
      <c r="G123" s="141"/>
      <c r="H123" s="141"/>
      <c r="I123" s="141" t="s">
        <v>1100</v>
      </c>
      <c r="J123" s="977"/>
      <c r="K123" s="141" t="s">
        <v>833</v>
      </c>
      <c r="L123" s="141"/>
      <c r="M123" s="182"/>
      <c r="N123" s="3"/>
      <c r="O123" s="296"/>
      <c r="P123" s="298"/>
      <c r="Q123" s="298" t="s">
        <v>240</v>
      </c>
      <c r="R123" s="298"/>
      <c r="S123" s="298"/>
      <c r="T123" s="1050">
        <f>380*((T119/1000)/0.25)^-2.75+2.7</f>
        <v>84.765749145150451</v>
      </c>
      <c r="U123" s="370" t="s">
        <v>861</v>
      </c>
      <c r="V123" s="358"/>
      <c r="W123" s="3"/>
      <c r="X123" s="3"/>
      <c r="Y123" s="3"/>
      <c r="Z123" s="3"/>
      <c r="AA123" s="3"/>
    </row>
    <row r="124" spans="1:27">
      <c r="A124" s="3"/>
      <c r="B124" s="3"/>
      <c r="C124" s="177"/>
      <c r="D124" s="141"/>
      <c r="E124" s="141" t="s">
        <v>234</v>
      </c>
      <c r="F124" s="141"/>
      <c r="G124" s="141"/>
      <c r="H124" s="382">
        <v>2</v>
      </c>
      <c r="I124" s="141" t="s">
        <v>236</v>
      </c>
      <c r="J124" s="980">
        <f>H124*0.05</f>
        <v>0.1</v>
      </c>
      <c r="K124" s="141" t="s">
        <v>833</v>
      </c>
      <c r="L124" s="141"/>
      <c r="M124" s="182"/>
      <c r="N124" s="3"/>
      <c r="O124" s="296"/>
      <c r="P124" s="298"/>
      <c r="Q124" s="298"/>
      <c r="R124" s="298"/>
      <c r="S124" s="298"/>
      <c r="T124" s="298"/>
      <c r="U124" s="298"/>
      <c r="V124" s="358"/>
      <c r="W124" s="3"/>
      <c r="X124" s="3"/>
      <c r="Y124" s="3"/>
      <c r="Z124" s="3"/>
      <c r="AA124" s="3"/>
    </row>
    <row r="125" spans="1:27">
      <c r="A125" s="3"/>
      <c r="B125" s="3"/>
      <c r="C125" s="177"/>
      <c r="D125" s="141"/>
      <c r="E125" s="141" t="s">
        <v>503</v>
      </c>
      <c r="F125" s="141"/>
      <c r="G125" s="141"/>
      <c r="H125" s="141"/>
      <c r="I125" s="141"/>
      <c r="J125" s="521" t="s">
        <v>502</v>
      </c>
      <c r="K125" s="367"/>
      <c r="L125" s="141"/>
      <c r="M125" s="182"/>
      <c r="N125" s="3"/>
      <c r="O125" s="296"/>
      <c r="P125" s="298"/>
      <c r="Q125" s="298"/>
      <c r="R125" s="298"/>
      <c r="S125" s="298"/>
      <c r="T125" s="298"/>
      <c r="U125" s="298"/>
      <c r="V125" s="358"/>
      <c r="W125" s="3"/>
      <c r="X125" s="3"/>
      <c r="Y125" s="3"/>
      <c r="Z125" s="3"/>
      <c r="AA125" s="3"/>
    </row>
    <row r="126" spans="1:27">
      <c r="A126" s="3"/>
      <c r="B126" s="3"/>
      <c r="C126" s="177"/>
      <c r="D126" s="141"/>
      <c r="E126" s="141"/>
      <c r="F126" s="141"/>
      <c r="G126" s="141"/>
      <c r="H126" s="141"/>
      <c r="I126" s="141"/>
      <c r="J126" s="141"/>
      <c r="K126" s="141"/>
      <c r="L126" s="141"/>
      <c r="M126" s="182"/>
      <c r="N126" s="3"/>
      <c r="O126" s="296"/>
      <c r="P126" s="298" t="s">
        <v>22</v>
      </c>
      <c r="Q126" s="298"/>
      <c r="R126" s="298"/>
      <c r="S126" s="298"/>
      <c r="T126" s="298"/>
      <c r="U126" s="298"/>
      <c r="V126" s="358"/>
      <c r="W126" s="3"/>
      <c r="X126" s="3"/>
      <c r="Y126" s="3"/>
      <c r="Z126" s="3"/>
      <c r="AA126" s="3"/>
    </row>
    <row r="127" spans="1:27">
      <c r="A127" s="3"/>
      <c r="B127" s="3"/>
      <c r="C127" s="177"/>
      <c r="D127" s="141"/>
      <c r="E127" s="141" t="s">
        <v>217</v>
      </c>
      <c r="F127" s="141"/>
      <c r="G127" s="141"/>
      <c r="H127" s="141"/>
      <c r="I127" s="141"/>
      <c r="J127" s="1051">
        <f>SUM(J119:J124)</f>
        <v>0.1759</v>
      </c>
      <c r="K127" s="141" t="s">
        <v>833</v>
      </c>
      <c r="L127" s="141"/>
      <c r="M127" s="182"/>
      <c r="N127" s="3"/>
      <c r="O127" s="296"/>
      <c r="P127" s="298"/>
      <c r="Q127" s="298"/>
      <c r="R127" s="298"/>
      <c r="S127" s="298"/>
      <c r="T127" s="298"/>
      <c r="U127" s="298"/>
      <c r="V127" s="358"/>
      <c r="W127" s="3"/>
      <c r="X127" s="3"/>
      <c r="Y127" s="3"/>
      <c r="Z127" s="3"/>
      <c r="AA127" s="3"/>
    </row>
    <row r="128" spans="1:27">
      <c r="A128" s="3"/>
      <c r="B128" s="3"/>
      <c r="C128" s="177"/>
      <c r="D128" s="141"/>
      <c r="E128" s="141"/>
      <c r="F128" s="141"/>
      <c r="G128" s="141"/>
      <c r="H128" s="141"/>
      <c r="I128" s="141"/>
      <c r="J128" s="141"/>
      <c r="K128" s="141"/>
      <c r="L128" s="141"/>
      <c r="M128" s="182"/>
      <c r="N128" s="3"/>
      <c r="O128" s="296"/>
      <c r="P128" s="298"/>
      <c r="Q128" s="298" t="s">
        <v>242</v>
      </c>
      <c r="R128" s="298"/>
      <c r="S128" s="298"/>
      <c r="T128" s="1052">
        <v>10</v>
      </c>
      <c r="U128" s="367" t="s">
        <v>244</v>
      </c>
      <c r="V128" s="358"/>
      <c r="W128" s="3"/>
      <c r="X128" s="3"/>
      <c r="Y128" s="3"/>
      <c r="Z128" s="3"/>
      <c r="AA128" s="3"/>
    </row>
    <row r="129" spans="1:27">
      <c r="A129" s="3"/>
      <c r="B129" s="3"/>
      <c r="C129" s="177"/>
      <c r="D129" s="141" t="s">
        <v>218</v>
      </c>
      <c r="E129" s="141"/>
      <c r="F129" s="141"/>
      <c r="G129" s="141"/>
      <c r="H129" s="141"/>
      <c r="I129" s="364" t="s">
        <v>1101</v>
      </c>
      <c r="J129" s="1053">
        <f>10^-(J127/10)</f>
        <v>0.9603067908358236</v>
      </c>
      <c r="K129" s="141"/>
      <c r="L129" s="141"/>
      <c r="M129" s="182"/>
      <c r="N129" s="3"/>
      <c r="O129" s="296"/>
      <c r="P129" s="298"/>
      <c r="Q129" s="298"/>
      <c r="R129" s="298"/>
      <c r="S129" s="298"/>
      <c r="T129" s="298"/>
      <c r="U129" s="298"/>
      <c r="V129" s="358"/>
      <c r="W129" s="3"/>
      <c r="X129" s="3"/>
      <c r="Y129" s="3"/>
      <c r="Z129" s="3"/>
      <c r="AA129" s="3"/>
    </row>
    <row r="130" spans="1:27">
      <c r="A130" s="3"/>
      <c r="B130" s="3"/>
      <c r="C130" s="177"/>
      <c r="D130" s="141"/>
      <c r="E130" s="141"/>
      <c r="F130" s="141"/>
      <c r="G130" s="141"/>
      <c r="H130" s="141"/>
      <c r="I130" s="141"/>
      <c r="J130" s="141"/>
      <c r="K130" s="141"/>
      <c r="L130" s="141"/>
      <c r="M130" s="182"/>
      <c r="N130" s="3"/>
      <c r="O130" s="296"/>
      <c r="P130" s="242" t="s">
        <v>140</v>
      </c>
      <c r="Q130" s="374" t="s">
        <v>23</v>
      </c>
      <c r="R130" s="298"/>
      <c r="S130" s="298"/>
      <c r="T130" s="521">
        <v>-132.4</v>
      </c>
      <c r="U130" s="367" t="s">
        <v>859</v>
      </c>
      <c r="V130" s="358"/>
      <c r="W130" s="3"/>
      <c r="X130" s="3"/>
      <c r="Y130" s="3"/>
      <c r="Z130" s="3"/>
      <c r="AA130" s="3"/>
    </row>
    <row r="131" spans="1:27">
      <c r="A131" s="3"/>
      <c r="B131" s="3"/>
      <c r="C131" s="177"/>
      <c r="D131" s="141" t="s">
        <v>220</v>
      </c>
      <c r="E131" s="141"/>
      <c r="F131" s="141"/>
      <c r="G131" s="242" t="s">
        <v>140</v>
      </c>
      <c r="H131" s="141"/>
      <c r="I131" s="141" t="s">
        <v>1102</v>
      </c>
      <c r="J131" s="1054">
        <v>500</v>
      </c>
      <c r="K131" s="141" t="s">
        <v>861</v>
      </c>
      <c r="L131" s="141"/>
      <c r="M131" s="182"/>
      <c r="N131" s="3"/>
      <c r="O131" s="296"/>
      <c r="P131" s="298"/>
      <c r="Q131" s="298"/>
      <c r="R131" s="298"/>
      <c r="S131" s="298"/>
      <c r="T131" s="298"/>
      <c r="U131" s="298"/>
      <c r="V131" s="358"/>
      <c r="W131" s="3"/>
      <c r="X131" s="3"/>
      <c r="Y131" s="3"/>
      <c r="Z131" s="3"/>
      <c r="AA131" s="3"/>
    </row>
    <row r="132" spans="1:27">
      <c r="A132" s="3"/>
      <c r="B132" s="3"/>
      <c r="C132" s="177"/>
      <c r="D132" s="141"/>
      <c r="E132" s="141"/>
      <c r="F132" s="141"/>
      <c r="G132" s="141"/>
      <c r="H132" s="141"/>
      <c r="I132" s="141"/>
      <c r="J132" s="141"/>
      <c r="K132" s="141"/>
      <c r="L132" s="141"/>
      <c r="M132" s="182"/>
      <c r="N132" s="3"/>
      <c r="O132" s="296"/>
      <c r="P132" s="298"/>
      <c r="Q132" s="374" t="s">
        <v>243</v>
      </c>
      <c r="R132" s="298"/>
      <c r="S132" s="298"/>
      <c r="T132" s="1050">
        <f>10^((T130+198.6-10*LOG10(T128*1000))/10)</f>
        <v>416.86938347033458</v>
      </c>
      <c r="U132" s="371" t="s">
        <v>861</v>
      </c>
      <c r="V132" s="358"/>
      <c r="W132" s="3"/>
      <c r="X132" s="3"/>
      <c r="Y132" s="3"/>
      <c r="Z132" s="3"/>
      <c r="AA132" s="3"/>
    </row>
    <row r="133" spans="1:27">
      <c r="A133" s="3"/>
      <c r="B133" s="3"/>
      <c r="C133" s="177"/>
      <c r="D133" s="141" t="s">
        <v>612</v>
      </c>
      <c r="E133" s="141"/>
      <c r="F133" s="141"/>
      <c r="G133" s="141"/>
      <c r="H133" s="141"/>
      <c r="I133" s="141" t="s">
        <v>1091</v>
      </c>
      <c r="J133" s="1054">
        <v>290</v>
      </c>
      <c r="K133" s="141" t="s">
        <v>861</v>
      </c>
      <c r="L133" s="141"/>
      <c r="M133" s="182"/>
      <c r="N133" s="3"/>
      <c r="O133" s="296"/>
      <c r="P133" s="298"/>
      <c r="Q133" s="298"/>
      <c r="R133" s="298"/>
      <c r="S133" s="298"/>
      <c r="T133" s="298"/>
      <c r="U133" s="298"/>
      <c r="V133" s="358"/>
      <c r="W133" s="3"/>
      <c r="X133" s="3"/>
      <c r="Y133" s="3"/>
      <c r="Z133" s="3"/>
      <c r="AA133" s="3"/>
    </row>
    <row r="134" spans="1:27" ht="13">
      <c r="A134" s="3"/>
      <c r="B134" s="3"/>
      <c r="C134" s="177"/>
      <c r="D134" s="141"/>
      <c r="E134" s="141"/>
      <c r="F134" s="141"/>
      <c r="G134" s="141"/>
      <c r="H134" s="141"/>
      <c r="I134" s="141"/>
      <c r="J134" s="141"/>
      <c r="K134" s="141"/>
      <c r="L134" s="141"/>
      <c r="M134" s="182"/>
      <c r="N134" s="3"/>
      <c r="O134" s="296"/>
      <c r="P134" s="298" t="s">
        <v>245</v>
      </c>
      <c r="Q134" s="298"/>
      <c r="R134" s="298"/>
      <c r="S134" s="298"/>
      <c r="T134" s="373">
        <f>T121+T132</f>
        <v>436.84638329036625</v>
      </c>
      <c r="U134" s="372" t="s">
        <v>861</v>
      </c>
      <c r="V134" s="358"/>
      <c r="W134" s="3"/>
      <c r="X134" s="3"/>
      <c r="Y134" s="3"/>
      <c r="Z134" s="3"/>
      <c r="AA134" s="3"/>
    </row>
    <row r="135" spans="1:27">
      <c r="A135" s="3"/>
      <c r="B135" s="3"/>
      <c r="C135" s="177"/>
      <c r="D135" s="141" t="s">
        <v>224</v>
      </c>
      <c r="E135" s="141"/>
      <c r="F135" s="141"/>
      <c r="G135" s="141"/>
      <c r="H135" s="141"/>
      <c r="I135" s="141" t="s">
        <v>1103</v>
      </c>
      <c r="J135" s="1054">
        <v>39</v>
      </c>
      <c r="K135" s="141" t="s">
        <v>861</v>
      </c>
      <c r="L135" s="141"/>
      <c r="M135" s="182"/>
      <c r="N135" s="3"/>
      <c r="O135" s="296"/>
      <c r="P135" s="298"/>
      <c r="Q135" s="298"/>
      <c r="R135" s="298"/>
      <c r="S135" s="298"/>
      <c r="T135" s="300"/>
      <c r="U135" s="300"/>
      <c r="V135" s="358"/>
      <c r="W135" s="3"/>
      <c r="X135" s="3"/>
      <c r="Y135" s="3"/>
      <c r="Z135" s="3"/>
      <c r="AA135" s="3"/>
    </row>
    <row r="136" spans="1:27" ht="13">
      <c r="A136" s="3"/>
      <c r="B136" s="3"/>
      <c r="C136" s="177"/>
      <c r="D136" s="141"/>
      <c r="E136" s="141"/>
      <c r="F136" s="141"/>
      <c r="G136" s="141"/>
      <c r="H136" s="141"/>
      <c r="I136" s="141"/>
      <c r="J136" s="141"/>
      <c r="K136" s="141"/>
      <c r="L136" s="141"/>
      <c r="M136" s="182"/>
      <c r="N136" s="3"/>
      <c r="O136" s="296"/>
      <c r="P136" s="298" t="s">
        <v>246</v>
      </c>
      <c r="Q136" s="298"/>
      <c r="R136" s="298"/>
      <c r="S136" s="298"/>
      <c r="T136" s="373">
        <f>T123+T132</f>
        <v>501.63513261548502</v>
      </c>
      <c r="U136" s="372" t="s">
        <v>861</v>
      </c>
      <c r="V136" s="358"/>
      <c r="W136" s="3"/>
      <c r="X136" s="3"/>
      <c r="Y136" s="3"/>
      <c r="Z136" s="3"/>
      <c r="AA136" s="3"/>
    </row>
    <row r="137" spans="1:27">
      <c r="A137" s="3"/>
      <c r="B137" s="3"/>
      <c r="C137" s="177"/>
      <c r="D137" s="141" t="s">
        <v>226</v>
      </c>
      <c r="E137" s="141"/>
      <c r="F137" s="1055">
        <v>18</v>
      </c>
      <c r="G137" s="141" t="s">
        <v>833</v>
      </c>
      <c r="H137" s="141"/>
      <c r="I137" s="141" t="s">
        <v>1104</v>
      </c>
      <c r="J137" s="303">
        <f>10^(F137/10)</f>
        <v>63.095734448019364</v>
      </c>
      <c r="K137" s="141"/>
      <c r="L137" s="141"/>
      <c r="M137" s="982" t="s">
        <v>1063</v>
      </c>
      <c r="N137" s="3"/>
      <c r="O137" s="299"/>
      <c r="P137" s="300"/>
      <c r="Q137" s="300"/>
      <c r="R137" s="300"/>
      <c r="S137" s="300"/>
      <c r="T137" s="300"/>
      <c r="U137" s="300"/>
      <c r="V137" s="301"/>
      <c r="W137" s="3"/>
      <c r="X137" s="3"/>
      <c r="Y137" s="3"/>
      <c r="Z137" s="3"/>
      <c r="AA137" s="3"/>
    </row>
    <row r="138" spans="1:27">
      <c r="A138" s="3"/>
      <c r="B138" s="3"/>
      <c r="C138" s="177"/>
      <c r="D138" s="141"/>
      <c r="E138" s="141"/>
      <c r="F138" s="1056"/>
      <c r="G138" s="141"/>
      <c r="H138" s="141"/>
      <c r="I138" s="141"/>
      <c r="J138" s="303"/>
      <c r="K138" s="141"/>
      <c r="L138" s="141"/>
      <c r="M138" s="182"/>
      <c r="N138" s="3"/>
      <c r="O138" s="3"/>
      <c r="P138" s="3"/>
      <c r="Q138" s="3"/>
      <c r="R138" s="3"/>
      <c r="S138" s="3"/>
      <c r="T138" s="3"/>
      <c r="U138" s="3"/>
      <c r="V138" s="3"/>
      <c r="W138" s="3"/>
      <c r="X138" s="3"/>
      <c r="Y138" s="3"/>
      <c r="Z138" s="3"/>
      <c r="AA138" s="3"/>
    </row>
    <row r="139" spans="1:27" ht="13">
      <c r="A139" s="3"/>
      <c r="B139" s="3"/>
      <c r="C139" s="177"/>
      <c r="D139" s="141" t="s">
        <v>742</v>
      </c>
      <c r="E139" s="141"/>
      <c r="F139" s="1056"/>
      <c r="G139" s="242" t="s">
        <v>140</v>
      </c>
      <c r="H139" s="141"/>
      <c r="I139" s="141"/>
      <c r="J139" s="977">
        <v>8.26</v>
      </c>
      <c r="K139" s="141" t="s">
        <v>741</v>
      </c>
      <c r="L139" s="141"/>
      <c r="M139" s="182"/>
      <c r="N139" s="3"/>
      <c r="O139" s="1013" t="s">
        <v>1055</v>
      </c>
      <c r="P139" s="1014"/>
      <c r="Q139" s="1014"/>
      <c r="R139" s="1014"/>
      <c r="S139" s="1014"/>
      <c r="T139" s="1014"/>
      <c r="U139" s="1014"/>
      <c r="V139" s="1014"/>
      <c r="W139" s="1014"/>
      <c r="X139" s="1014"/>
      <c r="Y139" s="1014"/>
      <c r="Z139" s="1014"/>
      <c r="AA139" s="1015"/>
    </row>
    <row r="140" spans="1:27">
      <c r="A140" s="3"/>
      <c r="B140" s="3"/>
      <c r="C140" s="177"/>
      <c r="D140" s="141"/>
      <c r="E140" s="141"/>
      <c r="F140" s="1056"/>
      <c r="G140" s="141"/>
      <c r="H140" s="141"/>
      <c r="I140" s="141"/>
      <c r="J140" s="303"/>
      <c r="K140" s="141"/>
      <c r="L140" s="141"/>
      <c r="M140" s="182"/>
      <c r="N140" s="3"/>
      <c r="O140" s="1016"/>
      <c r="P140" s="1017"/>
      <c r="Q140" s="1017"/>
      <c r="R140" s="1017"/>
      <c r="S140" s="1017"/>
      <c r="T140" s="1017"/>
      <c r="U140" s="1017"/>
      <c r="V140" s="1017"/>
      <c r="W140" s="1017"/>
      <c r="X140" s="1017"/>
      <c r="Y140" s="1017"/>
      <c r="Z140" s="1017"/>
      <c r="AA140" s="1018"/>
    </row>
    <row r="141" spans="1:27" ht="15" thickBot="1">
      <c r="A141" s="3"/>
      <c r="B141" s="3"/>
      <c r="C141" s="177"/>
      <c r="D141" s="141" t="s">
        <v>743</v>
      </c>
      <c r="E141" s="141"/>
      <c r="F141" s="1056"/>
      <c r="G141" s="141"/>
      <c r="H141" s="141"/>
      <c r="I141" s="141"/>
      <c r="J141" s="521" t="s">
        <v>1033</v>
      </c>
      <c r="K141" s="367"/>
      <c r="L141" s="141"/>
      <c r="M141" s="182"/>
      <c r="N141" s="3"/>
      <c r="O141" s="1019" t="s">
        <v>1039</v>
      </c>
      <c r="P141" s="1020" t="s">
        <v>1040</v>
      </c>
      <c r="Q141" s="1021"/>
      <c r="R141" s="1019" t="s">
        <v>1041</v>
      </c>
      <c r="S141" s="1019" t="s">
        <v>1042</v>
      </c>
      <c r="T141" s="1019"/>
      <c r="U141" s="1019" t="s">
        <v>1043</v>
      </c>
      <c r="V141" s="1019" t="s">
        <v>1044</v>
      </c>
      <c r="W141" s="1019" t="s">
        <v>1045</v>
      </c>
      <c r="X141" s="1019" t="s">
        <v>1046</v>
      </c>
      <c r="Y141" s="1019" t="s">
        <v>1047</v>
      </c>
      <c r="Z141" s="1019" t="s">
        <v>1048</v>
      </c>
      <c r="AA141" s="1019" t="s">
        <v>1049</v>
      </c>
    </row>
    <row r="142" spans="1:27">
      <c r="A142" s="3"/>
      <c r="B142" s="3"/>
      <c r="C142" s="177"/>
      <c r="D142" s="141"/>
      <c r="E142" s="141"/>
      <c r="F142" s="1056"/>
      <c r="G142" s="141"/>
      <c r="H142" s="141"/>
      <c r="I142" s="141"/>
      <c r="J142" s="303"/>
      <c r="K142" s="141"/>
      <c r="L142" s="141"/>
      <c r="M142" s="182"/>
      <c r="N142" s="3"/>
      <c r="O142" s="1022">
        <v>1</v>
      </c>
      <c r="P142" s="1023" t="s">
        <v>1051</v>
      </c>
      <c r="Q142" s="1024"/>
      <c r="R142" s="1025">
        <v>-0.1</v>
      </c>
      <c r="S142" s="1025">
        <v>0.1</v>
      </c>
      <c r="T142" s="1026"/>
      <c r="U142" s="1027">
        <f>IF(R142,10^(R142/10), "")</f>
        <v>0.97723722095581067</v>
      </c>
      <c r="V142" s="1027">
        <f>IF(S142,10^(S142/10), "")</f>
        <v>1.0232929922807541</v>
      </c>
      <c r="W142" s="1027">
        <f>IF(S142,1,"")</f>
        <v>1</v>
      </c>
      <c r="X142" s="1026">
        <f>IF(S142,290*(V142-1), "")</f>
        <v>6.7549677614186887</v>
      </c>
      <c r="Y142" s="1026">
        <f t="shared" ref="Y142:Y151" si="8">IF(S142,X142/W142, "")</f>
        <v>6.7549677614186887</v>
      </c>
      <c r="Z142" s="1027">
        <f>IF(S142,(V142-1)/W142, "")</f>
        <v>2.3292992280754099E-2</v>
      </c>
      <c r="AA142" s="1027">
        <f>IF(S142,Z142+1, "")</f>
        <v>1.0232929922807541</v>
      </c>
    </row>
    <row r="143" spans="1:27">
      <c r="A143" s="3"/>
      <c r="B143" s="3"/>
      <c r="C143" s="177"/>
      <c r="D143" s="141" t="s">
        <v>744</v>
      </c>
      <c r="E143" s="141"/>
      <c r="F143" s="1056"/>
      <c r="G143" s="141"/>
      <c r="H143" s="141"/>
      <c r="I143" s="141"/>
      <c r="J143" s="1057">
        <v>7.5899999999999995E-2</v>
      </c>
      <c r="K143" s="141" t="s">
        <v>1105</v>
      </c>
      <c r="L143" s="141"/>
      <c r="M143" s="182"/>
      <c r="N143" s="3"/>
      <c r="O143" s="1022">
        <v>2</v>
      </c>
      <c r="P143" s="1028" t="s">
        <v>1052</v>
      </c>
      <c r="Q143" s="1029"/>
      <c r="R143" s="1025">
        <v>-0.4</v>
      </c>
      <c r="S143" s="1025">
        <v>0.4</v>
      </c>
      <c r="T143" s="1026"/>
      <c r="U143" s="1027">
        <f t="shared" ref="U143:V151" si="9">IF(R143,10^(R143/10), "")</f>
        <v>0.91201083935590965</v>
      </c>
      <c r="V143" s="1027">
        <f t="shared" si="9"/>
        <v>1.0964781961431851</v>
      </c>
      <c r="W143" s="1027">
        <f t="shared" ref="W143:W151" si="10">IF(S143,W142*U142, "")</f>
        <v>0.97723722095581067</v>
      </c>
      <c r="X143" s="1026">
        <f t="shared" ref="X143:X151" si="11">IF(S143,290*(V143-1), "")</f>
        <v>27.978676881523675</v>
      </c>
      <c r="Y143" s="1026">
        <f t="shared" si="8"/>
        <v>28.630383986150722</v>
      </c>
      <c r="Z143" s="1027">
        <f t="shared" ref="Z143:Z151" si="12">IF(S143,(V143-1)/W143, "")</f>
        <v>9.8725462021209381E-2</v>
      </c>
      <c r="AA143" s="1027">
        <f>IF(S143, AA142+Z143, "")</f>
        <v>1.1220184543019636</v>
      </c>
    </row>
    <row r="144" spans="1:27">
      <c r="A144" s="3"/>
      <c r="B144" s="3"/>
      <c r="C144" s="177"/>
      <c r="D144" s="141"/>
      <c r="E144" s="141"/>
      <c r="F144" s="1056"/>
      <c r="G144" s="141"/>
      <c r="H144" s="141"/>
      <c r="I144" s="141"/>
      <c r="J144" s="303"/>
      <c r="K144" s="141"/>
      <c r="L144" s="141"/>
      <c r="M144" s="182"/>
      <c r="N144" s="3"/>
      <c r="O144" s="1022">
        <v>3</v>
      </c>
      <c r="P144" s="1028" t="s">
        <v>1032</v>
      </c>
      <c r="Q144" s="1029"/>
      <c r="R144" s="1025">
        <v>-0.5</v>
      </c>
      <c r="S144" s="1025">
        <v>0.5</v>
      </c>
      <c r="T144" s="1026"/>
      <c r="U144" s="1027">
        <f t="shared" si="9"/>
        <v>0.89125093813374545</v>
      </c>
      <c r="V144" s="1027">
        <f t="shared" si="9"/>
        <v>1.1220184543019636</v>
      </c>
      <c r="W144" s="1027">
        <f t="shared" si="10"/>
        <v>0.89125093813374545</v>
      </c>
      <c r="X144" s="1026">
        <f t="shared" si="11"/>
        <v>35.38535174756943</v>
      </c>
      <c r="Y144" s="1026">
        <f t="shared" si="8"/>
        <v>39.703017672739136</v>
      </c>
      <c r="Z144" s="1027">
        <f t="shared" si="12"/>
        <v>0.13690695749220394</v>
      </c>
      <c r="AA144" s="1027">
        <f t="shared" ref="AA144:AA151" si="13">IF(S144, AA143+Z144, "")</f>
        <v>1.2589254117941675</v>
      </c>
    </row>
    <row r="145" spans="1:27">
      <c r="A145" s="3"/>
      <c r="B145" s="3"/>
      <c r="C145" s="177"/>
      <c r="D145" s="141" t="s">
        <v>745</v>
      </c>
      <c r="E145" s="141"/>
      <c r="F145" s="1056"/>
      <c r="G145" s="141"/>
      <c r="H145" s="141"/>
      <c r="I145" s="141"/>
      <c r="J145" s="1058">
        <f>J139*J143</f>
        <v>0.62693399999999999</v>
      </c>
      <c r="K145" s="141" t="s">
        <v>833</v>
      </c>
      <c r="L145" s="141"/>
      <c r="M145" s="182"/>
      <c r="N145" s="3"/>
      <c r="O145" s="1022">
        <v>4</v>
      </c>
      <c r="P145" s="1028" t="s">
        <v>1061</v>
      </c>
      <c r="Q145" s="1029"/>
      <c r="R145" s="1025">
        <v>-0.1</v>
      </c>
      <c r="S145" s="1025">
        <v>0.1</v>
      </c>
      <c r="T145" s="1026"/>
      <c r="U145" s="1027">
        <f t="shared" si="9"/>
        <v>0.97723722095581067</v>
      </c>
      <c r="V145" s="1027">
        <f t="shared" si="9"/>
        <v>1.0232929922807541</v>
      </c>
      <c r="W145" s="1027">
        <f t="shared" si="10"/>
        <v>0.79432823472428138</v>
      </c>
      <c r="X145" s="1026">
        <f t="shared" si="11"/>
        <v>6.7549677614186887</v>
      </c>
      <c r="Y145" s="1026">
        <f t="shared" si="8"/>
        <v>8.504000570700347</v>
      </c>
      <c r="Z145" s="1027">
        <f t="shared" si="12"/>
        <v>2.9324139898966716E-2</v>
      </c>
      <c r="AA145" s="1027">
        <f t="shared" si="13"/>
        <v>1.2882495516931343</v>
      </c>
    </row>
    <row r="146" spans="1:27">
      <c r="A146" s="3"/>
      <c r="B146" s="3"/>
      <c r="C146" s="177"/>
      <c r="D146" s="141"/>
      <c r="E146" s="141"/>
      <c r="F146" s="141"/>
      <c r="G146" s="141"/>
      <c r="H146" s="141"/>
      <c r="I146" s="141"/>
      <c r="J146" s="141"/>
      <c r="K146" s="141"/>
      <c r="L146" s="141"/>
      <c r="M146" s="182"/>
      <c r="N146" s="3"/>
      <c r="O146" s="1022">
        <v>5</v>
      </c>
      <c r="P146" s="1028" t="s">
        <v>1062</v>
      </c>
      <c r="Q146" s="1029"/>
      <c r="R146" s="1025">
        <v>-0.8</v>
      </c>
      <c r="S146" s="1025">
        <v>0.8</v>
      </c>
      <c r="T146" s="1026"/>
      <c r="U146" s="1027">
        <f t="shared" si="9"/>
        <v>0.83176377110267097</v>
      </c>
      <c r="V146" s="1027">
        <f t="shared" si="9"/>
        <v>1.2022644346174129</v>
      </c>
      <c r="W146" s="1027">
        <f t="shared" si="10"/>
        <v>0.77624711662869161</v>
      </c>
      <c r="X146" s="1026">
        <f t="shared" si="11"/>
        <v>58.656686039049752</v>
      </c>
      <c r="Y146" s="1026">
        <f t="shared" si="8"/>
        <v>75.564449493610766</v>
      </c>
      <c r="Z146" s="1027">
        <f t="shared" si="12"/>
        <v>0.26056706721934747</v>
      </c>
      <c r="AA146" s="1027">
        <f t="shared" si="13"/>
        <v>1.5488166189124817</v>
      </c>
    </row>
    <row r="147" spans="1:27" ht="13">
      <c r="A147" s="3"/>
      <c r="B147" s="3"/>
      <c r="C147" s="177"/>
      <c r="D147" s="141" t="s">
        <v>108</v>
      </c>
      <c r="E147" s="141"/>
      <c r="F147" s="141"/>
      <c r="G147" s="141"/>
      <c r="H147" s="141"/>
      <c r="I147" s="141" t="s">
        <v>1088</v>
      </c>
      <c r="J147" s="375">
        <f>Y153</f>
        <v>1626.0109992220289</v>
      </c>
      <c r="K147" s="141" t="s">
        <v>861</v>
      </c>
      <c r="L147" s="141"/>
      <c r="M147" s="182"/>
      <c r="N147" s="3"/>
      <c r="O147" s="1022">
        <v>8</v>
      </c>
      <c r="P147" s="1028" t="s">
        <v>1052</v>
      </c>
      <c r="Q147" s="1029"/>
      <c r="R147" s="1025">
        <v>-0.3</v>
      </c>
      <c r="S147" s="1025">
        <v>0.3</v>
      </c>
      <c r="T147" s="1026"/>
      <c r="U147" s="1027">
        <f t="shared" si="9"/>
        <v>0.93325430079699101</v>
      </c>
      <c r="V147" s="1027">
        <f t="shared" si="9"/>
        <v>1.0715193052376064</v>
      </c>
      <c r="W147" s="1027">
        <f t="shared" si="10"/>
        <v>0.64565422903465541</v>
      </c>
      <c r="X147" s="1026">
        <f t="shared" si="11"/>
        <v>20.740598518905859</v>
      </c>
      <c r="Y147" s="1026">
        <f t="shared" si="8"/>
        <v>32.123383672272993</v>
      </c>
      <c r="Z147" s="1027">
        <f t="shared" si="12"/>
        <v>0.11077028852507929</v>
      </c>
      <c r="AA147" s="1027">
        <f t="shared" si="13"/>
        <v>1.6595869074375609</v>
      </c>
    </row>
    <row r="148" spans="1:27">
      <c r="A148" s="3"/>
      <c r="B148" s="3"/>
      <c r="C148" s="177"/>
      <c r="D148" s="141"/>
      <c r="E148" s="141"/>
      <c r="F148" s="141"/>
      <c r="G148" s="141"/>
      <c r="H148" s="141"/>
      <c r="I148" s="141"/>
      <c r="J148" s="141"/>
      <c r="K148" s="141"/>
      <c r="L148" s="141"/>
      <c r="M148" s="182"/>
      <c r="N148" s="3"/>
      <c r="O148" s="1022">
        <v>9</v>
      </c>
      <c r="P148" s="1028" t="s">
        <v>1053</v>
      </c>
      <c r="Q148" s="1029"/>
      <c r="R148" s="1025"/>
      <c r="S148" s="1025">
        <v>6</v>
      </c>
      <c r="T148" s="1026"/>
      <c r="U148" s="1027" t="str">
        <f t="shared" si="9"/>
        <v/>
      </c>
      <c r="V148" s="1027">
        <f t="shared" si="9"/>
        <v>3.9810717055349727</v>
      </c>
      <c r="W148" s="1027">
        <f t="shared" si="10"/>
        <v>0.60255958607435767</v>
      </c>
      <c r="X148" s="1026">
        <f t="shared" si="11"/>
        <v>864.51079460514211</v>
      </c>
      <c r="Y148" s="1026">
        <f t="shared" si="8"/>
        <v>1434.7307960651362</v>
      </c>
      <c r="Z148" s="1027">
        <f t="shared" si="12"/>
        <v>4.9473475726384004</v>
      </c>
      <c r="AA148" s="1027">
        <f t="shared" si="13"/>
        <v>6.6069344800759611</v>
      </c>
    </row>
    <row r="149" spans="1:27" ht="13">
      <c r="A149" s="3"/>
      <c r="B149" s="3"/>
      <c r="C149" s="177"/>
      <c r="D149" s="141"/>
      <c r="E149" s="141"/>
      <c r="F149" s="141"/>
      <c r="G149" s="141"/>
      <c r="H149" s="141"/>
      <c r="I149" s="141"/>
      <c r="J149" s="141"/>
      <c r="K149" s="141"/>
      <c r="L149" s="365"/>
      <c r="M149" s="182"/>
      <c r="N149" s="3"/>
      <c r="O149" s="1022">
        <v>10</v>
      </c>
      <c r="P149" s="1028"/>
      <c r="Q149" s="1029"/>
      <c r="R149" s="1025"/>
      <c r="S149" s="1025"/>
      <c r="T149" s="1026"/>
      <c r="U149" s="1027" t="str">
        <f t="shared" si="9"/>
        <v/>
      </c>
      <c r="V149" s="1027" t="str">
        <f t="shared" si="9"/>
        <v/>
      </c>
      <c r="W149" s="1027" t="str">
        <f t="shared" si="10"/>
        <v/>
      </c>
      <c r="X149" s="1026" t="str">
        <f t="shared" si="11"/>
        <v/>
      </c>
      <c r="Y149" s="1026" t="str">
        <f t="shared" si="8"/>
        <v/>
      </c>
      <c r="Z149" s="1027" t="str">
        <f t="shared" si="12"/>
        <v/>
      </c>
      <c r="AA149" s="1027" t="str">
        <f t="shared" si="13"/>
        <v/>
      </c>
    </row>
    <row r="150" spans="1:27" ht="13">
      <c r="A150" s="3"/>
      <c r="B150" s="3"/>
      <c r="C150" s="177"/>
      <c r="D150" s="141" t="s">
        <v>228</v>
      </c>
      <c r="E150" s="141"/>
      <c r="F150" s="141"/>
      <c r="G150" s="141"/>
      <c r="H150" s="141"/>
      <c r="I150" s="141" t="s">
        <v>1106</v>
      </c>
      <c r="J150" s="375">
        <f>J131*J129+J133*(1-J129)+J135+(J147/(J137/(10^(J145/10))))</f>
        <v>560.43703405741689</v>
      </c>
      <c r="K150" s="141" t="s">
        <v>861</v>
      </c>
      <c r="L150" s="141"/>
      <c r="M150" s="182"/>
      <c r="N150" s="3"/>
      <c r="O150" s="1022">
        <v>11</v>
      </c>
      <c r="P150" s="1028"/>
      <c r="Q150" s="1029"/>
      <c r="R150" s="1025"/>
      <c r="S150" s="1025"/>
      <c r="T150" s="1026"/>
      <c r="U150" s="1027" t="str">
        <f t="shared" si="9"/>
        <v/>
      </c>
      <c r="V150" s="1027" t="str">
        <f t="shared" si="9"/>
        <v/>
      </c>
      <c r="W150" s="1027" t="str">
        <f t="shared" si="10"/>
        <v/>
      </c>
      <c r="X150" s="1026" t="str">
        <f t="shared" si="11"/>
        <v/>
      </c>
      <c r="Y150" s="1026" t="str">
        <f t="shared" si="8"/>
        <v/>
      </c>
      <c r="Z150" s="1027" t="str">
        <f t="shared" si="12"/>
        <v/>
      </c>
      <c r="AA150" s="1027" t="str">
        <f t="shared" si="13"/>
        <v/>
      </c>
    </row>
    <row r="151" spans="1:27" ht="13" thickBot="1">
      <c r="A151" s="3"/>
      <c r="B151" s="3"/>
      <c r="C151" s="177"/>
      <c r="D151" s="141"/>
      <c r="E151" s="141"/>
      <c r="F151" s="141"/>
      <c r="G151" s="141"/>
      <c r="H151" s="141"/>
      <c r="I151" s="141"/>
      <c r="J151" s="141"/>
      <c r="K151" s="141"/>
      <c r="L151" s="141"/>
      <c r="M151" s="182"/>
      <c r="N151" s="3"/>
      <c r="O151" s="1030">
        <v>12</v>
      </c>
      <c r="P151" s="1031"/>
      <c r="Q151" s="1032"/>
      <c r="R151" s="1033"/>
      <c r="S151" s="1033"/>
      <c r="T151" s="1034"/>
      <c r="U151" s="1035" t="str">
        <f t="shared" si="9"/>
        <v/>
      </c>
      <c r="V151" s="1035" t="str">
        <f t="shared" si="9"/>
        <v/>
      </c>
      <c r="W151" s="1035" t="str">
        <f t="shared" si="10"/>
        <v/>
      </c>
      <c r="X151" s="1034" t="str">
        <f t="shared" si="11"/>
        <v/>
      </c>
      <c r="Y151" s="1034" t="str">
        <f t="shared" si="8"/>
        <v/>
      </c>
      <c r="Z151" s="1035" t="str">
        <f t="shared" si="12"/>
        <v/>
      </c>
      <c r="AA151" s="1035" t="str">
        <f t="shared" si="13"/>
        <v/>
      </c>
    </row>
    <row r="152" spans="1:27">
      <c r="A152" s="3"/>
      <c r="B152" s="3"/>
      <c r="C152" s="177"/>
      <c r="D152" s="141"/>
      <c r="E152" s="141"/>
      <c r="F152" s="141"/>
      <c r="G152" s="141"/>
      <c r="H152" s="141"/>
      <c r="I152" s="141"/>
      <c r="J152" s="141"/>
      <c r="K152" s="141"/>
      <c r="L152" s="141"/>
      <c r="M152" s="182"/>
      <c r="N152" s="3"/>
      <c r="O152" s="1036"/>
      <c r="P152" s="1037"/>
      <c r="Q152" s="1017"/>
      <c r="R152" s="1038"/>
      <c r="S152" s="1038"/>
      <c r="T152" s="1038"/>
      <c r="U152" s="1038"/>
      <c r="V152" s="1038"/>
      <c r="W152" s="1038"/>
      <c r="X152" s="1038"/>
      <c r="Y152" s="1038"/>
      <c r="Z152" s="1038"/>
      <c r="AA152" s="1039"/>
    </row>
    <row r="153" spans="1:27" ht="14.5">
      <c r="A153" s="3"/>
      <c r="B153" s="3"/>
      <c r="C153" s="236"/>
      <c r="D153" s="237"/>
      <c r="E153" s="237"/>
      <c r="F153" s="237"/>
      <c r="G153" s="237"/>
      <c r="H153" s="237"/>
      <c r="I153" s="237"/>
      <c r="J153" s="237"/>
      <c r="K153" s="237"/>
      <c r="L153" s="237"/>
      <c r="M153" s="238"/>
      <c r="N153" s="3"/>
      <c r="O153" s="1040"/>
      <c r="P153" s="1041"/>
      <c r="Q153" s="1042"/>
      <c r="R153" s="1043"/>
      <c r="S153" s="1043"/>
      <c r="T153" s="1043"/>
      <c r="U153" s="1043"/>
      <c r="V153" s="1043"/>
      <c r="W153" s="1043"/>
      <c r="X153" s="1044" t="s">
        <v>1050</v>
      </c>
      <c r="Y153" s="1045">
        <f>SUM(Y142:Y151)</f>
        <v>1626.0109992220289</v>
      </c>
      <c r="Z153" s="1046"/>
      <c r="AA153" s="1047"/>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t="s">
        <v>791</v>
      </c>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4" sqref="G4"/>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278</v>
      </c>
      <c r="B1" s="125"/>
      <c r="C1" s="125"/>
      <c r="D1" s="125"/>
      <c r="E1" s="127"/>
      <c r="F1" s="127"/>
      <c r="G1" s="678" t="str">
        <f>'Title Page'!F3</f>
        <v>OreSat - CS0</v>
      </c>
      <c r="H1" s="127"/>
      <c r="I1" s="127"/>
      <c r="J1" s="127"/>
      <c r="K1" s="127"/>
      <c r="L1" s="675" t="str">
        <f>'Title Page'!F23</f>
        <v>2019 May 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28"/>
      <c r="F3" s="3"/>
      <c r="G3" s="3"/>
      <c r="H3" s="3"/>
      <c r="I3" s="3"/>
      <c r="J3" s="528" t="s">
        <v>791</v>
      </c>
      <c r="K3" s="3"/>
      <c r="L3" s="3"/>
      <c r="M3" s="3"/>
      <c r="N3" s="3"/>
      <c r="O3" s="3"/>
      <c r="P3" s="3"/>
      <c r="Q3" s="3"/>
      <c r="R3" s="3"/>
      <c r="S3" s="3"/>
      <c r="T3" s="3"/>
      <c r="U3" s="3"/>
      <c r="V3" s="3"/>
      <c r="W3" s="3"/>
      <c r="X3" s="3"/>
      <c r="Y3" s="3"/>
      <c r="Z3" s="3"/>
    </row>
    <row r="4" spans="1:26" ht="15.5">
      <c r="A4" s="211"/>
      <c r="B4" s="101"/>
      <c r="C4" s="101"/>
      <c r="D4" s="3"/>
      <c r="E4" s="528"/>
      <c r="F4" s="3"/>
      <c r="G4" s="3"/>
      <c r="H4" s="3"/>
      <c r="I4" s="3"/>
      <c r="J4" s="528"/>
      <c r="K4" s="3"/>
      <c r="L4" s="3"/>
      <c r="M4" s="3"/>
      <c r="N4" s="3"/>
      <c r="O4" s="3"/>
      <c r="P4" s="3"/>
      <c r="Q4" s="3"/>
      <c r="R4" s="3"/>
      <c r="S4" s="3"/>
      <c r="T4" s="3"/>
      <c r="U4" s="3"/>
      <c r="V4" s="3"/>
      <c r="W4" s="3"/>
      <c r="X4" s="3"/>
      <c r="Y4" s="3"/>
      <c r="Z4" s="3"/>
    </row>
    <row r="5" spans="1:26" ht="15.5">
      <c r="A5" s="211"/>
      <c r="B5" s="346" t="s">
        <v>237</v>
      </c>
      <c r="C5" s="101"/>
      <c r="D5" s="3"/>
      <c r="E5" s="528"/>
      <c r="F5" s="3"/>
      <c r="G5" s="3"/>
      <c r="H5" s="3"/>
      <c r="I5" s="3"/>
      <c r="J5" s="528"/>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791</v>
      </c>
      <c r="B7" s="187" t="s">
        <v>94</v>
      </c>
      <c r="C7" s="194"/>
      <c r="D7" s="180"/>
      <c r="E7" s="180"/>
      <c r="F7" s="180"/>
      <c r="G7" s="180" t="s">
        <v>791</v>
      </c>
      <c r="H7" s="180"/>
      <c r="I7" s="180"/>
      <c r="J7" s="180" t="s">
        <v>791</v>
      </c>
      <c r="K7" s="180"/>
      <c r="L7" s="181"/>
      <c r="M7" s="3"/>
      <c r="N7" s="3"/>
      <c r="O7" s="3"/>
      <c r="P7" s="3"/>
      <c r="Q7" s="3"/>
      <c r="R7" s="3"/>
      <c r="S7" s="3"/>
      <c r="T7" s="3"/>
      <c r="U7" s="3"/>
      <c r="V7" s="3"/>
      <c r="W7" s="3"/>
      <c r="X7" s="3"/>
      <c r="Y7" s="3"/>
      <c r="Z7" s="3"/>
    </row>
    <row r="8" spans="1:26" ht="13">
      <c r="A8" s="3"/>
      <c r="B8" s="178" t="s">
        <v>791</v>
      </c>
      <c r="C8" s="212"/>
      <c r="D8" s="214" t="s">
        <v>104</v>
      </c>
      <c r="E8" s="213" t="s">
        <v>829</v>
      </c>
      <c r="F8" s="244">
        <f>Frequency!M10</f>
        <v>436.5</v>
      </c>
      <c r="G8" s="141" t="s">
        <v>830</v>
      </c>
      <c r="H8" s="141"/>
      <c r="I8" s="141"/>
      <c r="J8" s="141" t="s">
        <v>87</v>
      </c>
      <c r="K8" s="245">
        <f>299.8/$F$8</f>
        <v>0.6868270332187858</v>
      </c>
      <c r="L8" s="182" t="s">
        <v>831</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791</v>
      </c>
      <c r="R10" s="3"/>
      <c r="S10" s="3"/>
      <c r="T10" s="3"/>
      <c r="U10" s="3"/>
      <c r="V10" s="3"/>
      <c r="W10" s="3"/>
      <c r="X10" s="3"/>
      <c r="Y10" s="3"/>
      <c r="Z10" s="3"/>
    </row>
    <row r="11" spans="1:26" ht="13.5" thickBot="1">
      <c r="A11" s="79"/>
      <c r="B11" s="178" t="s">
        <v>791</v>
      </c>
      <c r="C11" s="141"/>
      <c r="D11" s="141"/>
      <c r="E11" s="711">
        <v>4</v>
      </c>
      <c r="F11" s="710" t="str">
        <f>INDEX(B13:B16,E11,1)</f>
        <v>Crossed Yagi</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860</v>
      </c>
      <c r="P13" s="151" t="s">
        <v>61</v>
      </c>
      <c r="Q13" s="154">
        <f>SQRT(40000/(10^(N13/10)))</f>
        <v>30.621749233640596</v>
      </c>
      <c r="R13" s="151" t="s">
        <v>4</v>
      </c>
      <c r="S13" s="151" t="s">
        <v>248</v>
      </c>
      <c r="T13" s="151"/>
      <c r="U13" s="155">
        <f>K8*E13</f>
        <v>2.1978465063001145</v>
      </c>
      <c r="V13" s="156" t="s">
        <v>831</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860</v>
      </c>
      <c r="P14" s="158" t="s">
        <v>61</v>
      </c>
      <c r="Q14" s="163">
        <f>52.2/(K14*((E14*H14)^0.5))</f>
        <v>33.014178772157877</v>
      </c>
      <c r="R14" s="158" t="s">
        <v>4</v>
      </c>
      <c r="S14" s="160"/>
      <c r="T14" s="160" t="s">
        <v>247</v>
      </c>
      <c r="U14" s="376">
        <f>H14*E14*K8</f>
        <v>1.7170675830469646</v>
      </c>
      <c r="V14" s="164" t="s">
        <v>831</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860</v>
      </c>
      <c r="P15" s="166" t="s">
        <v>61</v>
      </c>
      <c r="Q15" s="163">
        <f>21/((F8/1000)*H15)</f>
        <v>8.9092528955071906</v>
      </c>
      <c r="R15" s="166" t="s">
        <v>4</v>
      </c>
      <c r="S15" s="166"/>
      <c r="T15" s="166"/>
      <c r="U15" s="166"/>
      <c r="V15" s="170"/>
      <c r="W15" s="3"/>
      <c r="X15" s="3"/>
      <c r="Y15" s="3"/>
      <c r="Z15" s="3"/>
    </row>
    <row r="16" spans="1:26" ht="36" customHeight="1" thickBot="1">
      <c r="A16" s="145">
        <v>4</v>
      </c>
      <c r="B16" s="146" t="s">
        <v>1021</v>
      </c>
      <c r="C16" s="146"/>
      <c r="D16" s="146"/>
      <c r="E16" s="690" t="s">
        <v>1022</v>
      </c>
      <c r="F16" s="958"/>
      <c r="G16" s="690" t="s">
        <v>1023</v>
      </c>
      <c r="H16" s="967"/>
      <c r="I16" s="967"/>
      <c r="J16" s="967"/>
      <c r="K16" s="147"/>
      <c r="L16" s="146"/>
      <c r="M16" s="146" t="s">
        <v>59</v>
      </c>
      <c r="N16" s="712">
        <v>15.5</v>
      </c>
      <c r="O16" s="146" t="s">
        <v>860</v>
      </c>
      <c r="P16" s="146" t="s">
        <v>61</v>
      </c>
      <c r="Q16" s="713">
        <v>30</v>
      </c>
      <c r="R16" s="146" t="s">
        <v>4</v>
      </c>
      <c r="S16" s="146" t="s">
        <v>248</v>
      </c>
      <c r="T16" s="146"/>
      <c r="U16" s="748">
        <v>2.97</v>
      </c>
      <c r="V16" s="150" t="s">
        <v>831</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791</v>
      </c>
      <c r="G18" s="101"/>
      <c r="H18" s="101"/>
      <c r="I18" s="101"/>
      <c r="J18" s="101"/>
      <c r="K18" s="101"/>
      <c r="L18" s="101"/>
      <c r="M18" s="101" t="s">
        <v>791</v>
      </c>
      <c r="N18" s="101"/>
      <c r="O18" s="101"/>
      <c r="P18" s="101"/>
      <c r="Q18" s="101"/>
      <c r="R18" s="101"/>
      <c r="S18" s="101"/>
      <c r="T18" s="101"/>
      <c r="U18" s="3"/>
      <c r="V18" s="3"/>
      <c r="W18" s="3"/>
      <c r="X18" s="3"/>
      <c r="Y18" s="3"/>
      <c r="Z18" s="3"/>
    </row>
    <row r="19" spans="1:26">
      <c r="A19" s="31" t="s">
        <v>791</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829</v>
      </c>
      <c r="F22" s="242">
        <f>F8</f>
        <v>436.5</v>
      </c>
      <c r="G22" s="141" t="s">
        <v>830</v>
      </c>
      <c r="H22" s="141"/>
      <c r="I22" s="141"/>
      <c r="J22" s="141" t="s">
        <v>87</v>
      </c>
      <c r="K22" s="243">
        <f>299.8/F22</f>
        <v>0.6868270332187858</v>
      </c>
      <c r="L22" s="182" t="s">
        <v>831</v>
      </c>
      <c r="M22" s="101" t="s">
        <v>791</v>
      </c>
      <c r="N22" s="101"/>
      <c r="O22" s="101"/>
      <c r="P22" s="101"/>
      <c r="Q22" s="101"/>
      <c r="R22" s="101"/>
      <c r="S22" s="101"/>
      <c r="T22" s="101"/>
      <c r="U22" s="101"/>
      <c r="V22" s="101"/>
      <c r="W22" s="3"/>
      <c r="X22" s="3"/>
      <c r="Y22" s="3"/>
      <c r="Z22" s="3"/>
    </row>
    <row r="23" spans="1:26" ht="13" thickBot="1">
      <c r="A23" s="79"/>
      <c r="B23" s="177"/>
      <c r="C23" s="141"/>
      <c r="D23" s="141" t="s">
        <v>791</v>
      </c>
      <c r="E23" s="141" t="s">
        <v>791</v>
      </c>
      <c r="F23" s="200" t="s">
        <v>948</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791</v>
      </c>
      <c r="C24" s="141"/>
      <c r="D24" s="141"/>
      <c r="E24" s="711">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791</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860</v>
      </c>
      <c r="J28" s="98" t="s">
        <v>72</v>
      </c>
      <c r="K28" s="98" t="s">
        <v>61</v>
      </c>
      <c r="L28" s="191">
        <v>180</v>
      </c>
      <c r="M28" s="98" t="s">
        <v>4</v>
      </c>
      <c r="N28" s="98" t="s">
        <v>71</v>
      </c>
      <c r="O28" s="98"/>
      <c r="P28" s="98"/>
      <c r="Q28" s="98"/>
      <c r="R28" s="906"/>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860</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188</v>
      </c>
      <c r="C30" s="98"/>
      <c r="D30" s="721" t="s">
        <v>791</v>
      </c>
      <c r="E30" s="98"/>
      <c r="F30" s="98"/>
      <c r="G30" s="98" t="s">
        <v>59</v>
      </c>
      <c r="H30" s="722">
        <v>6</v>
      </c>
      <c r="I30" s="98" t="s">
        <v>371</v>
      </c>
      <c r="J30" s="98"/>
      <c r="K30" s="98" t="s">
        <v>61</v>
      </c>
      <c r="L30" s="723">
        <v>90</v>
      </c>
      <c r="M30" s="98" t="s">
        <v>4</v>
      </c>
      <c r="N30" s="98" t="s">
        <v>189</v>
      </c>
      <c r="O30" s="98"/>
      <c r="P30" s="98"/>
      <c r="Q30" s="98"/>
      <c r="R30" s="98"/>
      <c r="S30" s="98"/>
      <c r="T30" s="98"/>
      <c r="U30" s="98"/>
      <c r="V30" s="99"/>
      <c r="W30" s="3"/>
      <c r="X30" s="3"/>
      <c r="Y30" s="3"/>
      <c r="Z30" s="3"/>
    </row>
    <row r="31" spans="1:26" ht="36" customHeight="1" thickBot="1">
      <c r="A31" s="140">
        <v>6</v>
      </c>
      <c r="B31" s="141" t="s">
        <v>92</v>
      </c>
      <c r="C31" s="141"/>
      <c r="D31" s="724"/>
      <c r="E31" s="141"/>
      <c r="F31" s="141"/>
      <c r="G31" s="141" t="s">
        <v>59</v>
      </c>
      <c r="H31" s="726">
        <f>20.4+20*LOG10(T31)+20*LOG10(F8/1000)+10*LOG10(V31)</f>
        <v>25.251187052233579</v>
      </c>
      <c r="I31" s="141" t="s">
        <v>371</v>
      </c>
      <c r="J31" s="141"/>
      <c r="K31" s="141" t="s">
        <v>61</v>
      </c>
      <c r="L31" s="726">
        <f>21/((F8/1000)*T31)</f>
        <v>8.9092528955071906</v>
      </c>
      <c r="M31" s="141" t="s">
        <v>4</v>
      </c>
      <c r="N31" s="141" t="s">
        <v>190</v>
      </c>
      <c r="O31" s="141"/>
      <c r="P31" s="141"/>
      <c r="Q31" s="141"/>
      <c r="R31" s="141"/>
      <c r="S31" s="745" t="s">
        <v>723</v>
      </c>
      <c r="T31" s="742">
        <v>5.4</v>
      </c>
      <c r="U31" s="746" t="s">
        <v>724</v>
      </c>
      <c r="V31" s="743">
        <v>0.55000000000000004</v>
      </c>
      <c r="W31" s="3"/>
      <c r="X31" s="3"/>
      <c r="Y31" s="3"/>
      <c r="Z31" s="3"/>
    </row>
    <row r="32" spans="1:26" ht="36" customHeight="1" thickBot="1">
      <c r="A32" s="198">
        <v>7</v>
      </c>
      <c r="B32" s="196" t="s">
        <v>97</v>
      </c>
      <c r="C32" s="196"/>
      <c r="D32" s="289"/>
      <c r="E32" s="196"/>
      <c r="F32" s="196"/>
      <c r="G32" s="196" t="s">
        <v>59</v>
      </c>
      <c r="H32" s="713">
        <v>1</v>
      </c>
      <c r="I32" s="196" t="s">
        <v>36</v>
      </c>
      <c r="J32" s="196"/>
      <c r="K32" s="196" t="s">
        <v>61</v>
      </c>
      <c r="L32" s="690">
        <v>120</v>
      </c>
      <c r="M32" s="98" t="s">
        <v>4</v>
      </c>
      <c r="N32" s="196" t="s">
        <v>191</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394"/>
      <c r="W34" s="3"/>
      <c r="X34" s="3"/>
      <c r="Y34" s="3"/>
      <c r="Z34" s="3"/>
    </row>
    <row r="35" spans="1:26">
      <c r="A35" s="3"/>
      <c r="B35" s="3"/>
      <c r="C35" s="3"/>
      <c r="D35" s="3"/>
      <c r="E35" s="3"/>
      <c r="F35" s="3"/>
      <c r="G35" s="3"/>
      <c r="H35" s="3"/>
      <c r="I35" s="3"/>
      <c r="J35" s="3"/>
      <c r="K35" s="3" t="s">
        <v>791</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791</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791</v>
      </c>
      <c r="G37" s="3"/>
      <c r="H37" s="3"/>
      <c r="I37" s="3"/>
      <c r="J37" s="3"/>
      <c r="K37" s="3"/>
      <c r="L37" s="3"/>
      <c r="M37" s="3"/>
      <c r="N37" s="3"/>
      <c r="O37" s="3"/>
      <c r="P37" s="3"/>
      <c r="Q37" s="3"/>
      <c r="R37" s="3"/>
      <c r="S37" s="3"/>
      <c r="T37" s="3"/>
      <c r="U37" s="3"/>
      <c r="V37" s="3"/>
      <c r="W37" s="3"/>
      <c r="X37" s="3"/>
      <c r="Y37" s="3"/>
      <c r="Z37" s="3"/>
    </row>
    <row r="38" spans="1:26" ht="13.5" thickBot="1">
      <c r="A38" s="31"/>
      <c r="B38" s="187" t="s">
        <v>841</v>
      </c>
      <c r="C38" s="194"/>
      <c r="D38" s="180"/>
      <c r="E38" s="180"/>
      <c r="F38" s="180"/>
      <c r="G38" s="180"/>
      <c r="H38" s="180"/>
      <c r="I38" s="180"/>
      <c r="J38" s="180"/>
      <c r="K38" s="180"/>
      <c r="L38" s="181"/>
      <c r="M38" s="101"/>
      <c r="N38" s="101" t="s">
        <v>791</v>
      </c>
      <c r="O38" s="101"/>
      <c r="P38" s="101"/>
      <c r="Q38" s="101"/>
      <c r="R38" s="101"/>
      <c r="S38" s="101"/>
      <c r="T38" s="101"/>
      <c r="U38" s="3"/>
      <c r="V38" s="3"/>
      <c r="W38" s="3"/>
      <c r="X38" s="3"/>
      <c r="Y38" s="3"/>
      <c r="Z38" s="3"/>
    </row>
    <row r="39" spans="1:26">
      <c r="A39" s="31"/>
      <c r="B39" s="177"/>
      <c r="C39" s="141"/>
      <c r="D39" s="141" t="s">
        <v>14</v>
      </c>
      <c r="E39" s="141" t="s">
        <v>829</v>
      </c>
      <c r="F39" s="242">
        <f>Frequency!M16</f>
        <v>436.5</v>
      </c>
      <c r="G39" s="141" t="s">
        <v>830</v>
      </c>
      <c r="H39" s="141"/>
      <c r="I39" s="141"/>
      <c r="J39" s="141" t="s">
        <v>87</v>
      </c>
      <c r="K39" s="243">
        <f>299.8/F39</f>
        <v>0.6868270332187858</v>
      </c>
      <c r="L39" s="182" t="s">
        <v>831</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791</v>
      </c>
      <c r="C41" s="141"/>
      <c r="D41" s="141"/>
      <c r="E41" s="711">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791</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860</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860</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21" t="s">
        <v>136</v>
      </c>
      <c r="E47" s="98"/>
      <c r="F47" s="98"/>
      <c r="G47" s="98" t="s">
        <v>59</v>
      </c>
      <c r="H47" s="740">
        <v>6</v>
      </c>
      <c r="I47" s="98" t="s">
        <v>371</v>
      </c>
      <c r="J47" s="98"/>
      <c r="K47" s="98" t="s">
        <v>61</v>
      </c>
      <c r="L47" s="741">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24"/>
      <c r="E48" s="141"/>
      <c r="F48" s="141"/>
      <c r="G48" s="141" t="s">
        <v>59</v>
      </c>
      <c r="H48" s="726">
        <f>20.4+20*LOG10(T48)+20*LOG10(F39/1000)+10*LOG10(V48)</f>
        <v>16.62391176905383</v>
      </c>
      <c r="I48" s="141" t="s">
        <v>371</v>
      </c>
      <c r="J48" s="141"/>
      <c r="K48" s="141" t="s">
        <v>61</v>
      </c>
      <c r="L48" s="726">
        <f>21/((F39/1000)*T48)</f>
        <v>24.054982817869416</v>
      </c>
      <c r="M48" s="141" t="s">
        <v>4</v>
      </c>
      <c r="N48" s="141" t="s">
        <v>190</v>
      </c>
      <c r="O48" s="141"/>
      <c r="P48" s="141"/>
      <c r="Q48" s="141"/>
      <c r="R48" s="141"/>
      <c r="S48" s="744" t="s">
        <v>723</v>
      </c>
      <c r="T48" s="742">
        <v>2</v>
      </c>
      <c r="U48" s="746" t="s">
        <v>724</v>
      </c>
      <c r="V48" s="743">
        <v>0.55000000000000004</v>
      </c>
      <c r="W48" s="3"/>
      <c r="X48" s="3"/>
      <c r="Y48" s="3"/>
      <c r="Z48" s="3"/>
    </row>
    <row r="49" spans="1:26" ht="36" customHeight="1" thickBot="1">
      <c r="A49" s="198">
        <v>7</v>
      </c>
      <c r="B49" s="196" t="s">
        <v>97</v>
      </c>
      <c r="C49" s="196"/>
      <c r="D49" s="289"/>
      <c r="E49" s="196"/>
      <c r="F49" s="196"/>
      <c r="G49" s="196" t="s">
        <v>59</v>
      </c>
      <c r="H49" s="713">
        <v>1</v>
      </c>
      <c r="I49" s="196" t="s">
        <v>36</v>
      </c>
      <c r="J49" s="196"/>
      <c r="K49" s="196" t="s">
        <v>61</v>
      </c>
      <c r="L49" s="690">
        <v>120</v>
      </c>
      <c r="M49" s="196" t="s">
        <v>4</v>
      </c>
      <c r="N49" s="196" t="s">
        <v>191</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791</v>
      </c>
      <c r="C55" s="212"/>
      <c r="D55" s="327" t="s">
        <v>14</v>
      </c>
      <c r="E55" s="213" t="s">
        <v>829</v>
      </c>
      <c r="F55" s="244">
        <f>F39</f>
        <v>436.5</v>
      </c>
      <c r="G55" s="141" t="s">
        <v>830</v>
      </c>
      <c r="H55" s="141"/>
      <c r="I55" s="141"/>
      <c r="J55" s="141" t="s">
        <v>87</v>
      </c>
      <c r="K55" s="245">
        <f>299.8/F55</f>
        <v>0.6868270332187858</v>
      </c>
      <c r="L55" s="182" t="s">
        <v>831</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791</v>
      </c>
      <c r="C58" s="141"/>
      <c r="D58" s="141"/>
      <c r="E58" s="711">
        <v>4</v>
      </c>
      <c r="F58" s="710"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87"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860</v>
      </c>
      <c r="P60" s="151" t="s">
        <v>61</v>
      </c>
      <c r="Q60" s="154">
        <f>SQRT(40000/(10^(N60/10)))</f>
        <v>39.676193136730106</v>
      </c>
      <c r="R60" s="151" t="s">
        <v>4</v>
      </c>
      <c r="S60" s="151" t="s">
        <v>89</v>
      </c>
      <c r="T60" s="151"/>
      <c r="U60" s="155">
        <f>K55*E60</f>
        <v>1.3736540664375716</v>
      </c>
      <c r="V60" s="156" t="s">
        <v>831</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860</v>
      </c>
      <c r="P61" s="158" t="s">
        <v>61</v>
      </c>
      <c r="Q61" s="163">
        <f>115/(K61*((E61*H61)^0.5))</f>
        <v>72.73238618387272</v>
      </c>
      <c r="R61" s="158" t="s">
        <v>4</v>
      </c>
      <c r="S61" s="377" t="s">
        <v>89</v>
      </c>
      <c r="T61" s="377"/>
      <c r="U61" s="376">
        <f>H61*E61*K55</f>
        <v>1.7170675830469646</v>
      </c>
      <c r="V61" s="164" t="s">
        <v>831</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860</v>
      </c>
      <c r="P62" s="166" t="s">
        <v>61</v>
      </c>
      <c r="Q62" s="163">
        <f>21/((F55/1000)*H62)</f>
        <v>24.054982817869416</v>
      </c>
      <c r="R62" s="166" t="s">
        <v>4</v>
      </c>
      <c r="S62" s="166"/>
      <c r="T62" s="166"/>
      <c r="U62" s="166"/>
      <c r="V62" s="170"/>
      <c r="W62" s="3"/>
      <c r="X62" s="3"/>
      <c r="Y62" s="3"/>
      <c r="Z62" s="3"/>
    </row>
    <row r="63" spans="1:26" ht="36" customHeight="1" thickBot="1">
      <c r="A63" s="145">
        <v>4</v>
      </c>
      <c r="B63" s="146" t="s">
        <v>1021</v>
      </c>
      <c r="C63" s="146"/>
      <c r="D63" s="146"/>
      <c r="E63" s="690" t="s">
        <v>1022</v>
      </c>
      <c r="F63" s="958"/>
      <c r="G63" s="690" t="s">
        <v>1023</v>
      </c>
      <c r="H63" s="967"/>
      <c r="I63" s="967"/>
      <c r="J63" s="967"/>
      <c r="K63" s="147"/>
      <c r="L63" s="146"/>
      <c r="M63" s="146" t="s">
        <v>59</v>
      </c>
      <c r="N63" s="148">
        <v>15.5</v>
      </c>
      <c r="O63" s="146" t="s">
        <v>860</v>
      </c>
      <c r="P63" s="146" t="s">
        <v>61</v>
      </c>
      <c r="Q63" s="149">
        <v>30</v>
      </c>
      <c r="R63" s="146" t="s">
        <v>4</v>
      </c>
      <c r="S63" s="747" t="s">
        <v>538</v>
      </c>
      <c r="T63" s="146"/>
      <c r="U63" s="748">
        <v>2.97</v>
      </c>
      <c r="V63" s="150" t="s">
        <v>831</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791</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668</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252</v>
      </c>
      <c r="B1" s="127"/>
      <c r="C1" s="127"/>
      <c r="D1" s="127"/>
      <c r="E1" s="127"/>
      <c r="F1" s="127"/>
      <c r="G1" s="676" t="str">
        <f>'Title Page'!F3</f>
        <v>OreSat - CS0</v>
      </c>
      <c r="H1" s="127"/>
      <c r="I1" s="127"/>
      <c r="J1" s="127"/>
      <c r="K1" s="675" t="str">
        <f>'Title Page'!F23</f>
        <v>2019 May 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46" t="s">
        <v>140</v>
      </c>
      <c r="C3" s="246" t="s">
        <v>834</v>
      </c>
      <c r="D3" s="234"/>
      <c r="E3" s="234"/>
      <c r="F3" s="234"/>
      <c r="G3" s="246" t="s">
        <v>835</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264</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395" t="s">
        <v>262</v>
      </c>
      <c r="D25" s="234"/>
      <c r="E25" s="234"/>
      <c r="F25" s="234"/>
      <c r="G25" s="395" t="s">
        <v>263</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682</v>
      </c>
      <c r="B26" s="127"/>
      <c r="C26" s="127"/>
      <c r="D26" s="127"/>
      <c r="E26" s="127"/>
      <c r="F26" s="127"/>
      <c r="G26" s="127"/>
      <c r="H26" s="127"/>
      <c r="I26" s="292"/>
      <c r="J26" s="127"/>
      <c r="K26" s="127"/>
      <c r="L26" s="127"/>
      <c r="M26" s="127"/>
      <c r="N26" s="127"/>
      <c r="O26" s="127"/>
      <c r="P26" s="127"/>
      <c r="Q26" s="127"/>
      <c r="R26" s="127"/>
      <c r="S26" s="127"/>
      <c r="T26" s="127"/>
      <c r="U26" s="127"/>
      <c r="V26" s="127"/>
      <c r="W26" s="127"/>
      <c r="X26" s="401" t="s">
        <v>272</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791</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22"/>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22"/>
      <c r="B30" s="346"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791</v>
      </c>
      <c r="H32" s="180"/>
      <c r="I32" s="180"/>
      <c r="J32" s="180" t="s">
        <v>791</v>
      </c>
      <c r="K32" s="180"/>
      <c r="L32" s="181"/>
      <c r="M32" s="3"/>
      <c r="N32" s="3"/>
      <c r="O32" s="3"/>
      <c r="P32" s="3"/>
      <c r="Q32" s="3"/>
      <c r="R32" s="392"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791</v>
      </c>
      <c r="C33" s="212"/>
      <c r="D33" s="214" t="s">
        <v>104</v>
      </c>
      <c r="E33" s="213" t="s">
        <v>829</v>
      </c>
      <c r="F33" s="244">
        <f>'Antenna Gain'!F8</f>
        <v>436.5</v>
      </c>
      <c r="G33" s="141" t="s">
        <v>830</v>
      </c>
      <c r="H33" s="141"/>
      <c r="I33" s="141"/>
      <c r="J33" s="141" t="s">
        <v>87</v>
      </c>
      <c r="K33" s="245">
        <f>'Antenna Gain'!K8</f>
        <v>0.6868270332187858</v>
      </c>
      <c r="L33" s="182" t="s">
        <v>831</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260</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791</v>
      </c>
      <c r="C36" s="141"/>
      <c r="D36" s="141"/>
      <c r="E36" s="280">
        <f>'Antenna Gain'!E11</f>
        <v>4</v>
      </c>
      <c r="F36" s="184" t="str">
        <f>'Antenna Gain'!F11</f>
        <v>Crossed Yagi</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860</v>
      </c>
      <c r="I38" s="266" t="s">
        <v>61</v>
      </c>
      <c r="J38" s="274">
        <f>'Antenna Gain'!Q13</f>
        <v>30.621749233640596</v>
      </c>
      <c r="K38" s="151" t="s">
        <v>4</v>
      </c>
      <c r="L38" s="156"/>
      <c r="M38" s="3"/>
      <c r="N38" s="3"/>
      <c r="O38" s="3"/>
      <c r="P38" s="3"/>
      <c r="Q38" s="3"/>
      <c r="R38" s="393">
        <f>2*(F43*(79.76/INDEX(J38:J41,E36,1)))</f>
        <v>26.58666666666667</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860</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25.251187052233579</v>
      </c>
      <c r="H40" s="166" t="s">
        <v>860</v>
      </c>
      <c r="I40" s="268" t="s">
        <v>61</v>
      </c>
      <c r="J40" s="275">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15.5</v>
      </c>
      <c r="H41" s="141" t="s">
        <v>860</v>
      </c>
      <c r="I41" s="182" t="s">
        <v>61</v>
      </c>
      <c r="J41" s="284">
        <f>'Antenna Gain'!Q16</f>
        <v>30</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791</v>
      </c>
      <c r="C43" s="297" t="s">
        <v>134</v>
      </c>
      <c r="D43" s="298"/>
      <c r="E43" s="298"/>
      <c r="F43" s="287">
        <v>5</v>
      </c>
      <c r="G43" s="288" t="s">
        <v>135</v>
      </c>
      <c r="H43" s="297" t="s">
        <v>133</v>
      </c>
      <c r="I43" s="298"/>
      <c r="J43" s="298"/>
      <c r="K43" s="286">
        <f>-10*LOG10(3282.81*((SIN(RADIANS(R38))^2/(R38^2))))</f>
        <v>0.31396976431536944</v>
      </c>
      <c r="L43" s="185" t="s">
        <v>833</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791</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791</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829</v>
      </c>
      <c r="F50" s="242">
        <f>'Antenna Gain'!F22</f>
        <v>436.5</v>
      </c>
      <c r="G50" s="141" t="s">
        <v>830</v>
      </c>
      <c r="H50" s="141"/>
      <c r="I50" s="141"/>
      <c r="J50" s="141" t="s">
        <v>87</v>
      </c>
      <c r="K50" s="243">
        <f>'Antenna Gain'!K22</f>
        <v>0.6868270332187858</v>
      </c>
      <c r="L50" s="182" t="s">
        <v>831</v>
      </c>
      <c r="M50" s="3"/>
      <c r="N50" s="3"/>
      <c r="O50" s="3"/>
      <c r="P50" s="3"/>
      <c r="Q50" s="3"/>
      <c r="R50" s="389"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791</v>
      </c>
      <c r="E51" s="141" t="s">
        <v>791</v>
      </c>
      <c r="F51" s="200" t="s">
        <v>260</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791</v>
      </c>
      <c r="C52" s="141"/>
      <c r="D52" s="141"/>
      <c r="E52" s="318">
        <f>'Antenna Gain'!E24</f>
        <v>7</v>
      </c>
      <c r="F52" s="316" t="str">
        <f>'Antenna Gain'!F24</f>
        <v>Canted Turnstyle</v>
      </c>
      <c r="G52" s="185"/>
      <c r="H52" s="141"/>
      <c r="I52" s="141"/>
      <c r="J52" s="141" t="s">
        <v>60</v>
      </c>
      <c r="K52" s="281" t="str">
        <f>'Antenna Gain'!K24</f>
        <v>RHCP</v>
      </c>
      <c r="L52" s="182"/>
      <c r="M52" s="3"/>
      <c r="N52" s="3"/>
      <c r="O52" s="399" t="s">
        <v>270</v>
      </c>
      <c r="P52" s="3"/>
      <c r="Q52" s="3"/>
      <c r="R52" s="389"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791</v>
      </c>
      <c r="G53" s="141"/>
      <c r="H53" s="141"/>
      <c r="I53" s="141"/>
      <c r="J53" s="141"/>
      <c r="K53" s="141"/>
      <c r="L53" s="182"/>
      <c r="M53" s="3"/>
      <c r="N53" s="3"/>
      <c r="O53" s="400" t="s">
        <v>271</v>
      </c>
      <c r="P53" s="3"/>
      <c r="Q53" s="3"/>
      <c r="R53" s="236" t="s">
        <v>791</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8" t="s">
        <v>265</v>
      </c>
      <c r="P54" s="601" t="s">
        <v>640</v>
      </c>
      <c r="Q54" s="602"/>
      <c r="R54" s="323">
        <f>IF(G63&lt;100,-10*LOG10(COS(RADIANS(90-G63))),"No Signal")</f>
        <v>4.6594831535448265</v>
      </c>
      <c r="S54" s="324" t="s">
        <v>833</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7" t="s">
        <v>266</v>
      </c>
      <c r="P55" s="601" t="s">
        <v>641</v>
      </c>
      <c r="Q55" s="602"/>
      <c r="R55" s="319">
        <f>IF(G63&lt;90.001,-10*LOG10(COS(RADIANS($G$63))),-10*LOG(-COS(RADIANS($G$63))))</f>
        <v>0.27014183557063515</v>
      </c>
      <c r="S55" s="182" t="s">
        <v>833</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860</v>
      </c>
      <c r="J56" s="98" t="s">
        <v>61</v>
      </c>
      <c r="K56" s="98">
        <f>'Antenna Gain'!L28</f>
        <v>180</v>
      </c>
      <c r="L56" s="99" t="s">
        <v>4</v>
      </c>
      <c r="M56" s="123"/>
      <c r="N56" s="124"/>
      <c r="O56" s="396" t="s">
        <v>269</v>
      </c>
      <c r="P56" s="601" t="s">
        <v>642</v>
      </c>
      <c r="Q56" s="602"/>
      <c r="R56" s="732">
        <f>IF(K52=K36,0.00075*(G63)^2, 0.00075*(180-G63)^2)</f>
        <v>0.3</v>
      </c>
      <c r="S56" s="324" t="s">
        <v>833</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860</v>
      </c>
      <c r="J57" s="141" t="s">
        <v>61</v>
      </c>
      <c r="K57" s="141">
        <f>'Antenna Gain'!L29</f>
        <v>150</v>
      </c>
      <c r="L57" s="143" t="s">
        <v>4</v>
      </c>
      <c r="M57" s="123"/>
      <c r="N57" s="124"/>
      <c r="O57" s="397" t="s">
        <v>267</v>
      </c>
      <c r="P57" s="601" t="s">
        <v>643</v>
      </c>
      <c r="Q57" s="602"/>
      <c r="R57" s="319">
        <f>-1.5*(-(4-10*LOG10(1.256*(1+COS(RADIANS(G63))))))</f>
        <v>0.19916170492455665</v>
      </c>
      <c r="S57" s="182" t="s">
        <v>833</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27" t="s">
        <v>188</v>
      </c>
      <c r="D58" s="98"/>
      <c r="E58" s="728" t="s">
        <v>791</v>
      </c>
      <c r="F58" s="98"/>
      <c r="G58" s="98" t="s">
        <v>59</v>
      </c>
      <c r="H58" s="729">
        <f>'Antenna Gain'!H30</f>
        <v>6</v>
      </c>
      <c r="I58" s="98" t="s">
        <v>192</v>
      </c>
      <c r="J58" s="98" t="s">
        <v>61</v>
      </c>
      <c r="K58" s="727">
        <f>'Antenna Gain'!L30</f>
        <v>90</v>
      </c>
      <c r="L58" s="99" t="s">
        <v>4</v>
      </c>
      <c r="M58" s="118"/>
      <c r="N58" s="119"/>
      <c r="O58" s="396" t="s">
        <v>268</v>
      </c>
      <c r="P58" s="601" t="s">
        <v>945</v>
      </c>
      <c r="Q58" s="602"/>
      <c r="R58" s="730">
        <f>-10*LOG10(3282.81*((SIN(RADIANS(G63*1.7724))^2)/((G63*1.7724)^2)))</f>
        <v>0.56135879700097513</v>
      </c>
      <c r="S58" s="731" t="s">
        <v>833</v>
      </c>
      <c r="T58" s="3"/>
      <c r="U58" s="3"/>
      <c r="V58" s="3"/>
      <c r="W58" s="3"/>
      <c r="X58" s="3" t="s">
        <v>791</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25" t="s">
        <v>92</v>
      </c>
      <c r="D59" s="141"/>
      <c r="E59" s="734" t="s">
        <v>943</v>
      </c>
      <c r="F59" s="141"/>
      <c r="G59" s="141" t="s">
        <v>59</v>
      </c>
      <c r="H59" s="284">
        <f>'Antenna Gain'!H31</f>
        <v>25.251187052233579</v>
      </c>
      <c r="I59" s="141" t="s">
        <v>192</v>
      </c>
      <c r="J59" s="141" t="s">
        <v>61</v>
      </c>
      <c r="K59" s="366">
        <f>'Antenna Gain'!L31</f>
        <v>8.9092528955071906</v>
      </c>
      <c r="L59" s="143" t="s">
        <v>4</v>
      </c>
      <c r="M59" s="123"/>
      <c r="N59" s="123"/>
      <c r="O59" s="738" t="s">
        <v>942</v>
      </c>
      <c r="P59" s="739" t="s">
        <v>946</v>
      </c>
      <c r="Q59" s="602"/>
      <c r="R59" s="366">
        <f>-10*LOG10(3282.1*((SIN(RADIANS(U59))^2/(U59^2))))</f>
        <v>45.50575599564646</v>
      </c>
      <c r="S59" s="733" t="s">
        <v>833</v>
      </c>
      <c r="T59" s="3"/>
      <c r="U59" s="736">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35" t="s">
        <v>944</v>
      </c>
      <c r="F60" s="196"/>
      <c r="G60" s="196" t="s">
        <v>59</v>
      </c>
      <c r="H60" s="304">
        <f>'Antenna Gain'!H32</f>
        <v>1</v>
      </c>
      <c r="I60" s="196" t="s">
        <v>36</v>
      </c>
      <c r="J60" s="196" t="s">
        <v>61</v>
      </c>
      <c r="K60" s="305">
        <f>'Antenna Gain'!L32</f>
        <v>120</v>
      </c>
      <c r="L60" s="197" t="s">
        <v>4</v>
      </c>
      <c r="M60" s="123"/>
      <c r="N60" s="123"/>
      <c r="O60" s="737" t="s">
        <v>193</v>
      </c>
      <c r="P60" s="739" t="s">
        <v>947</v>
      </c>
      <c r="Q60" s="602"/>
      <c r="R60" s="369">
        <v>0</v>
      </c>
      <c r="S60" s="288" t="s">
        <v>833</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476</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833</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791</v>
      </c>
      <c r="N64" s="3" t="s">
        <v>791</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0" t="s">
        <v>101</v>
      </c>
      <c r="D67" s="37"/>
      <c r="E67" s="37"/>
      <c r="F67" s="37"/>
      <c r="G67" s="37"/>
      <c r="H67" s="37"/>
      <c r="I67" s="37"/>
      <c r="J67" s="390"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254</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829</v>
      </c>
      <c r="F72" s="242">
        <f>'Antenna Gain'!F39</f>
        <v>436.5</v>
      </c>
      <c r="G72" s="141" t="s">
        <v>830</v>
      </c>
      <c r="H72" s="141"/>
      <c r="I72" s="141"/>
      <c r="J72" s="141" t="s">
        <v>87</v>
      </c>
      <c r="K72" s="243">
        <f>'Antenna Gain'!K39</f>
        <v>0.6868270332187858</v>
      </c>
      <c r="L72" s="182" t="s">
        <v>831</v>
      </c>
      <c r="M72" s="3"/>
      <c r="N72" s="3"/>
      <c r="O72" s="3"/>
      <c r="P72" s="3"/>
      <c r="Q72" s="3"/>
      <c r="R72" s="389"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791</v>
      </c>
      <c r="E73" s="141" t="s">
        <v>791</v>
      </c>
      <c r="F73" s="200" t="s">
        <v>260</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791</v>
      </c>
      <c r="C74" s="141"/>
      <c r="D74" s="141"/>
      <c r="E74" s="318">
        <f>'Antenna Gain'!E41</f>
        <v>7</v>
      </c>
      <c r="F74" s="316" t="str">
        <f>'Antenna Gain'!F41</f>
        <v>Canted Turnstyle</v>
      </c>
      <c r="G74" s="185"/>
      <c r="H74" s="141"/>
      <c r="I74" s="141"/>
      <c r="J74" s="141" t="s">
        <v>60</v>
      </c>
      <c r="K74" s="281" t="str">
        <f>'Antenna Gain'!K41</f>
        <v>RHCP</v>
      </c>
      <c r="L74" s="182"/>
      <c r="M74" s="3"/>
      <c r="N74" s="3"/>
      <c r="O74" s="399" t="s">
        <v>270</v>
      </c>
      <c r="P74" s="3"/>
      <c r="Q74" s="3"/>
      <c r="R74" s="389"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791</v>
      </c>
      <c r="G75" s="141"/>
      <c r="H75" s="141"/>
      <c r="I75" s="141"/>
      <c r="J75" s="141"/>
      <c r="K75" s="141"/>
      <c r="L75" s="182"/>
      <c r="M75" s="3"/>
      <c r="N75" s="3"/>
      <c r="O75" s="400" t="s">
        <v>271</v>
      </c>
      <c r="P75" s="3"/>
      <c r="Q75" s="3"/>
      <c r="R75" s="236" t="s">
        <v>791</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8" t="s">
        <v>277</v>
      </c>
      <c r="P76" s="601" t="s">
        <v>640</v>
      </c>
      <c r="Q76" s="602"/>
      <c r="R76" s="323">
        <f>IF(G85&lt;100,-10*LOG10(COS(RADIANS(90-G85))),"No Signal")</f>
        <v>4.6594831535448265</v>
      </c>
      <c r="S76" s="324" t="s">
        <v>833</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7" t="s">
        <v>276</v>
      </c>
      <c r="P77" s="601" t="s">
        <v>641</v>
      </c>
      <c r="Q77" s="602"/>
      <c r="R77" s="319">
        <f>IF(G85&lt;90.001,-10*LOG10(COS(RADIANS(G85))),-10*LOG(-COS(RADIANS(G85))))</f>
        <v>0.27014183557063515</v>
      </c>
      <c r="S77" s="182" t="s">
        <v>833</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860</v>
      </c>
      <c r="J78" s="98" t="s">
        <v>61</v>
      </c>
      <c r="K78" s="98">
        <f>'Antenna Gain'!L45</f>
        <v>180</v>
      </c>
      <c r="L78" s="99" t="s">
        <v>4</v>
      </c>
      <c r="M78" s="123"/>
      <c r="N78" s="124"/>
      <c r="O78" s="396" t="s">
        <v>273</v>
      </c>
      <c r="P78" s="601" t="s">
        <v>642</v>
      </c>
      <c r="Q78" s="602"/>
      <c r="R78" s="402">
        <f>IF(K74=K95, 0.00075*(G85)^2, 0.00075*(180-G85)^2)</f>
        <v>0.3</v>
      </c>
      <c r="S78" s="204" t="s">
        <v>833</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860</v>
      </c>
      <c r="J79" s="141" t="s">
        <v>61</v>
      </c>
      <c r="K79" s="141">
        <f>'Antenna Gain'!L46</f>
        <v>150</v>
      </c>
      <c r="L79" s="143" t="s">
        <v>4</v>
      </c>
      <c r="M79" s="123"/>
      <c r="N79" s="124"/>
      <c r="O79" s="397" t="s">
        <v>275</v>
      </c>
      <c r="P79" s="601" t="s">
        <v>643</v>
      </c>
      <c r="Q79" s="602"/>
      <c r="R79" s="320">
        <f>1.5*((4-10*LOG10(1.256*(1+COS(RADIANS(G85))))))</f>
        <v>0.19916170492455665</v>
      </c>
      <c r="S79" s="238" t="s">
        <v>833</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28" t="s">
        <v>136</v>
      </c>
      <c r="F80" s="98"/>
      <c r="G80" s="98" t="s">
        <v>59</v>
      </c>
      <c r="H80" s="729">
        <f>'Antenna Gain'!H47</f>
        <v>6</v>
      </c>
      <c r="I80" s="98" t="s">
        <v>36</v>
      </c>
      <c r="J80" s="98" t="s">
        <v>61</v>
      </c>
      <c r="K80" s="727">
        <f>'Antenna Gain'!L47</f>
        <v>90</v>
      </c>
      <c r="L80" s="99" t="s">
        <v>4</v>
      </c>
      <c r="M80" s="118"/>
      <c r="N80" s="119"/>
      <c r="O80" s="396" t="s">
        <v>274</v>
      </c>
      <c r="P80" s="601" t="str">
        <f>E80</f>
        <v>Patch (Example)</v>
      </c>
      <c r="Q80" s="602"/>
      <c r="R80" s="369">
        <f>-10*LOG10(3282.81*((SIN(RADIANS(G85*1.7724))^2)/((G85*1.7724)^2)))</f>
        <v>0.56135879700097513</v>
      </c>
      <c r="S80" s="288" t="s">
        <v>833</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25" t="s">
        <v>92</v>
      </c>
      <c r="D81" s="141"/>
      <c r="E81" s="734" t="s">
        <v>943</v>
      </c>
      <c r="F81" s="141"/>
      <c r="G81" s="141" t="s">
        <v>59</v>
      </c>
      <c r="H81" s="284">
        <f>'Antenna Gain'!H48</f>
        <v>16.62391176905383</v>
      </c>
      <c r="I81" s="141" t="s">
        <v>192</v>
      </c>
      <c r="J81" s="141" t="s">
        <v>61</v>
      </c>
      <c r="K81" s="366">
        <f>'Antenna Gain'!L48</f>
        <v>24.054982817869416</v>
      </c>
      <c r="L81" s="143" t="s">
        <v>4</v>
      </c>
      <c r="M81" s="123"/>
      <c r="N81" s="123"/>
      <c r="O81" s="738" t="s">
        <v>942</v>
      </c>
      <c r="P81" s="739" t="s">
        <v>946</v>
      </c>
      <c r="Q81" s="602"/>
      <c r="R81" s="366">
        <f>-10*LOG10(3282.1*((SIN(RADIANS(U81))^2/(U81^2))))</f>
        <v>9.9566940971909901</v>
      </c>
      <c r="S81" s="733" t="s">
        <v>833</v>
      </c>
      <c r="T81" s="3"/>
      <c r="U81" s="736">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791</v>
      </c>
      <c r="B82" s="198">
        <v>7</v>
      </c>
      <c r="C82" s="305" t="s">
        <v>99</v>
      </c>
      <c r="D82" s="196"/>
      <c r="E82" s="735" t="s">
        <v>944</v>
      </c>
      <c r="F82" s="196"/>
      <c r="G82" s="196" t="s">
        <v>59</v>
      </c>
      <c r="H82" s="304">
        <f>'Antenna Gain'!H49</f>
        <v>1</v>
      </c>
      <c r="I82" s="196" t="s">
        <v>36</v>
      </c>
      <c r="J82" s="196" t="s">
        <v>61</v>
      </c>
      <c r="K82" s="305">
        <f>'Antenna Gain'!L49</f>
        <v>120</v>
      </c>
      <c r="L82" s="197" t="s">
        <v>4</v>
      </c>
      <c r="M82" s="123"/>
      <c r="N82" s="123"/>
      <c r="O82" s="737" t="s">
        <v>193</v>
      </c>
      <c r="P82" s="739" t="s">
        <v>947</v>
      </c>
      <c r="Q82" s="602"/>
      <c r="R82" s="369">
        <v>0</v>
      </c>
      <c r="S82" s="288" t="s">
        <v>833</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476</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258</v>
      </c>
      <c r="D85" s="297"/>
      <c r="E85" s="297"/>
      <c r="F85" s="297"/>
      <c r="G85" s="322">
        <v>20</v>
      </c>
      <c r="H85" s="288" t="s">
        <v>4</v>
      </c>
      <c r="I85" s="311" t="s">
        <v>139</v>
      </c>
      <c r="J85" s="311"/>
      <c r="K85" s="286">
        <f>INDEX(R76:R82,E74, 1)</f>
        <v>0</v>
      </c>
      <c r="L85" s="306" t="s">
        <v>833</v>
      </c>
      <c r="M85" s="3"/>
      <c r="N85" s="3"/>
      <c r="O85" s="3"/>
      <c r="P85" s="3" t="s">
        <v>791</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791</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791</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791</v>
      </c>
      <c r="H91" s="180"/>
      <c r="I91" s="180"/>
      <c r="J91" s="180" t="s">
        <v>791</v>
      </c>
      <c r="K91" s="180"/>
      <c r="L91" s="181"/>
      <c r="M91" s="3"/>
      <c r="N91" s="3"/>
      <c r="O91" s="3"/>
      <c r="P91" s="3"/>
      <c r="Q91" s="3"/>
      <c r="R91" s="391"/>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791</v>
      </c>
      <c r="C92" s="212"/>
      <c r="D92" s="214" t="s">
        <v>14</v>
      </c>
      <c r="E92" s="213" t="s">
        <v>829</v>
      </c>
      <c r="F92" s="244">
        <f>'Antenna Gain'!F55</f>
        <v>436.5</v>
      </c>
      <c r="G92" s="141" t="s">
        <v>830</v>
      </c>
      <c r="H92" s="141"/>
      <c r="I92" s="141"/>
      <c r="J92" s="141" t="s">
        <v>87</v>
      </c>
      <c r="K92" s="245">
        <f>'Antenna Gain'!K55</f>
        <v>0.6868270332187858</v>
      </c>
      <c r="L92" s="182" t="s">
        <v>831</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261</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791</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860</v>
      </c>
      <c r="I97" s="266" t="s">
        <v>61</v>
      </c>
      <c r="J97" s="274">
        <f>'Antenna Gain'!Q60</f>
        <v>39.676193136730106</v>
      </c>
      <c r="K97" s="151" t="s">
        <v>4</v>
      </c>
      <c r="L97" s="156"/>
      <c r="M97" s="3"/>
      <c r="N97" s="3"/>
      <c r="O97" s="3"/>
      <c r="P97" s="3"/>
      <c r="Q97" s="3"/>
      <c r="R97" s="393">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860</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860</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860</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791</v>
      </c>
      <c r="C102" s="297" t="s">
        <v>259</v>
      </c>
      <c r="D102" s="298"/>
      <c r="E102" s="298"/>
      <c r="F102" s="287">
        <v>5</v>
      </c>
      <c r="G102" s="288" t="s">
        <v>135</v>
      </c>
      <c r="H102" s="297" t="s">
        <v>133</v>
      </c>
      <c r="I102" s="298"/>
      <c r="J102" s="298"/>
      <c r="K102" s="286">
        <f>-10*LOG10(3282.81*((SIN(RADIANS(R97))^2/(R97^2))))</f>
        <v>0.31396976431536944</v>
      </c>
      <c r="L102" s="185" t="s">
        <v>833</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251</v>
      </c>
      <c r="B1" s="125"/>
      <c r="C1" s="126"/>
      <c r="D1" s="126"/>
      <c r="E1" s="126"/>
      <c r="F1" s="126"/>
      <c r="G1" s="126"/>
      <c r="H1" s="127"/>
      <c r="I1" s="127"/>
      <c r="J1" s="676" t="str">
        <f>'Title Page'!F3</f>
        <v>OreSat - CS0</v>
      </c>
      <c r="K1" s="127"/>
      <c r="L1" s="127"/>
      <c r="M1" s="127"/>
      <c r="N1" s="675" t="str">
        <f>'Title Page'!F23</f>
        <v>2019 May 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961</v>
      </c>
      <c r="F3" s="3"/>
      <c r="G3" s="3"/>
      <c r="H3" s="3"/>
      <c r="I3" s="3"/>
      <c r="J3" s="3"/>
      <c r="K3" s="3"/>
      <c r="L3" s="528" t="s">
        <v>791</v>
      </c>
      <c r="M3" s="3"/>
      <c r="N3" s="3"/>
      <c r="O3" s="3"/>
      <c r="P3" s="3"/>
      <c r="Q3" s="3"/>
      <c r="R3" s="3"/>
      <c r="S3" s="3"/>
      <c r="T3" s="3"/>
      <c r="U3" s="3"/>
      <c r="V3" s="3"/>
    </row>
    <row r="4" spans="1:22">
      <c r="A4" s="3"/>
      <c r="B4" s="94" t="s">
        <v>963</v>
      </c>
      <c r="C4" s="3"/>
      <c r="D4" s="3"/>
      <c r="E4" s="3"/>
      <c r="F4" s="3"/>
      <c r="G4" s="3"/>
      <c r="H4" s="3"/>
      <c r="I4" s="3"/>
      <c r="J4" s="3"/>
      <c r="K4" s="3"/>
      <c r="L4" s="3"/>
      <c r="M4" s="3"/>
      <c r="N4" s="3"/>
      <c r="O4" s="3"/>
      <c r="P4" s="3"/>
      <c r="Q4" s="3"/>
      <c r="R4" s="3"/>
      <c r="S4" s="3"/>
      <c r="T4" s="3"/>
      <c r="U4" s="3"/>
      <c r="V4" s="3"/>
    </row>
    <row r="5" spans="1:22" ht="13">
      <c r="A5" s="3"/>
      <c r="B5" s="3"/>
      <c r="C5" s="3"/>
      <c r="D5" s="3"/>
      <c r="E5" s="121" t="s">
        <v>962</v>
      </c>
      <c r="F5" s="3"/>
      <c r="G5" s="3"/>
      <c r="H5" s="3"/>
      <c r="I5" s="3"/>
      <c r="J5" s="3"/>
      <c r="K5" s="4" t="s">
        <v>960</v>
      </c>
      <c r="L5" s="3"/>
      <c r="M5" s="3"/>
      <c r="N5" s="4" t="s">
        <v>950</v>
      </c>
      <c r="O5" s="3"/>
      <c r="P5" s="3"/>
      <c r="Q5" s="4" t="s">
        <v>951</v>
      </c>
      <c r="R5" s="3"/>
      <c r="S5" s="3"/>
      <c r="T5" s="3"/>
      <c r="U5" s="3"/>
      <c r="V5" s="3"/>
    </row>
    <row r="6" spans="1:22">
      <c r="A6" s="3"/>
      <c r="B6" s="346" t="s">
        <v>140</v>
      </c>
      <c r="C6" s="3"/>
      <c r="D6" s="3"/>
      <c r="E6" s="3"/>
      <c r="F6" s="3"/>
      <c r="G6" s="3"/>
      <c r="H6" s="3"/>
      <c r="I6" s="3"/>
      <c r="J6" s="3"/>
      <c r="K6" s="3" t="s">
        <v>978</v>
      </c>
      <c r="L6" s="3"/>
      <c r="M6" s="3"/>
      <c r="N6" s="3" t="s">
        <v>978</v>
      </c>
      <c r="O6" s="3"/>
      <c r="P6" s="3"/>
      <c r="Q6" s="3" t="s">
        <v>979</v>
      </c>
      <c r="R6" s="3"/>
      <c r="S6" s="3"/>
      <c r="T6" s="3"/>
      <c r="U6" s="3"/>
      <c r="V6" s="3"/>
    </row>
    <row r="7" spans="1:22">
      <c r="A7" s="3"/>
      <c r="B7" s="3"/>
      <c r="C7" s="3"/>
      <c r="D7" s="3"/>
      <c r="E7" s="3"/>
      <c r="F7" s="3"/>
      <c r="G7" s="3"/>
      <c r="H7" s="3"/>
      <c r="I7" s="3"/>
      <c r="J7" s="3"/>
      <c r="K7" s="3"/>
      <c r="L7" s="3"/>
      <c r="M7" s="3"/>
      <c r="N7" s="3" t="s">
        <v>791</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958</v>
      </c>
      <c r="R10" s="3"/>
      <c r="S10" s="3"/>
      <c r="T10" s="3"/>
      <c r="U10" s="3"/>
      <c r="V10" s="3"/>
    </row>
    <row r="11" spans="1:22" ht="13">
      <c r="A11" s="3"/>
      <c r="B11" s="3"/>
      <c r="C11" s="3"/>
      <c r="D11" s="3"/>
      <c r="E11" s="3"/>
      <c r="F11" s="3"/>
      <c r="G11" s="3"/>
      <c r="H11" s="4" t="s">
        <v>952</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959</v>
      </c>
      <c r="R20" s="3"/>
      <c r="S20" s="3"/>
      <c r="T20" s="3"/>
      <c r="U20" s="3"/>
      <c r="V20" s="3"/>
    </row>
    <row r="21" spans="1:22" ht="13">
      <c r="A21" s="3"/>
      <c r="B21" s="3"/>
      <c r="C21" s="3"/>
      <c r="D21" s="3"/>
      <c r="E21" s="3"/>
      <c r="F21" s="3"/>
      <c r="G21" s="3"/>
      <c r="H21" s="4" t="s">
        <v>957</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6"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78" t="s">
        <v>791</v>
      </c>
      <c r="C30" s="95" t="s">
        <v>977</v>
      </c>
      <c r="D30" s="95"/>
      <c r="E30" s="80"/>
      <c r="F30" s="80"/>
      <c r="G30" s="96"/>
      <c r="H30" s="3"/>
      <c r="I30" s="3"/>
      <c r="J30" s="3"/>
      <c r="K30" s="85"/>
      <c r="L30" s="86"/>
      <c r="M30" s="86"/>
      <c r="N30" s="87"/>
      <c r="O30" s="3"/>
      <c r="P30" s="3"/>
      <c r="Q30" s="3"/>
      <c r="R30" s="3"/>
      <c r="S30" s="3"/>
      <c r="T30" s="3"/>
      <c r="U30" s="3"/>
      <c r="V30" s="3"/>
    </row>
    <row r="31" spans="1:22" ht="13">
      <c r="A31" s="3"/>
      <c r="B31" s="97" t="s">
        <v>976</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936</v>
      </c>
      <c r="H32" s="3"/>
      <c r="I32" s="3"/>
      <c r="J32" s="3"/>
      <c r="K32" s="85"/>
      <c r="L32" s="86"/>
      <c r="M32" s="86"/>
      <c r="N32" s="87"/>
      <c r="O32" s="3"/>
      <c r="P32" s="82" t="s">
        <v>980</v>
      </c>
      <c r="Q32" s="83"/>
      <c r="R32" s="83"/>
      <c r="S32" s="84"/>
      <c r="T32" s="3"/>
      <c r="U32" s="3"/>
      <c r="V32" s="3"/>
    </row>
    <row r="33" spans="1:22">
      <c r="A33" s="3"/>
      <c r="B33" s="100"/>
      <c r="C33" s="101"/>
      <c r="D33" s="101"/>
      <c r="E33" s="102" t="s">
        <v>973</v>
      </c>
      <c r="F33" s="104">
        <f>10^(F32/20)</f>
        <v>1.1220184543019636</v>
      </c>
      <c r="G33" s="103" t="s">
        <v>937</v>
      </c>
      <c r="H33" s="3"/>
      <c r="I33" s="3"/>
      <c r="J33" s="3"/>
      <c r="K33" s="85"/>
      <c r="L33" s="86"/>
      <c r="M33" s="86"/>
      <c r="N33" s="87"/>
      <c r="O33" s="3"/>
      <c r="P33" s="85" t="s">
        <v>981</v>
      </c>
      <c r="Q33" s="86"/>
      <c r="R33" s="86"/>
      <c r="S33" s="87"/>
      <c r="T33" s="3"/>
      <c r="U33" s="3"/>
      <c r="V33" s="3"/>
    </row>
    <row r="34" spans="1:22">
      <c r="A34" s="3"/>
      <c r="B34" s="100"/>
      <c r="C34" s="101"/>
      <c r="D34" s="101"/>
      <c r="E34" s="102" t="s">
        <v>974</v>
      </c>
      <c r="F34" s="128">
        <v>1</v>
      </c>
      <c r="G34" s="103" t="s">
        <v>936</v>
      </c>
      <c r="H34" s="3"/>
      <c r="I34" s="3"/>
      <c r="J34" s="3"/>
      <c r="K34" s="85"/>
      <c r="L34" s="86"/>
      <c r="M34" s="86"/>
      <c r="N34" s="87"/>
      <c r="O34" s="3"/>
      <c r="P34" s="88" t="s">
        <v>0</v>
      </c>
      <c r="Q34" s="89"/>
      <c r="R34" s="89"/>
      <c r="S34" s="90"/>
      <c r="T34" s="3"/>
      <c r="U34" s="3"/>
      <c r="V34" s="3"/>
    </row>
    <row r="35" spans="1:22">
      <c r="A35" s="3"/>
      <c r="B35" s="100"/>
      <c r="C35" s="101"/>
      <c r="D35" s="101"/>
      <c r="E35" s="102" t="s">
        <v>975</v>
      </c>
      <c r="F35" s="104">
        <f>10^(F34/20)</f>
        <v>1.1220184543019636</v>
      </c>
      <c r="G35" s="103" t="s">
        <v>937</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938</v>
      </c>
      <c r="H36" s="3"/>
      <c r="I36" s="3"/>
      <c r="J36" s="3"/>
      <c r="K36" s="85"/>
      <c r="L36" s="86"/>
      <c r="M36" s="86"/>
      <c r="N36" s="87"/>
      <c r="O36" s="3"/>
      <c r="P36" s="3" t="s">
        <v>791</v>
      </c>
      <c r="Q36" s="3"/>
      <c r="R36" s="3"/>
      <c r="S36" s="3"/>
      <c r="T36" s="3"/>
      <c r="U36" s="3"/>
      <c r="V36" s="3"/>
    </row>
    <row r="37" spans="1:22">
      <c r="A37" s="3"/>
      <c r="B37" s="100"/>
      <c r="C37" s="101"/>
      <c r="D37" s="101"/>
      <c r="E37" s="102" t="s">
        <v>196</v>
      </c>
      <c r="F37" s="81">
        <f>RADIANS(F36)</f>
        <v>1.5707963267948966</v>
      </c>
      <c r="G37" s="103" t="s">
        <v>939</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940</v>
      </c>
      <c r="F39" s="106">
        <f>0.5*(1+((1-F33^2)*(1-F35^2)*COS(2*F37)+4*F33*F35)/((1+F33^2)*(1+F35^2)))</f>
        <v>0.98686150654198734</v>
      </c>
      <c r="G39" s="103" t="s">
        <v>937</v>
      </c>
      <c r="H39" s="3"/>
      <c r="I39" s="3"/>
      <c r="J39" s="3"/>
      <c r="K39" s="3"/>
      <c r="L39" s="3"/>
      <c r="M39" s="3"/>
      <c r="N39" s="3"/>
      <c r="O39" s="3"/>
      <c r="P39" s="3"/>
      <c r="Q39" s="3"/>
      <c r="R39" s="3"/>
      <c r="S39" s="3"/>
      <c r="T39" s="3"/>
      <c r="U39" s="3"/>
      <c r="V39" s="3"/>
    </row>
    <row r="40" spans="1:22" ht="13.5" thickBot="1">
      <c r="A40" s="3"/>
      <c r="B40" s="100"/>
      <c r="C40" s="101"/>
      <c r="D40" s="101"/>
      <c r="E40" s="102" t="s">
        <v>941</v>
      </c>
      <c r="F40" s="92">
        <f>-10*LOG(F39)</f>
        <v>5.7437907597720189E-2</v>
      </c>
      <c r="G40" s="103" t="s">
        <v>936</v>
      </c>
      <c r="H40" s="3"/>
      <c r="I40" s="3"/>
      <c r="J40" s="3"/>
      <c r="K40" s="3"/>
      <c r="L40" s="4" t="s">
        <v>971</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982</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964</v>
      </c>
      <c r="D43" s="101"/>
      <c r="E43" s="102"/>
      <c r="F43" s="899">
        <f>1-F39</f>
        <v>1.3138493458012657E-2</v>
      </c>
      <c r="G43" s="103"/>
      <c r="H43" s="3"/>
      <c r="I43" s="3"/>
      <c r="J43" s="3"/>
      <c r="K43" s="3"/>
      <c r="L43" s="3"/>
      <c r="M43" s="3"/>
      <c r="N43" s="3"/>
      <c r="O43" s="3"/>
      <c r="P43" s="3"/>
      <c r="Q43" s="3"/>
      <c r="R43" s="3"/>
      <c r="S43" s="3"/>
      <c r="T43" s="3"/>
      <c r="U43" s="3"/>
      <c r="V43" s="3"/>
    </row>
    <row r="44" spans="1:22">
      <c r="A44" s="3"/>
      <c r="B44" s="100"/>
      <c r="C44" s="101" t="s">
        <v>964</v>
      </c>
      <c r="D44" s="101"/>
      <c r="E44" s="101"/>
      <c r="F44" s="900">
        <f>10*LOG10(1-F39)</f>
        <v>-18.814544308479665</v>
      </c>
      <c r="G44" s="103" t="s">
        <v>936</v>
      </c>
      <c r="H44" s="907"/>
      <c r="I44" s="3"/>
      <c r="J44" s="3"/>
      <c r="K44" s="3"/>
      <c r="L44" s="3"/>
      <c r="M44" s="3"/>
      <c r="N44" s="3"/>
      <c r="O44" s="3"/>
      <c r="P44" s="3"/>
      <c r="Q44" s="3"/>
      <c r="R44" s="3"/>
      <c r="S44" s="3"/>
      <c r="T44" s="3"/>
      <c r="U44" s="3"/>
      <c r="V44" s="3"/>
    </row>
    <row r="45" spans="1:22" ht="13" thickBot="1">
      <c r="A45" s="3"/>
      <c r="B45" s="100"/>
      <c r="C45" s="101" t="s">
        <v>965</v>
      </c>
      <c r="D45" s="101"/>
      <c r="E45" s="101"/>
      <c r="F45" s="898">
        <f>F40-F44</f>
        <v>18.871982216077384</v>
      </c>
      <c r="G45" s="103" t="s">
        <v>936</v>
      </c>
      <c r="H45" s="3"/>
      <c r="I45" s="3" t="s">
        <v>791</v>
      </c>
      <c r="J45" s="3"/>
      <c r="K45" s="3"/>
      <c r="L45" s="3"/>
      <c r="M45" s="3"/>
      <c r="N45" s="3"/>
      <c r="O45" s="3"/>
      <c r="P45" s="3"/>
      <c r="Q45" s="3"/>
      <c r="R45" s="3"/>
      <c r="S45" s="3"/>
      <c r="T45" s="3"/>
      <c r="U45" s="3"/>
      <c r="V45" s="3"/>
    </row>
    <row r="46" spans="1:22" ht="13" thickBot="1">
      <c r="A46" s="3"/>
      <c r="B46" s="111"/>
      <c r="C46" s="112"/>
      <c r="D46" s="112"/>
      <c r="E46" s="112"/>
      <c r="F46" s="112" t="s">
        <v>791</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972</v>
      </c>
      <c r="J47" s="3" t="s">
        <v>791</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78" t="s">
        <v>791</v>
      </c>
      <c r="C50" s="95" t="s">
        <v>977</v>
      </c>
      <c r="D50" s="95"/>
      <c r="E50" s="80"/>
      <c r="F50" s="80"/>
      <c r="G50" s="96"/>
      <c r="H50" s="3"/>
      <c r="I50" s="3"/>
      <c r="J50" s="3"/>
      <c r="K50" s="3"/>
      <c r="L50" s="3"/>
      <c r="M50" s="3"/>
      <c r="N50" s="3"/>
      <c r="O50" s="3"/>
      <c r="P50" s="3"/>
      <c r="Q50" s="3"/>
      <c r="R50" s="3"/>
      <c r="S50" s="3"/>
      <c r="T50" s="3"/>
      <c r="U50" s="3"/>
      <c r="V50" s="3"/>
    </row>
    <row r="51" spans="1:22" ht="13">
      <c r="A51" s="3"/>
      <c r="B51" s="97" t="s">
        <v>976</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936</v>
      </c>
      <c r="H52" s="3"/>
      <c r="I52" s="3"/>
      <c r="J52" s="3"/>
      <c r="K52" s="3"/>
      <c r="L52" s="3"/>
      <c r="M52" s="3"/>
      <c r="N52" s="3"/>
      <c r="O52" s="3"/>
      <c r="P52" s="3"/>
      <c r="Q52" s="3"/>
      <c r="R52" s="3"/>
      <c r="S52" s="3"/>
      <c r="T52" s="3"/>
      <c r="U52" s="3"/>
      <c r="V52" s="3"/>
    </row>
    <row r="53" spans="1:22">
      <c r="A53" s="3"/>
      <c r="B53" s="100"/>
      <c r="C53" s="101"/>
      <c r="D53" s="101"/>
      <c r="E53" s="102" t="s">
        <v>973</v>
      </c>
      <c r="F53" s="104">
        <f>10^(F52/20)</f>
        <v>1.1220184543019636</v>
      </c>
      <c r="G53" s="103" t="s">
        <v>937</v>
      </c>
      <c r="H53" s="3"/>
      <c r="I53" s="3"/>
      <c r="J53" s="3"/>
      <c r="K53" s="3"/>
      <c r="L53" s="3"/>
      <c r="M53" s="3"/>
      <c r="N53" s="3"/>
      <c r="O53" s="3"/>
      <c r="P53" s="3"/>
      <c r="Q53" s="3"/>
      <c r="R53" s="3"/>
      <c r="S53" s="3"/>
      <c r="T53" s="3"/>
      <c r="U53" s="3"/>
      <c r="V53" s="3"/>
    </row>
    <row r="54" spans="1:22">
      <c r="A54" s="3"/>
      <c r="B54" s="100"/>
      <c r="C54" s="101"/>
      <c r="D54" s="101"/>
      <c r="E54" s="102" t="s">
        <v>974</v>
      </c>
      <c r="F54" s="128">
        <v>1</v>
      </c>
      <c r="G54" s="103" t="s">
        <v>936</v>
      </c>
      <c r="H54" s="3"/>
      <c r="I54" s="3"/>
      <c r="J54" s="3"/>
      <c r="K54" s="3"/>
      <c r="L54" s="3"/>
      <c r="M54" s="3" t="s">
        <v>791</v>
      </c>
      <c r="N54" s="3"/>
      <c r="O54" s="3"/>
      <c r="P54" s="3"/>
      <c r="Q54" s="3"/>
      <c r="R54" s="3"/>
      <c r="S54" s="3"/>
      <c r="T54" s="3"/>
      <c r="U54" s="3"/>
      <c r="V54" s="3"/>
    </row>
    <row r="55" spans="1:22">
      <c r="A55" s="3"/>
      <c r="B55" s="100"/>
      <c r="C55" s="101"/>
      <c r="D55" s="101"/>
      <c r="E55" s="102" t="s">
        <v>975</v>
      </c>
      <c r="F55" s="104">
        <f>10^(F54/20)</f>
        <v>1.1220184543019636</v>
      </c>
      <c r="G55" s="103" t="s">
        <v>937</v>
      </c>
      <c r="H55" s="3"/>
      <c r="I55" s="3"/>
      <c r="J55" s="3"/>
      <c r="K55" s="3"/>
      <c r="L55" s="3"/>
      <c r="M55" s="3"/>
      <c r="N55" s="3"/>
      <c r="O55" s="3"/>
      <c r="P55" s="3"/>
      <c r="Q55" s="3"/>
      <c r="R55" s="3"/>
      <c r="S55" s="3"/>
      <c r="T55" s="3"/>
      <c r="U55" s="3"/>
      <c r="V55" s="3"/>
    </row>
    <row r="56" spans="1:22">
      <c r="A56" s="3"/>
      <c r="B56" s="100"/>
      <c r="C56" s="101"/>
      <c r="D56" s="101"/>
      <c r="E56" s="102" t="s">
        <v>196</v>
      </c>
      <c r="F56" s="129">
        <v>90</v>
      </c>
      <c r="G56" s="103" t="s">
        <v>938</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939</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940</v>
      </c>
      <c r="F59" s="106">
        <f>0.5*(1+((1-F53^2)*(1-F55^2)*COS(2*F57)+4*F53*F55)/((1+F53^2)*(1+F55^2)))</f>
        <v>0.98686150654198734</v>
      </c>
      <c r="G59" s="103" t="s">
        <v>937</v>
      </c>
      <c r="H59" s="3"/>
      <c r="I59" s="3"/>
      <c r="J59" s="3"/>
      <c r="K59" s="3"/>
      <c r="L59" s="3"/>
      <c r="M59" s="3"/>
      <c r="N59" s="3"/>
      <c r="O59" s="3"/>
      <c r="P59" s="3"/>
      <c r="Q59" s="3"/>
      <c r="R59" s="3"/>
      <c r="S59" s="3"/>
      <c r="T59" s="3"/>
      <c r="U59" s="3"/>
      <c r="V59" s="3"/>
    </row>
    <row r="60" spans="1:22" ht="13" thickBot="1">
      <c r="A60" s="3"/>
      <c r="B60" s="100"/>
      <c r="C60" s="101"/>
      <c r="D60" s="101"/>
      <c r="E60" s="102" t="s">
        <v>941</v>
      </c>
      <c r="F60" s="92">
        <f>-10*LOG(F59)</f>
        <v>5.7437907597720189E-2</v>
      </c>
      <c r="G60" s="103" t="s">
        <v>936</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982</v>
      </c>
      <c r="C62" s="98"/>
      <c r="D62" s="98"/>
      <c r="E62" s="108"/>
      <c r="F62" s="109"/>
      <c r="G62" s="110"/>
      <c r="H62" s="3"/>
      <c r="I62" s="3"/>
      <c r="J62" s="3"/>
      <c r="K62" s="3"/>
      <c r="L62" s="3"/>
      <c r="M62" s="3"/>
      <c r="N62" s="3"/>
      <c r="O62" s="3"/>
      <c r="P62" s="3"/>
      <c r="Q62" s="3"/>
      <c r="R62" s="3"/>
      <c r="S62" s="3"/>
      <c r="T62" s="3"/>
      <c r="U62" s="3"/>
      <c r="V62" s="3"/>
    </row>
    <row r="63" spans="1:22">
      <c r="A63" s="3"/>
      <c r="B63" s="100"/>
      <c r="C63" s="101" t="s">
        <v>964</v>
      </c>
      <c r="D63" s="101"/>
      <c r="E63" s="102"/>
      <c r="F63" s="949">
        <f>1-F59</f>
        <v>1.3138493458012657E-2</v>
      </c>
      <c r="G63" s="103"/>
      <c r="H63" s="3"/>
      <c r="I63" s="3"/>
      <c r="J63" s="3"/>
      <c r="K63" s="3"/>
      <c r="L63" s="3"/>
      <c r="M63" s="3"/>
      <c r="N63" s="3"/>
      <c r="O63" s="3"/>
      <c r="P63" s="3"/>
      <c r="Q63" s="3"/>
      <c r="R63" s="3"/>
      <c r="S63" s="3"/>
      <c r="T63" s="3"/>
      <c r="U63" s="3"/>
      <c r="V63" s="3"/>
    </row>
    <row r="64" spans="1:22" ht="13" thickBot="1">
      <c r="A64" s="3"/>
      <c r="B64" s="100"/>
      <c r="C64" s="101" t="s">
        <v>964</v>
      </c>
      <c r="D64" s="101"/>
      <c r="E64" s="101"/>
      <c r="F64" s="950">
        <f>10*LOG10(1-F59)</f>
        <v>-18.814544308479665</v>
      </c>
      <c r="G64" s="103" t="s">
        <v>936</v>
      </c>
      <c r="H64" s="3"/>
      <c r="I64" s="3"/>
      <c r="J64" s="3"/>
      <c r="K64" s="3"/>
      <c r="L64" s="3"/>
      <c r="M64" s="3"/>
      <c r="N64" s="3"/>
      <c r="O64" s="3"/>
      <c r="P64" s="3"/>
      <c r="Q64" s="3"/>
      <c r="R64" s="3"/>
      <c r="S64" s="3"/>
      <c r="T64" s="3"/>
      <c r="U64" s="3"/>
      <c r="V64" s="3"/>
    </row>
    <row r="65" spans="1:22" ht="13" thickBot="1">
      <c r="A65" s="3"/>
      <c r="B65" s="100"/>
      <c r="C65" s="101" t="s">
        <v>965</v>
      </c>
      <c r="D65" s="101"/>
      <c r="E65" s="101"/>
      <c r="F65" s="93">
        <f>F60-F64</f>
        <v>18.871982216077384</v>
      </c>
      <c r="G65" s="103" t="s">
        <v>936</v>
      </c>
      <c r="H65" s="3"/>
      <c r="I65" s="3"/>
      <c r="J65" s="3"/>
      <c r="K65" s="3"/>
      <c r="L65" s="3"/>
      <c r="M65" s="3"/>
      <c r="N65" s="3"/>
      <c r="O65" s="3"/>
      <c r="P65" s="3"/>
      <c r="Q65" s="3"/>
      <c r="R65" s="3"/>
      <c r="S65" s="3"/>
      <c r="T65" s="3"/>
      <c r="U65" s="3"/>
      <c r="V65" s="3"/>
    </row>
    <row r="66" spans="1:22" ht="13" thickBot="1">
      <c r="A66" s="3"/>
      <c r="B66" s="111"/>
      <c r="C66" s="112"/>
      <c r="D66" s="112"/>
      <c r="E66" s="112"/>
      <c r="F66" s="112" t="s">
        <v>791</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29"/>
      <c r="C70" s="629"/>
      <c r="D70" s="629"/>
      <c r="E70" s="629"/>
      <c r="F70" s="630" t="s">
        <v>983</v>
      </c>
      <c r="G70" s="631"/>
      <c r="H70" s="631"/>
      <c r="I70" s="631" t="s">
        <v>791</v>
      </c>
      <c r="J70" s="631"/>
      <c r="K70" s="3"/>
      <c r="L70" s="3"/>
      <c r="M70" s="3"/>
      <c r="N70" s="3"/>
      <c r="O70" s="3"/>
      <c r="P70" s="3"/>
      <c r="Q70" s="3"/>
      <c r="R70" s="3"/>
      <c r="S70" s="3"/>
      <c r="T70" s="3"/>
      <c r="U70" s="3"/>
      <c r="V70" s="3"/>
    </row>
    <row r="71" spans="1:22" ht="13">
      <c r="A71" s="3"/>
      <c r="B71" s="23"/>
      <c r="C71" s="23"/>
      <c r="D71" s="47" t="s">
        <v>984</v>
      </c>
      <c r="E71" s="23"/>
      <c r="F71" s="47" t="s">
        <v>985</v>
      </c>
      <c r="G71" s="23"/>
      <c r="H71" s="627" t="s">
        <v>986</v>
      </c>
      <c r="I71" s="23"/>
      <c r="J71" s="628" t="s">
        <v>968</v>
      </c>
      <c r="K71" s="3"/>
      <c r="L71" s="3"/>
      <c r="M71" s="3"/>
      <c r="N71" s="3"/>
      <c r="O71" s="3"/>
      <c r="P71" s="3"/>
      <c r="Q71" s="3"/>
      <c r="R71" s="3"/>
      <c r="S71" s="3"/>
      <c r="T71" s="3"/>
      <c r="U71" s="3"/>
      <c r="V71" s="3"/>
    </row>
    <row r="72" spans="1:22" ht="13">
      <c r="A72" s="3"/>
      <c r="B72" s="23"/>
      <c r="C72" s="23"/>
      <c r="D72" s="628" t="s">
        <v>966</v>
      </c>
      <c r="E72" s="628"/>
      <c r="F72" s="628" t="s">
        <v>967</v>
      </c>
      <c r="G72" s="628"/>
      <c r="H72" s="628" t="s">
        <v>970</v>
      </c>
      <c r="I72" s="23"/>
      <c r="J72" s="628" t="s">
        <v>969</v>
      </c>
      <c r="K72" s="3"/>
      <c r="L72" s="3"/>
      <c r="M72" s="3"/>
      <c r="N72" s="3"/>
      <c r="O72" s="3"/>
      <c r="P72" s="3"/>
      <c r="Q72" s="3"/>
      <c r="R72" s="3"/>
      <c r="S72" s="3"/>
      <c r="T72" s="3"/>
      <c r="U72" s="3"/>
      <c r="V72" s="3"/>
    </row>
    <row r="73" spans="1:22" ht="13">
      <c r="A73" s="3"/>
      <c r="B73" s="23"/>
      <c r="C73" s="23"/>
      <c r="D73" s="628" t="s">
        <v>969</v>
      </c>
      <c r="E73" s="628"/>
      <c r="F73" s="628" t="s">
        <v>969</v>
      </c>
      <c r="G73" s="628"/>
      <c r="H73" s="628"/>
      <c r="I73" s="23"/>
      <c r="J73" s="628"/>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23" t="s">
        <v>992</v>
      </c>
      <c r="C75" s="624"/>
      <c r="D75" s="279">
        <v>0</v>
      </c>
      <c r="E75" s="279"/>
      <c r="F75" s="279">
        <v>0</v>
      </c>
      <c r="G75" s="279"/>
      <c r="H75" s="279">
        <v>90</v>
      </c>
      <c r="I75" s="279"/>
      <c r="J75" s="948">
        <v>0</v>
      </c>
      <c r="K75" s="3"/>
      <c r="L75" s="3"/>
      <c r="M75" s="3"/>
      <c r="N75" s="3"/>
      <c r="O75" s="3"/>
      <c r="P75" s="3"/>
      <c r="Q75" s="3"/>
      <c r="R75" s="3"/>
      <c r="S75" s="3"/>
      <c r="T75" s="3"/>
      <c r="U75" s="3"/>
      <c r="V75" s="3"/>
    </row>
    <row r="76" spans="1:22" ht="13">
      <c r="A76" s="3"/>
      <c r="B76" s="623" t="s">
        <v>991</v>
      </c>
      <c r="C76" s="624"/>
      <c r="D76" s="279">
        <v>0</v>
      </c>
      <c r="E76" s="279"/>
      <c r="F76" s="279">
        <v>1</v>
      </c>
      <c r="G76" s="279"/>
      <c r="H76" s="279">
        <v>90</v>
      </c>
      <c r="I76" s="279"/>
      <c r="J76" s="948">
        <v>-0.01</v>
      </c>
      <c r="K76" s="3"/>
      <c r="L76" s="3"/>
      <c r="M76" s="3"/>
      <c r="N76" s="3"/>
      <c r="O76" s="3"/>
      <c r="P76" s="3"/>
      <c r="Q76" s="3"/>
      <c r="R76" s="3"/>
      <c r="S76" s="3"/>
      <c r="T76" s="3"/>
      <c r="U76" s="3"/>
      <c r="V76" s="3"/>
    </row>
    <row r="77" spans="1:22">
      <c r="A77" s="3"/>
      <c r="B77" s="624"/>
      <c r="C77" s="624"/>
      <c r="D77" s="279">
        <v>0</v>
      </c>
      <c r="E77" s="279"/>
      <c r="F77" s="279">
        <v>2</v>
      </c>
      <c r="G77" s="279"/>
      <c r="H77" s="279">
        <v>90</v>
      </c>
      <c r="I77" s="279"/>
      <c r="J77" s="948">
        <v>-0.06</v>
      </c>
      <c r="K77" s="3"/>
      <c r="L77" s="3"/>
      <c r="M77" s="3"/>
      <c r="N77" s="3"/>
      <c r="O77" s="3"/>
      <c r="P77" s="3"/>
      <c r="Q77" s="3"/>
      <c r="R77" s="3"/>
      <c r="S77" s="3"/>
      <c r="T77" s="3"/>
      <c r="U77" s="3"/>
      <c r="V77" s="3"/>
    </row>
    <row r="78" spans="1:22" ht="13">
      <c r="A78" s="3"/>
      <c r="B78" s="624"/>
      <c r="C78" s="624"/>
      <c r="D78" s="279">
        <v>0</v>
      </c>
      <c r="E78" s="279"/>
      <c r="F78" s="279">
        <v>3</v>
      </c>
      <c r="G78" s="279"/>
      <c r="H78" s="279">
        <v>90</v>
      </c>
      <c r="I78" s="625"/>
      <c r="J78" s="948">
        <v>-0.13</v>
      </c>
      <c r="K78" s="3"/>
      <c r="L78" s="3"/>
      <c r="M78" s="3"/>
      <c r="N78" s="3"/>
      <c r="O78" s="3"/>
      <c r="P78" s="3"/>
      <c r="Q78" s="3"/>
      <c r="R78" s="3"/>
      <c r="S78" s="3"/>
      <c r="T78" s="3"/>
      <c r="U78" s="3"/>
      <c r="V78" s="3"/>
    </row>
    <row r="79" spans="1:22" ht="13">
      <c r="A79" s="3"/>
      <c r="B79" s="624"/>
      <c r="C79" s="624"/>
      <c r="D79" s="279">
        <v>0</v>
      </c>
      <c r="E79" s="279"/>
      <c r="F79" s="279">
        <v>6</v>
      </c>
      <c r="G79" s="279"/>
      <c r="H79" s="279">
        <v>90</v>
      </c>
      <c r="I79" s="625"/>
      <c r="J79" s="948">
        <v>-0.45</v>
      </c>
      <c r="K79" s="3"/>
      <c r="L79" s="3"/>
      <c r="M79" s="3"/>
      <c r="N79" s="3"/>
      <c r="O79" s="3"/>
      <c r="P79" s="3"/>
      <c r="Q79" s="3"/>
      <c r="R79" s="3"/>
      <c r="S79" s="3"/>
      <c r="T79" s="3"/>
      <c r="U79" s="3"/>
      <c r="V79" s="3"/>
    </row>
    <row r="80" spans="1:22">
      <c r="A80" s="3"/>
      <c r="B80" s="624"/>
      <c r="C80" s="624"/>
      <c r="D80" s="279">
        <v>0</v>
      </c>
      <c r="E80" s="279"/>
      <c r="F80" s="279">
        <v>10</v>
      </c>
      <c r="G80" s="279"/>
      <c r="H80" s="279">
        <v>90</v>
      </c>
      <c r="I80" s="279"/>
      <c r="J80" s="948">
        <v>-1.04</v>
      </c>
      <c r="K80" s="3"/>
      <c r="L80" s="3"/>
      <c r="M80" s="3"/>
      <c r="N80" s="3"/>
      <c r="O80" s="3"/>
      <c r="P80" s="3"/>
      <c r="Q80" s="3"/>
      <c r="R80" s="3"/>
      <c r="S80" s="3"/>
      <c r="T80" s="3"/>
      <c r="U80" s="3"/>
      <c r="V80" s="3"/>
    </row>
    <row r="81" spans="1:22">
      <c r="A81" s="3"/>
      <c r="B81" s="624"/>
      <c r="C81" s="624"/>
      <c r="D81" s="279">
        <v>0</v>
      </c>
      <c r="E81" s="279"/>
      <c r="F81" s="279">
        <v>30</v>
      </c>
      <c r="G81" s="279"/>
      <c r="H81" s="279">
        <v>90</v>
      </c>
      <c r="I81" s="279"/>
      <c r="J81" s="948">
        <v>-2.74</v>
      </c>
      <c r="K81" s="3"/>
      <c r="L81" s="114" t="s">
        <v>989</v>
      </c>
      <c r="M81" s="115"/>
      <c r="N81" s="115"/>
      <c r="O81" s="116"/>
      <c r="P81" s="3"/>
      <c r="Q81" s="3"/>
      <c r="R81" s="3"/>
      <c r="S81" s="3"/>
      <c r="T81" s="3"/>
      <c r="U81" s="3"/>
      <c r="V81" s="3"/>
    </row>
    <row r="82" spans="1:22">
      <c r="A82" s="3"/>
      <c r="B82" s="624"/>
      <c r="C82" s="624"/>
      <c r="D82" s="279">
        <v>0</v>
      </c>
      <c r="E82" s="279"/>
      <c r="F82" s="279">
        <v>30</v>
      </c>
      <c r="G82" s="279"/>
      <c r="H82" s="279">
        <v>0</v>
      </c>
      <c r="I82" s="279"/>
      <c r="J82" s="948">
        <v>-2.74</v>
      </c>
      <c r="K82" s="3"/>
      <c r="L82" s="117" t="s">
        <v>988</v>
      </c>
      <c r="M82" s="118"/>
      <c r="N82" s="118"/>
      <c r="O82" s="119"/>
      <c r="P82" s="3"/>
      <c r="Q82" s="3"/>
      <c r="R82" s="3"/>
      <c r="S82" s="3"/>
      <c r="T82" s="3"/>
      <c r="U82" s="3"/>
      <c r="V82" s="3"/>
    </row>
    <row r="83" spans="1:22">
      <c r="A83" s="3"/>
      <c r="B83" s="624"/>
      <c r="C83" s="624"/>
      <c r="D83" s="279"/>
      <c r="E83" s="279"/>
      <c r="F83" s="279"/>
      <c r="G83" s="279"/>
      <c r="H83" s="279"/>
      <c r="I83" s="279"/>
      <c r="J83" s="279"/>
      <c r="K83" s="3"/>
      <c r="L83" s="3"/>
      <c r="M83" s="3"/>
      <c r="N83" s="3"/>
      <c r="O83" s="3"/>
      <c r="P83" s="3"/>
      <c r="Q83" s="3"/>
      <c r="R83" s="3"/>
      <c r="S83" s="3"/>
      <c r="T83" s="3"/>
      <c r="U83" s="3"/>
      <c r="V83" s="3"/>
    </row>
    <row r="84" spans="1:22">
      <c r="A84" s="3"/>
      <c r="B84" s="624"/>
      <c r="C84" s="624"/>
      <c r="D84" s="279"/>
      <c r="E84" s="279"/>
      <c r="F84" s="279"/>
      <c r="G84" s="279"/>
      <c r="H84" s="279"/>
      <c r="I84" s="279" t="s">
        <v>791</v>
      </c>
      <c r="J84" s="279"/>
      <c r="K84" s="3"/>
      <c r="L84" s="3"/>
      <c r="M84" s="3"/>
      <c r="N84" s="3"/>
      <c r="O84" s="3"/>
      <c r="P84" s="3"/>
      <c r="Q84" s="3"/>
      <c r="R84" s="3"/>
      <c r="S84" s="3"/>
      <c r="T84" s="3"/>
      <c r="U84" s="3"/>
      <c r="V84" s="3"/>
    </row>
    <row r="85" spans="1:22" ht="13">
      <c r="A85" s="3"/>
      <c r="B85" s="623" t="s">
        <v>987</v>
      </c>
      <c r="C85" s="624"/>
      <c r="D85" s="279">
        <v>3</v>
      </c>
      <c r="E85" s="279"/>
      <c r="F85" s="279">
        <v>3</v>
      </c>
      <c r="G85" s="279"/>
      <c r="H85" s="279">
        <v>0</v>
      </c>
      <c r="I85" s="279"/>
      <c r="J85" s="948">
        <v>0</v>
      </c>
      <c r="K85" s="3"/>
      <c r="L85" s="3"/>
      <c r="M85" s="3"/>
      <c r="N85" s="3"/>
      <c r="O85" s="3"/>
      <c r="P85" s="3"/>
      <c r="Q85" s="3"/>
      <c r="R85" s="3"/>
      <c r="S85" s="3"/>
      <c r="T85" s="3"/>
      <c r="U85" s="3"/>
      <c r="V85" s="3"/>
    </row>
    <row r="86" spans="1:22">
      <c r="A86" s="3"/>
      <c r="B86" s="624"/>
      <c r="C86" s="624"/>
      <c r="D86" s="279">
        <v>3</v>
      </c>
      <c r="E86" s="279"/>
      <c r="F86" s="279">
        <v>3</v>
      </c>
      <c r="G86" s="279"/>
      <c r="H86" s="279">
        <v>45</v>
      </c>
      <c r="I86" s="279"/>
      <c r="J86" s="948">
        <v>-0.25</v>
      </c>
      <c r="K86" s="3"/>
      <c r="L86" s="122" t="s">
        <v>995</v>
      </c>
      <c r="M86" s="123"/>
      <c r="N86" s="123"/>
      <c r="O86" s="124"/>
      <c r="P86" s="3"/>
      <c r="Q86" s="3"/>
      <c r="R86" s="3"/>
      <c r="S86" s="3"/>
      <c r="T86" s="3"/>
      <c r="U86" s="3"/>
      <c r="V86" s="3"/>
    </row>
    <row r="87" spans="1:22">
      <c r="A87" s="3"/>
      <c r="B87" s="624"/>
      <c r="C87" s="624"/>
      <c r="D87" s="279">
        <v>3</v>
      </c>
      <c r="E87" s="279"/>
      <c r="F87" s="279">
        <v>3</v>
      </c>
      <c r="G87" s="279"/>
      <c r="H87" s="279">
        <v>90</v>
      </c>
      <c r="I87" s="279"/>
      <c r="J87" s="948">
        <v>-0.51</v>
      </c>
      <c r="K87" s="3"/>
      <c r="L87" s="3"/>
      <c r="M87" s="3"/>
      <c r="N87" s="3"/>
      <c r="O87" s="3"/>
      <c r="P87" s="3"/>
      <c r="Q87" s="3"/>
      <c r="R87" s="3"/>
      <c r="S87" s="3"/>
      <c r="T87" s="3"/>
      <c r="U87" s="3"/>
      <c r="V87" s="3"/>
    </row>
    <row r="88" spans="1:22">
      <c r="A88" s="3"/>
      <c r="B88" s="624"/>
      <c r="C88" s="624"/>
      <c r="D88" s="626"/>
      <c r="E88" s="626"/>
      <c r="F88" s="626"/>
      <c r="G88" s="626"/>
      <c r="H88" s="626"/>
      <c r="I88" s="626"/>
      <c r="J88" s="626"/>
      <c r="K88" s="3"/>
      <c r="L88" s="3"/>
      <c r="M88" s="3"/>
      <c r="N88" s="3"/>
      <c r="O88" s="3"/>
      <c r="P88" s="3"/>
      <c r="Q88" s="3"/>
      <c r="R88" s="3"/>
      <c r="S88" s="3"/>
      <c r="T88" s="3"/>
      <c r="U88" s="3"/>
      <c r="V88" s="3"/>
    </row>
    <row r="89" spans="1:22">
      <c r="A89" s="3"/>
      <c r="B89" s="624"/>
      <c r="C89" s="624"/>
      <c r="D89" s="626"/>
      <c r="E89" s="626"/>
      <c r="F89" s="626"/>
      <c r="G89" s="626"/>
      <c r="H89" s="626"/>
      <c r="I89" s="626"/>
      <c r="J89" s="626"/>
      <c r="K89" s="3"/>
      <c r="L89" s="3"/>
      <c r="M89" s="3"/>
      <c r="N89" s="3"/>
      <c r="O89" s="3"/>
      <c r="P89" s="3"/>
      <c r="Q89" s="3"/>
      <c r="R89" s="3"/>
      <c r="S89" s="3"/>
      <c r="T89" s="3"/>
      <c r="U89" s="3"/>
      <c r="V89" s="3"/>
    </row>
    <row r="90" spans="1:22">
      <c r="A90" s="3"/>
      <c r="B90" s="624" t="s">
        <v>990</v>
      </c>
      <c r="C90" s="624"/>
      <c r="D90" s="279">
        <v>30</v>
      </c>
      <c r="E90" s="279"/>
      <c r="F90" s="279">
        <v>30</v>
      </c>
      <c r="G90" s="279"/>
      <c r="H90" s="279">
        <v>0</v>
      </c>
      <c r="I90" s="279"/>
      <c r="J90" s="948">
        <v>0</v>
      </c>
      <c r="K90" s="3"/>
      <c r="L90" s="3"/>
      <c r="M90" s="3"/>
      <c r="N90" s="3"/>
      <c r="O90" s="3"/>
      <c r="P90" s="3"/>
      <c r="Q90" s="3"/>
      <c r="R90" s="3"/>
      <c r="S90" s="3"/>
      <c r="T90" s="3"/>
      <c r="U90" s="3"/>
      <c r="V90" s="3"/>
    </row>
    <row r="91" spans="1:22">
      <c r="A91" s="3"/>
      <c r="B91" s="624"/>
      <c r="C91" s="624"/>
      <c r="D91" s="279">
        <v>30</v>
      </c>
      <c r="E91" s="279"/>
      <c r="F91" s="279">
        <v>30</v>
      </c>
      <c r="G91" s="279"/>
      <c r="H91" s="279">
        <v>30</v>
      </c>
      <c r="I91" s="279"/>
      <c r="J91" s="948">
        <v>-1.24</v>
      </c>
      <c r="K91" s="3"/>
      <c r="L91" s="3"/>
      <c r="M91" s="3"/>
      <c r="N91" s="3"/>
      <c r="O91" s="3"/>
      <c r="P91" s="3"/>
      <c r="Q91" s="3"/>
      <c r="R91" s="3"/>
      <c r="S91" s="3"/>
      <c r="T91" s="3"/>
      <c r="U91" s="3"/>
      <c r="V91" s="3"/>
    </row>
    <row r="92" spans="1:22">
      <c r="A92" s="3"/>
      <c r="B92" s="624"/>
      <c r="C92" s="624"/>
      <c r="D92" s="279">
        <v>30</v>
      </c>
      <c r="E92" s="279"/>
      <c r="F92" s="279">
        <v>30</v>
      </c>
      <c r="G92" s="279"/>
      <c r="H92" s="279">
        <v>45</v>
      </c>
      <c r="I92" s="279"/>
      <c r="J92" s="948">
        <v>-2.99</v>
      </c>
      <c r="K92" s="3"/>
      <c r="L92" s="3"/>
      <c r="M92" s="3"/>
      <c r="N92" s="3"/>
      <c r="O92" s="3"/>
      <c r="P92" s="3"/>
      <c r="Q92" s="3"/>
      <c r="R92" s="3"/>
      <c r="S92" s="3"/>
      <c r="T92" s="3"/>
      <c r="U92" s="3"/>
      <c r="V92" s="3"/>
    </row>
    <row r="93" spans="1:22">
      <c r="A93" s="3"/>
      <c r="B93" s="624"/>
      <c r="C93" s="624"/>
      <c r="D93" s="279">
        <v>30</v>
      </c>
      <c r="E93" s="279"/>
      <c r="F93" s="279">
        <v>30</v>
      </c>
      <c r="G93" s="279"/>
      <c r="H93" s="279">
        <v>60</v>
      </c>
      <c r="I93" s="279"/>
      <c r="J93" s="948">
        <v>-5.97</v>
      </c>
      <c r="K93" s="3"/>
      <c r="L93" s="3"/>
      <c r="M93" s="3"/>
      <c r="N93" s="3"/>
      <c r="O93" s="3"/>
      <c r="P93" s="3"/>
      <c r="Q93" s="3"/>
      <c r="R93" s="3"/>
      <c r="S93" s="3"/>
      <c r="T93" s="3"/>
      <c r="U93" s="3"/>
      <c r="V93" s="3"/>
    </row>
    <row r="94" spans="1:22">
      <c r="A94" s="3"/>
      <c r="B94" s="624"/>
      <c r="C94" s="624"/>
      <c r="D94" s="279">
        <v>30</v>
      </c>
      <c r="E94" s="279"/>
      <c r="F94" s="279">
        <v>30</v>
      </c>
      <c r="G94" s="279"/>
      <c r="H94" s="279">
        <v>90</v>
      </c>
      <c r="I94" s="279"/>
      <c r="J94" s="948">
        <v>-23.99</v>
      </c>
      <c r="K94" s="3"/>
      <c r="L94" s="3"/>
      <c r="M94" s="3"/>
      <c r="N94" s="3"/>
      <c r="O94" s="3"/>
      <c r="P94" s="3"/>
      <c r="Q94" s="3"/>
      <c r="R94" s="3"/>
      <c r="S94" s="3"/>
      <c r="T94" s="3"/>
      <c r="U94" s="3"/>
      <c r="V94" s="3"/>
    </row>
    <row r="95" spans="1:22">
      <c r="A95" s="3"/>
      <c r="B95" s="624"/>
      <c r="C95" s="624"/>
      <c r="D95" s="279"/>
      <c r="E95" s="279"/>
      <c r="F95" s="279"/>
      <c r="G95" s="279"/>
      <c r="H95" s="279"/>
      <c r="I95" s="279"/>
      <c r="J95" s="279"/>
      <c r="K95" s="3"/>
      <c r="L95" s="3"/>
      <c r="M95" s="3"/>
      <c r="N95" s="3"/>
      <c r="O95" s="3"/>
      <c r="P95" s="3"/>
      <c r="Q95" s="3"/>
      <c r="R95" s="3"/>
      <c r="S95" s="3"/>
      <c r="T95" s="3"/>
      <c r="U95" s="3"/>
      <c r="V95" s="3"/>
    </row>
    <row r="96" spans="1:22" ht="13">
      <c r="A96" s="3"/>
      <c r="B96" s="623" t="s">
        <v>993</v>
      </c>
      <c r="C96" s="623"/>
      <c r="D96" s="279">
        <v>2</v>
      </c>
      <c r="E96" s="279"/>
      <c r="F96" s="279">
        <v>30</v>
      </c>
      <c r="G96" s="279"/>
      <c r="H96" s="279">
        <v>0</v>
      </c>
      <c r="I96" s="279"/>
      <c r="J96" s="948">
        <v>-1.91</v>
      </c>
      <c r="K96" s="3"/>
      <c r="L96" s="3" t="s">
        <v>791</v>
      </c>
      <c r="M96" s="3"/>
      <c r="N96" s="3"/>
      <c r="O96" s="3"/>
      <c r="P96" s="3"/>
      <c r="Q96" s="3"/>
      <c r="R96" s="3"/>
      <c r="S96" s="3"/>
      <c r="T96" s="3"/>
      <c r="U96" s="3"/>
      <c r="V96" s="3"/>
    </row>
    <row r="97" spans="1:22" ht="13">
      <c r="A97" s="3"/>
      <c r="B97" s="623" t="s">
        <v>994</v>
      </c>
      <c r="C97" s="623"/>
      <c r="D97" s="279">
        <v>2</v>
      </c>
      <c r="E97" s="279"/>
      <c r="F97" s="279">
        <v>30</v>
      </c>
      <c r="G97" s="279"/>
      <c r="H97" s="279">
        <v>45</v>
      </c>
      <c r="I97" s="279"/>
      <c r="J97" s="948">
        <v>-2.75</v>
      </c>
      <c r="K97" s="3"/>
      <c r="L97" s="122" t="s">
        <v>124</v>
      </c>
      <c r="M97" s="123"/>
      <c r="N97" s="123"/>
      <c r="O97" s="123"/>
      <c r="P97" s="124"/>
      <c r="Q97" s="3"/>
      <c r="R97" s="3"/>
      <c r="S97" s="3"/>
      <c r="T97" s="3"/>
      <c r="U97" s="3"/>
      <c r="V97" s="3"/>
    </row>
    <row r="98" spans="1:22" ht="13">
      <c r="A98" s="3"/>
      <c r="B98" s="623"/>
      <c r="C98" s="623"/>
      <c r="D98" s="279">
        <v>2</v>
      </c>
      <c r="E98" s="279"/>
      <c r="F98" s="279">
        <v>30</v>
      </c>
      <c r="G98" s="279"/>
      <c r="H98" s="279">
        <v>90</v>
      </c>
      <c r="I98" s="279"/>
      <c r="J98" s="948">
        <v>-3.79</v>
      </c>
      <c r="K98" s="3"/>
      <c r="L98" s="3"/>
      <c r="M98" s="3"/>
      <c r="N98" s="3"/>
      <c r="O98" s="3"/>
      <c r="P98" s="3"/>
      <c r="Q98" s="3"/>
      <c r="R98" s="3"/>
      <c r="S98" s="3"/>
      <c r="T98" s="3"/>
      <c r="U98" s="3"/>
      <c r="V98" s="3"/>
    </row>
    <row r="99" spans="1:22">
      <c r="A99" s="3"/>
      <c r="B99" s="91"/>
      <c r="C99" s="91"/>
      <c r="D99" s="428"/>
      <c r="E99" s="428"/>
      <c r="F99" s="428"/>
      <c r="G99" s="428"/>
      <c r="H99" s="428"/>
      <c r="I99" s="428"/>
      <c r="J99" s="428"/>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2019-05-05T22:54:06Z</dcterms:modified>
</cp:coreProperties>
</file>