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D564F243-6059-42F0-A972-C87CE0571215}" xr6:coauthVersionLast="43" xr6:coauthVersionMax="43" xr10:uidLastSave="{00000000-0000-0000-0000-000000000000}"/>
  <bookViews>
    <workbookView xWindow="-110" yWindow="-110" windowWidth="32220" windowHeight="17620" tabRatio="731"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16" l="1"/>
  <c r="G67" i="16"/>
  <c r="G78" i="16"/>
  <c r="O51" i="16"/>
  <c r="O40" i="16"/>
  <c r="O42" i="16"/>
  <c r="O34" i="16"/>
  <c r="O47" i="16"/>
  <c r="G69" i="16"/>
  <c r="F72" i="16"/>
  <c r="G82" i="16"/>
  <c r="G74" i="16"/>
  <c r="I24" i="14"/>
  <c r="I32" i="14"/>
  <c r="I30" i="14"/>
  <c r="G30" i="14"/>
  <c r="N45" i="16" l="1"/>
  <c r="O76" i="16"/>
  <c r="O71" i="16"/>
  <c r="O69" i="16"/>
  <c r="O65" i="16"/>
  <c r="O62" i="16"/>
  <c r="O60" i="16"/>
  <c r="O58" i="16"/>
  <c r="O55" i="16"/>
  <c r="O32" i="16"/>
  <c r="O29" i="16"/>
  <c r="O27" i="16"/>
  <c r="O25" i="16"/>
  <c r="O23" i="16"/>
  <c r="G56" i="16" l="1"/>
  <c r="G61" i="16"/>
  <c r="G87" i="16"/>
  <c r="G91" i="16"/>
  <c r="G89" i="16"/>
  <c r="D109" i="16"/>
  <c r="B63" i="5" l="1"/>
  <c r="B62" i="3"/>
  <c r="AA150" i="15" l="1"/>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Z141" i="15" l="1"/>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AA143" i="15" s="1"/>
  <c r="Y142" i="15"/>
  <c r="Y144" i="15"/>
  <c r="Z143" i="15"/>
  <c r="Y65" i="15"/>
  <c r="Y64" i="15"/>
  <c r="Z64" i="15"/>
  <c r="J48" i="15"/>
  <c r="J49" i="15"/>
  <c r="J47" i="15"/>
  <c r="J53" i="15"/>
  <c r="I36" i="14"/>
  <c r="I78" i="14"/>
  <c r="I71" i="14"/>
  <c r="I72" i="14"/>
  <c r="I70" i="14"/>
  <c r="I28" i="14"/>
  <c r="I29" i="14"/>
  <c r="I27" i="14"/>
  <c r="G58" i="16" l="1"/>
  <c r="AA64" i="15"/>
  <c r="AA65" i="15" s="1"/>
  <c r="W67" i="15"/>
  <c r="Z66" i="15"/>
  <c r="Y66" i="15"/>
  <c r="Z144" i="15"/>
  <c r="AA144" i="15" s="1"/>
  <c r="W145" i="15"/>
  <c r="W146" i="15" s="1"/>
  <c r="W147" i="15" s="1"/>
  <c r="I74" i="14"/>
  <c r="I85" i="14" s="1"/>
  <c r="U49" i="15"/>
  <c r="I43" i="14" l="1"/>
  <c r="G93" i="16"/>
  <c r="AA66" i="15"/>
  <c r="Y67" i="15"/>
  <c r="Z67" i="15"/>
  <c r="AA67" i="15" s="1"/>
  <c r="W68" i="15"/>
  <c r="Y147" i="15"/>
  <c r="Z147" i="15"/>
  <c r="Z146" i="15"/>
  <c r="Y146" i="15"/>
  <c r="Y145" i="15"/>
  <c r="Z145" i="15"/>
  <c r="AA14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4" i="12"/>
  <c r="K95" i="12"/>
  <c r="K82" i="12"/>
  <c r="H82" i="12"/>
  <c r="B10" i="3"/>
  <c r="E52" i="12"/>
  <c r="R54" i="12"/>
  <c r="K63" i="12"/>
  <c r="B49" i="5" s="1"/>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84"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49" i="16"/>
  <c r="O39" i="16"/>
  <c r="O38"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K39" i="9"/>
  <c r="K72" i="12" s="1"/>
  <c r="F72" i="12"/>
  <c r="T131" i="15"/>
  <c r="T122" i="15"/>
  <c r="T120" i="15"/>
  <c r="U52"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19" i="20"/>
  <c r="M18" i="20" s="1"/>
  <c r="B15" i="3"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W69" i="15" l="1"/>
  <c r="Z68" i="15"/>
  <c r="AA68" i="15" s="1"/>
  <c r="Y68" i="15"/>
  <c r="Y152" i="15"/>
  <c r="J146" i="15" s="1"/>
  <c r="AA146" i="15"/>
  <c r="AA147"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B9" i="3"/>
  <c r="B11" i="3" s="1"/>
  <c r="B9" i="5"/>
  <c r="B11" i="5" s="1"/>
  <c r="I60" i="14"/>
  <c r="I45" i="14"/>
  <c r="B22" i="3"/>
  <c r="B48" i="3"/>
  <c r="B8" i="3"/>
  <c r="K71" i="1"/>
  <c r="B22" i="5"/>
  <c r="F36" i="12"/>
  <c r="B16" i="3"/>
  <c r="F104" i="16"/>
  <c r="J55" i="15"/>
  <c r="G51" i="16" s="1"/>
  <c r="Y69" i="15" l="1"/>
  <c r="Z69" i="15"/>
  <c r="AA69" i="15" s="1"/>
  <c r="W70" i="15"/>
  <c r="C9" i="2"/>
  <c r="B8" i="2"/>
  <c r="K68" i="1"/>
  <c r="K70" i="1" s="1"/>
  <c r="K63" i="1"/>
  <c r="D7" i="1" s="1"/>
  <c r="C183" i="13"/>
  <c r="D182" i="13"/>
  <c r="E44" i="2"/>
  <c r="F45" i="2"/>
  <c r="E101" i="13"/>
  <c r="D101" i="13"/>
  <c r="C102" i="13"/>
  <c r="C219" i="13"/>
  <c r="D218" i="13"/>
  <c r="B14" i="3"/>
  <c r="B19" i="3" s="1"/>
  <c r="F65" i="7"/>
  <c r="D53" i="13"/>
  <c r="C54" i="13"/>
  <c r="F8" i="2"/>
  <c r="E6" i="2"/>
  <c r="B52" i="2"/>
  <c r="C53" i="2"/>
  <c r="J128" i="15"/>
  <c r="B24" i="3"/>
  <c r="B50" i="3"/>
  <c r="B19" i="5"/>
  <c r="B24" i="5"/>
  <c r="J57" i="15"/>
  <c r="B51" i="5"/>
  <c r="Z70" i="15" l="1"/>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O81" i="16"/>
  <c r="J70" i="15"/>
  <c r="B52" i="5" s="1"/>
  <c r="B59" i="5" s="1"/>
  <c r="B61" i="5" s="1"/>
  <c r="C7" i="16" s="1"/>
  <c r="B58" i="3"/>
  <c r="B60" i="3" s="1"/>
  <c r="B52" i="3"/>
  <c r="B25" i="3"/>
  <c r="B26" i="3" s="1"/>
  <c r="C56" i="13"/>
  <c r="D55" i="13"/>
  <c r="D184" i="13"/>
  <c r="C185" i="13"/>
  <c r="B54" i="2"/>
  <c r="C55" i="2"/>
  <c r="F10" i="2"/>
  <c r="E8" i="2"/>
  <c r="C104" i="13"/>
  <c r="E103" i="13"/>
  <c r="D103" i="13"/>
  <c r="F47" i="2"/>
  <c r="E46" i="2"/>
  <c r="C11" i="2"/>
  <c r="B10" i="2"/>
  <c r="D220" i="13"/>
  <c r="C221" i="13"/>
  <c r="B27" i="3" l="1"/>
  <c r="B30" i="3" s="1"/>
  <c r="B43" i="3" s="1"/>
  <c r="O107" i="16" s="1"/>
  <c r="P107" i="16" s="1"/>
  <c r="O83" i="16"/>
  <c r="B53" i="5"/>
  <c r="B25" i="5"/>
  <c r="G35" i="16" s="1"/>
  <c r="B65" i="5"/>
  <c r="F7" i="16" s="1"/>
  <c r="G7" i="16" s="1"/>
  <c r="B64" i="3"/>
  <c r="O109" i="16" s="1"/>
  <c r="P109" i="16" s="1"/>
  <c r="L109" i="16"/>
  <c r="L107" i="16"/>
  <c r="K73" i="1"/>
  <c r="E47" i="2"/>
  <c r="F48" i="2"/>
  <c r="C186" i="13"/>
  <c r="D185" i="13"/>
  <c r="E9" i="2"/>
  <c r="F11" i="2"/>
  <c r="B11" i="2"/>
  <c r="C12" i="2"/>
  <c r="B55" i="2"/>
  <c r="C56" i="2"/>
  <c r="C222" i="13"/>
  <c r="D221" i="13"/>
  <c r="C105" i="13"/>
  <c r="D104" i="13"/>
  <c r="E104" i="13"/>
  <c r="C57" i="13"/>
  <c r="D56" i="13"/>
  <c r="B26" i="5" l="1"/>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5"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7"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45"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<sst xmlns="http://schemas.openxmlformats.org/spreadsheetml/2006/main" count="2766" uniqueCount="1065">
  <si>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</si>
  <si>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</si>
  <si>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</si>
  <si>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</si>
  <si>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</si>
  <si>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</si>
  <si>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</si>
  <si>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</si>
  <si>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</si>
  <si>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</si>
  <si>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</si>
  <si>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</si>
  <si>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</si>
  <si>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</si>
  <si>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</si>
  <si>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</si>
  <si>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</si>
  <si>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</si>
  <si>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</si>
  <si>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</si>
  <si>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</si>
  <si>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</si>
  <si>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</si>
  <si>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</si>
  <si>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</si>
  <si>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</si>
  <si>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</si>
  <si>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</si>
  <si>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</si>
  <si>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</si>
  <si>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</si>
  <si>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</si>
  <si>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</si>
  <si>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</si>
  <si>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</si>
  <si>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</si>
  <si>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</si>
  <si>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</si>
  <si>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</si>
  <si>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</si>
  <si>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</si>
  <si>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</si>
  <si>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</si>
  <si>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</si>
  <si>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</si>
  <si>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</si>
  <si>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</si>
  <si>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</si>
  <si>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</si>
  <si>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</si>
  <si>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</si>
  <si>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</si>
  <si>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</si>
  <si>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</si>
  <si>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</si>
  <si>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</si>
  <si>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</si>
  <si>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</si>
  <si>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</si>
  <si>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</si>
  <si>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</si>
  <si>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</si>
  <si>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</si>
  <si>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</si>
  <si>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</si>
  <si>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</si>
  <si>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</si>
  <si>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</si>
  <si>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</si>
  <si>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</si>
  <si>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</si>
  <si>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</si>
  <si>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</si>
  <si>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</si>
  <si>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</si>
  <si>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</si>
  <si>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</si>
  <si>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</si>
  <si>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</si>
  <si>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</si>
  <si>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</si>
  <si>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</si>
  <si>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</si>
  <si>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</si>
  <si>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</si>
  <si>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</si>
  <si>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</si>
  <si>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</si>
  <si>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</si>
  <si>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</si>
  <si>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</si>
  <si>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</si>
  <si>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</si>
  <si>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</si>
  <si>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</si>
  <si>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</si>
  <si>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</si>
  <si>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</si>
  <si>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</si>
  <si>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</si>
  <si>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</si>
  <si>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</si>
  <si>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</si>
  <si>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</si>
  <si>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</si>
  <si>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</si>
  <si>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</si>
  <si>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</si>
  <si>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</si>
  <si>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</si>
  <si>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</si>
  <si>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</si>
  <si>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</si>
  <si>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</si>
  <si>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</si>
  <si>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</si>
  <si>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</si>
  <si>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</si>
  <si>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</si>
  <si>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</si>
  <si>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</si>
  <si>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</si>
  <si>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</si>
  <si>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</si>
  <si>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</si>
  <si>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</si>
  <si>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</si>
  <si>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</si>
  <si>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</si>
  <si>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</si>
  <si>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</si>
  <si>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</si>
  <si>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</si>
  <si>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</si>
  <si>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</si>
  <si>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</si>
  <si>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</si>
  <si>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</si>
  <si>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</si>
  <si>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</si>
  <si>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</si>
  <si>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</si>
  <si>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</si>
  <si>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</si>
  <si>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</si>
  <si>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</si>
  <si>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</si>
  <si>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</si>
  <si>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</si>
  <si>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</si>
  <si>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</si>
  <si>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</si>
  <si>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</si>
  <si>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</si>
  <si>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</si>
  <si>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</si>
  <si>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</si>
  <si>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</si>
  <si>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</si>
  <si>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</si>
  <si>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</si>
  <si>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</si>
  <si>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</si>
  <si>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</si>
  <si>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</si>
  <si>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</si>
  <si>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</si>
  <si>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</si>
  <si>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</si>
  <si>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</si>
  <si>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</si>
  <si>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</si>
  <si>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</si>
  <si>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</si>
  <si>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</si>
  <si>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</si>
  <si>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</si>
  <si>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</si>
  <si>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</si>
  <si>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</si>
  <si>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</si>
  <si>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</si>
  <si>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</si>
  <si>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</si>
  <si>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</si>
  <si>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</si>
  <si>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</si>
  <si>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</si>
  <si>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</si>
  <si>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</si>
  <si>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</si>
  <si>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</si>
  <si>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</si>
  <si>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</si>
  <si>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</si>
  <si>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</si>
  <si>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</si>
  <si>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</si>
  <si>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</si>
  <si>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</si>
  <si>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</si>
  <si>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</si>
  <si>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</si>
  <si>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</si>
  <si>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</si>
  <si>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</si>
  <si>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</si>
  <si>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</si>
  <si>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</si>
  <si>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</si>
  <si>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</si>
  <si>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</si>
  <si>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</si>
  <si>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</si>
  <si>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</si>
  <si>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</si>
  <si>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</si>
  <si>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</si>
  <si>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</si>
  <si>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</si>
  <si>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</si>
  <si>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</si>
  <si>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</si>
  <si>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</si>
  <si>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</si>
  <si>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</si>
  <si>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LNA Gain:</t>
  </si>
  <si>
    <r>
      <t>G</t>
    </r>
    <r>
      <rPr>
        <sz val="8"/>
        <rFont val="Arial"/>
      </rPr>
      <t>LNA</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</si>
  <si>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</si>
  <si>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</si>
  <si>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</si>
  <si>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</si>
  <si>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</si>
  <si>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</si>
  <si>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</si>
  <si>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</si>
  <si>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</si>
  <si>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</si>
  <si>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</si>
  <si>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</si>
  <si>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</si>
  <si>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</si>
  <si>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</si>
  <si>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</si>
  <si>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</si>
  <si>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</si>
  <si>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</si>
  <si>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</si>
  <si>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</si>
  <si>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</si>
  <si>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</si>
  <si>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</si>
  <si>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</si>
  <si>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</si>
  <si>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</si>
  <si>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</si>
  <si>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</si>
  <si>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</si>
  <si>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</si>
  <si>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</si>
  <si>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</si>
  <si>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</si>
  <si>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</si>
  <si>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</si>
  <si>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</si>
  <si>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</si>
  <si>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</si>
  <si>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</si>
  <si>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</si>
  <si>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</si>
  <si>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</si>
  <si>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</si>
  <si>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</si>
  <si>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</si>
  <si>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</si>
  <si>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</si>
  <si>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</si>
  <si>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</si>
  <si>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</si>
  <si>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</si>
  <si>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</si>
  <si>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</si>
  <si>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</si>
  <si>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</si>
  <si>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</si>
  <si>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</si>
  <si>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</si>
  <si>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</si>
  <si>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</si>
  <si>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</si>
  <si>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</si>
  <si>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</si>
  <si>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</si>
  <si>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</si>
  <si>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</si>
  <si>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</si>
  <si>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</si>
  <si>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</si>
  <si>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</si>
  <si>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</si>
  <si>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</si>
  <si>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</si>
  <si>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</si>
  <si>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</si>
  <si>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</si>
  <si>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</si>
  <si>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</si>
  <si>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</si>
  <si>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</si>
  <si>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</si>
  <si>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</si>
  <si>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</si>
  <si>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</si>
  <si>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</si>
  <si>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</si>
  <si>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</si>
  <si>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</si>
  <si>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</si>
  <si>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</si>
  <si>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</si>
  <si>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</si>
  <si>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</si>
  <si>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</si>
  <si>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</si>
  <si>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</si>
  <si>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</si>
  <si>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</si>
  <si>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</si>
  <si>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</si>
  <si>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</si>
  <si>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</si>
  <si>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</si>
  <si>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</si>
  <si>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</si>
  <si>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</si>
  <si>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</si>
  <si>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</si>
  <si>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</si>
  <si>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</si>
  <si>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</si>
  <si>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</si>
  <si>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</si>
  <si>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</si>
  <si>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</si>
  <si>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</si>
  <si>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</si>
  <si>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</si>
  <si>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</si>
  <si>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</si>
  <si>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</si>
  <si>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</si>
  <si>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</si>
  <si>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</si>
  <si>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</si>
  <si>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</si>
  <si>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</si>
  <si>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</si>
  <si>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</si>
  <si>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</si>
  <si>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</si>
  <si>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</si>
  <si>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</si>
  <si>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</si>
  <si>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</si>
  <si>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</si>
  <si>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</si>
  <si>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</si>
  <si>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</si>
  <si>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</si>
  <si>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</si>
  <si>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</si>
  <si>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</si>
  <si>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</si>
  <si>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</si>
  <si>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</si>
  <si>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</si>
  <si>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</si>
  <si>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</si>
  <si>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</si>
  <si>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</si>
  <si>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</si>
  <si>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</si>
  <si>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</si>
  <si>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</si>
  <si>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</si>
  <si>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</si>
  <si>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</si>
  <si>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</si>
  <si>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</si>
  <si>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</si>
  <si>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</si>
  <si>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</si>
  <si>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</si>
  <si>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</si>
  <si>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</si>
  <si>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</si>
  <si>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</si>
  <si>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</si>
  <si>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</si>
  <si>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</si>
  <si>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</si>
  <si>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</si>
  <si>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</si>
  <si>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</si>
  <si>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</si>
  <si>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</si>
  <si>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</si>
  <si>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</si>
  <si>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</si>
  <si>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</si>
  <si>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</si>
  <si>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</si>
  <si>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</si>
  <si>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</si>
  <si>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</si>
  <si>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</si>
  <si>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</si>
  <si>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</si>
  <si>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</si>
  <si>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</si>
  <si>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</si>
  <si>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</si>
  <si>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</si>
  <si>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</si>
  <si>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</si>
  <si>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</si>
  <si>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</si>
  <si>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t>Link Margin:</t>
  </si>
  <si>
    <r>
      <t xml:space="preserve">    T</t>
    </r>
    <r>
      <rPr>
        <sz val="8"/>
        <rFont val="Arial"/>
      </rPr>
      <t>sys</t>
    </r>
    <r>
      <rPr>
        <sz val="10"/>
        <rFont val="Arial"/>
      </rPr>
      <t xml:space="preserve"> =</t>
    </r>
  </si>
  <si>
    <t xml:space="preserve">    G/T =</t>
  </si>
  <si>
    <t>(Used Only in S/N Calc.)</t>
  </si>
  <si>
    <t>S/N Method:</t>
  </si>
  <si>
    <r>
      <t>E</t>
    </r>
    <r>
      <rPr>
        <sz val="8"/>
        <rFont val="Arial"/>
      </rPr>
      <t>b</t>
    </r>
    <r>
      <rPr>
        <sz val="10"/>
        <rFont val="Arial"/>
      </rPr>
      <t>/No Method:</t>
    </r>
  </si>
  <si>
    <t>Spec. B.E.R.:</t>
  </si>
  <si>
    <t>DOWNLINK SYSTEM:</t>
  </si>
  <si>
    <r>
      <t>EIRP</t>
    </r>
    <r>
      <rPr>
        <sz val="8"/>
        <rFont val="Arial"/>
      </rPr>
      <t>S/C</t>
    </r>
    <r>
      <rPr>
        <sz val="10"/>
        <rFont val="Arial"/>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</si>
  <si>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</si>
  <si>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</si>
  <si>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</si>
  <si>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</si>
  <si>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</si>
  <si>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</si>
  <si>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</si>
  <si>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</si>
  <si>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</si>
  <si>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</si>
  <si>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</si>
  <si>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</si>
  <si>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</si>
  <si>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</si>
  <si>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</si>
  <si>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</si>
  <si>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</si>
  <si>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</si>
  <si>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</si>
  <si>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</si>
  <si>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</si>
  <si>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</si>
  <si>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</si>
  <si>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</si>
  <si>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</si>
  <si>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</si>
  <si>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</si>
  <si>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</si>
  <si>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</si>
  <si>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</si>
  <si>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</si>
  <si>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</si>
  <si>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</si>
  <si>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</si>
  <si>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</si>
  <si>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</si>
  <si>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</si>
  <si>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</si>
  <si>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</si>
  <si>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</si>
  <si>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</si>
  <si>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</si>
  <si>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</si>
  <si>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</si>
  <si>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</si>
  <si>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</si>
  <si>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</si>
  <si>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</si>
  <si>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</si>
  <si>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</si>
  <si>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</si>
  <si>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</si>
  <si>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</si>
  <si>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</si>
  <si>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</si>
  <si>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</si>
  <si>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</si>
  <si>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</si>
  <si>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</si>
  <si>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</si>
  <si>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</si>
  <si>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</si>
  <si>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</si>
  <si>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</si>
  <si>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</si>
  <si>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</si>
  <si>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</si>
  <si>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</si>
  <si>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</si>
  <si>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</si>
  <si>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</si>
  <si>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</si>
  <si>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</si>
  <si>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</si>
  <si>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</si>
  <si>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</si>
  <si>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</si>
  <si>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</si>
  <si>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</si>
  <si>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</si>
  <si>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</si>
  <si>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</si>
  <si>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</si>
  <si>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</si>
  <si>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</si>
  <si>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</si>
  <si>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</si>
  <si>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</si>
  <si>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</si>
  <si>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</si>
  <si>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</si>
  <si>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</si>
  <si>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</si>
  <si>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</si>
  <si>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</si>
  <si>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</si>
  <si>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</si>
  <si>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</si>
  <si>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</si>
  <si>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</si>
  <si>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</si>
  <si>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</si>
  <si>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</si>
  <si>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</si>
  <si>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</si>
  <si>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</si>
  <si>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</si>
  <si>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</si>
  <si>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</si>
  <si>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</si>
  <si>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</si>
  <si>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</si>
  <si>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</si>
  <si>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</si>
  <si>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</si>
  <si>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</si>
  <si>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</si>
  <si>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</si>
  <si>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</si>
  <si>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</si>
  <si>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</si>
  <si>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</si>
  <si>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</si>
  <si>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</si>
  <si>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</si>
  <si>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</si>
  <si>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</si>
  <si>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</si>
  <si>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</si>
  <si>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</si>
  <si>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</si>
  <si>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</si>
  <si>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</si>
  <si>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</si>
  <si>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</si>
  <si>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</si>
  <si>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</si>
  <si>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</si>
  <si>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</si>
  <si>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</si>
  <si>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</si>
  <si>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</si>
  <si>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</si>
  <si>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</si>
  <si>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</si>
  <si>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</si>
  <si>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</si>
  <si>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</si>
  <si>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</si>
  <si>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</si>
  <si>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</si>
  <si>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</si>
  <si>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</si>
  <si>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</si>
  <si>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</si>
  <si>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</si>
  <si>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</si>
  <si>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</si>
  <si>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</si>
  <si>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</si>
  <si>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</si>
  <si>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</si>
  <si>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</si>
  <si>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</si>
  <si>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</si>
  <si>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</si>
  <si>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</si>
  <si>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</si>
  <si>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</si>
  <si>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</si>
  <si>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</si>
  <si>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</si>
  <si>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</si>
  <si>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</si>
  <si>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</si>
  <si>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</si>
  <si>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</si>
  <si>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</si>
  <si>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</si>
  <si>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</si>
  <si>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</si>
  <si>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</si>
  <si>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</si>
  <si>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</si>
  <si>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</si>
  <si>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</si>
  <si>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</si>
  <si>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</si>
  <si>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</si>
  <si>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</si>
  <si>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</si>
  <si>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</si>
  <si>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</si>
  <si>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</si>
  <si>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</si>
  <si>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</si>
  <si>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</si>
  <si>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</si>
  <si>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</si>
  <si>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</si>
  <si>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</si>
  <si>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</si>
  <si>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</si>
  <si>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</si>
  <si>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</si>
  <si>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</si>
  <si>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</si>
  <si>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</si>
  <si>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</si>
  <si>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</si>
  <si>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</si>
  <si>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</si>
  <si>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</si>
  <si>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</si>
  <si>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</si>
  <si>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</si>
  <si>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</si>
  <si>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</si>
  <si>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</si>
  <si>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</si>
  <si>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</si>
  <si>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</si>
  <si>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</si>
  <si>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</si>
  <si>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</si>
  <si>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</si>
  <si>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</si>
  <si>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</si>
  <si>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</si>
  <si>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</si>
  <si>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</si>
  <si>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</si>
  <si>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</si>
  <si>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</si>
  <si>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</si>
  <si>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</si>
  <si>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</si>
  <si>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</si>
  <si>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</si>
  <si>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</si>
  <si>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</si>
  <si>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</si>
  <si>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</si>
  <si>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</si>
  <si>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</si>
  <si>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</si>
  <si>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</si>
  <si>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</si>
  <si>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</si>
  <si>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</si>
  <si>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</si>
  <si>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</si>
  <si>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</si>
  <si>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</si>
  <si>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</si>
  <si>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</si>
  <si>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</si>
  <si>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</si>
  <si>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</si>
  <si>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</si>
  <si>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</si>
  <si>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</si>
  <si>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</si>
  <si>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</si>
  <si>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</si>
  <si>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</si>
  <si>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</si>
  <si>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</si>
  <si>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</si>
  <si>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</si>
  <si>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</si>
  <si>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</si>
  <si>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</si>
  <si>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</si>
  <si>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</si>
  <si>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</si>
  <si>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</si>
  <si>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</si>
  <si>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</si>
  <si>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</si>
  <si>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</si>
  <si>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</si>
  <si>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</si>
  <si>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</si>
  <si>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</si>
  <si>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</si>
  <si>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</si>
  <si>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</si>
  <si>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</si>
  <si>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</si>
  <si>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</si>
  <si>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</si>
  <si>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</si>
  <si>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</si>
  <si>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</si>
  <si>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</si>
  <si>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</si>
  <si>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</si>
  <si>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</si>
  <si>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</si>
  <si>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</si>
  <si>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</si>
  <si>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</si>
  <si>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</si>
  <si>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</si>
  <si>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</si>
  <si>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</si>
  <si>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</si>
  <si>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</si>
  <si>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</si>
  <si>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</si>
  <si>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</si>
  <si>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</si>
  <si>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</si>
  <si>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</si>
  <si>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</si>
  <si>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</si>
  <si>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</si>
  <si>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</si>
  <si>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</si>
  <si>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</si>
  <si>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</si>
  <si>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</si>
  <si>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</si>
  <si>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</si>
  <si>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</si>
  <si>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</si>
  <si>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</si>
  <si>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</si>
  <si>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</si>
  <si>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</si>
  <si>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</si>
  <si>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</si>
  <si>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</si>
  <si>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</si>
  <si>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</si>
  <si>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</si>
  <si>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</si>
  <si>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</si>
  <si>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</si>
  <si>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</si>
  <si>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</si>
  <si>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</si>
  <si>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</si>
  <si>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</si>
  <si>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</si>
  <si>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</si>
  <si>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</si>
  <si>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</si>
  <si>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</si>
  <si>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</si>
  <si>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</si>
  <si>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</si>
  <si>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</si>
  <si>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</si>
  <si>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</si>
  <si>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</si>
  <si>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</si>
  <si>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</si>
  <si>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</si>
  <si>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</si>
  <si>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</si>
  <si>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</si>
  <si>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</si>
  <si>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</si>
  <si>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</si>
  <si>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</si>
  <si>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</si>
  <si>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</si>
  <si>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</si>
  <si>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</si>
  <si>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</si>
  <si>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</si>
  <si>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</si>
  <si>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</si>
  <si>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</si>
  <si>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</si>
  <si>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</si>
  <si>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</si>
  <si>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</si>
  <si>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</si>
  <si>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</si>
  <si>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</si>
  <si>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</si>
  <si>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</si>
  <si>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</si>
  <si>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</si>
  <si>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</si>
  <si>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</si>
  <si>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</si>
  <si>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</si>
  <si>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</si>
  <si>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</si>
  <si>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</si>
  <si>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</si>
  <si>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</si>
  <si>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</si>
  <si>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</si>
  <si>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</si>
  <si>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</si>
  <si>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</si>
  <si>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</si>
  <si>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</si>
  <si>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</si>
  <si>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</si>
  <si>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</si>
  <si>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</si>
  <si>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</si>
  <si>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</si>
  <si>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</si>
  <si>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</si>
  <si>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</si>
  <si>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</si>
  <si>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</si>
  <si>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</si>
  <si>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</si>
  <si>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</si>
  <si>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</si>
  <si>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</si>
  <si>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</si>
  <si>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</si>
  <si>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</si>
  <si>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</si>
  <si>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</si>
  <si>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</si>
  <si>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</si>
  <si>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</si>
  <si>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</si>
  <si>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</si>
  <si>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</si>
  <si>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</si>
  <si>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</si>
  <si>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</si>
  <si>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</si>
  <si>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</si>
  <si>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</si>
  <si>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</si>
  <si>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</si>
  <si>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</si>
  <si>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</si>
  <si>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</si>
  <si>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</si>
  <si>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</si>
  <si>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</si>
  <si>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</si>
  <si>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</si>
  <si>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</si>
  <si>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</si>
  <si>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</si>
  <si>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</si>
  <si>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</si>
  <si>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</si>
  <si>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</si>
  <si>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</si>
  <si>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</si>
  <si>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</si>
  <si>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</si>
  <si>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</si>
  <si>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</si>
  <si>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</si>
  <si>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</si>
  <si>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</si>
  <si>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</si>
  <si>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</si>
  <si>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</si>
  <si>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</si>
  <si>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</si>
  <si>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</si>
  <si>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</si>
  <si>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</si>
  <si>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</si>
  <si>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</si>
  <si>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</si>
  <si>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</si>
  <si>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</si>
  <si>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</si>
  <si>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</si>
  <si>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</si>
  <si>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</si>
  <si>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</si>
  <si>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</si>
  <si>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</si>
  <si>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</si>
  <si>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</si>
  <si>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</si>
  <si>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</si>
  <si>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</si>
  <si>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</si>
  <si>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</si>
  <si>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</si>
  <si>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</si>
  <si>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</si>
  <si>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</si>
  <si>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</si>
  <si>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</si>
  <si>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</si>
  <si>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</si>
  <si>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</si>
  <si>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</si>
  <si>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</si>
  <si>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</si>
  <si>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</si>
  <si>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</si>
  <si>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</si>
  <si>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</si>
  <si>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</si>
  <si>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</si>
  <si>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</si>
  <si>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</si>
  <si>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</si>
  <si>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</si>
  <si>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</si>
  <si>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</si>
  <si>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</si>
  <si>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</si>
  <si>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</si>
  <si>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</si>
  <si>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</si>
  <si>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</si>
  <si>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</si>
  <si>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</si>
  <si>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</si>
  <si>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</si>
  <si>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</si>
  <si>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</si>
  <si>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</si>
  <si>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</si>
  <si>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</si>
  <si>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</si>
  <si>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</si>
  <si>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</si>
  <si>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</si>
  <si>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</si>
  <si>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</si>
  <si>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</si>
  <si>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</si>
  <si>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</si>
  <si>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</si>
  <si>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</si>
  <si>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</si>
  <si>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</si>
  <si>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</si>
  <si>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</si>
  <si>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</si>
  <si>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</si>
  <si>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</si>
  <si>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</si>
  <si>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</si>
  <si>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</si>
  <si>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</si>
  <si>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</si>
  <si>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</si>
  <si>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</si>
  <si>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</si>
  <si>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</si>
  <si>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</si>
  <si>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</si>
  <si>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</si>
  <si>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</si>
  <si>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</si>
  <si>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</si>
  <si>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</si>
  <si>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</si>
  <si>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</si>
  <si>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</si>
  <si>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</si>
  <si>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</si>
  <si>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</si>
  <si>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</si>
  <si>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</si>
  <si>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</si>
  <si>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</si>
  <si>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</si>
  <si>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</si>
  <si>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</si>
  <si>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</si>
  <si>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</si>
  <si>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</si>
  <si>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</si>
  <si>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</si>
  <si>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</si>
  <si>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</si>
  <si>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</si>
  <si>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</si>
  <si>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</si>
  <si>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Backplane conn.</t>
  </si>
  <si>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</si>
  <si>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</si>
  <si>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</si>
  <si>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</si>
  <si>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rPr>
      <t>Tother</t>
    </r>
    <r>
      <rPr>
        <sz val="10"/>
        <rFont val="Arial"/>
      </rPr>
      <t xml:space="preserve"> =</t>
    </r>
  </si>
  <si>
    <r>
      <t>L</t>
    </r>
    <r>
      <rPr>
        <sz val="8"/>
        <rFont val="Arial"/>
      </rPr>
      <t>Tconn.</t>
    </r>
    <r>
      <rPr>
        <sz val="10"/>
        <rFont val="Arial"/>
      </rPr>
      <t xml:space="preserve"> =</t>
    </r>
  </si>
  <si>
    <r>
      <t>L</t>
    </r>
    <r>
      <rPr>
        <sz val="8"/>
        <rFont val="Arial"/>
      </rPr>
      <t>TLine</t>
    </r>
    <r>
      <rPr>
        <sz val="10"/>
        <rFont val="Arial"/>
      </rPr>
      <t xml:space="preserve"> =</t>
    </r>
  </si>
  <si>
    <r>
      <t>P</t>
    </r>
    <r>
      <rPr>
        <sz val="8"/>
        <rFont val="Arial"/>
      </rPr>
      <t>Tx</t>
    </r>
    <r>
      <rPr>
        <sz val="10"/>
        <rFont val="Arial"/>
      </rPr>
      <t xml:space="preserve"> =</t>
    </r>
  </si>
  <si>
    <t>F.E.C. Encoder Type:</t>
  </si>
  <si>
    <t>Modulation Method:</t>
  </si>
  <si>
    <r>
      <t>P</t>
    </r>
    <r>
      <rPr>
        <vertAlign val="subscript"/>
        <sz val="10"/>
        <rFont val="Arial"/>
        <family val="2"/>
      </rPr>
      <t>Antenna</t>
    </r>
    <r>
      <rPr>
        <sz val="10"/>
        <rFont val="Arial"/>
      </rPr>
      <t xml:space="preserve"> =</t>
    </r>
  </si>
  <si>
    <r>
      <t>G</t>
    </r>
    <r>
      <rPr>
        <sz val="8"/>
        <rFont val="Arial"/>
      </rPr>
      <t xml:space="preserve">T </t>
    </r>
    <r>
      <rPr>
        <sz val="10"/>
        <rFont val="Arial"/>
      </rPr>
      <t>=</t>
    </r>
  </si>
  <si>
    <t>Total Link Losses:</t>
  </si>
  <si>
    <r>
      <t>G</t>
    </r>
    <r>
      <rPr>
        <sz val="8"/>
        <rFont val="Arial"/>
      </rPr>
      <t>R</t>
    </r>
    <r>
      <rPr>
        <sz val="10"/>
        <rFont val="Arial"/>
      </rPr>
      <t xml:space="preserve"> =</t>
    </r>
  </si>
  <si>
    <r>
      <t>T</t>
    </r>
    <r>
      <rPr>
        <sz val="8"/>
        <rFont val="Arial"/>
      </rPr>
      <t>Antenna</t>
    </r>
    <r>
      <rPr>
        <sz val="10"/>
        <rFont val="Arial"/>
      </rPr>
      <t xml:space="preserve"> =</t>
    </r>
    <r>
      <rPr>
        <sz val="8"/>
        <rFont val="Arial"/>
      </rPr>
      <t xml:space="preserve"> </t>
    </r>
  </si>
  <si>
    <r>
      <t>L</t>
    </r>
    <r>
      <rPr>
        <sz val="8"/>
        <rFont val="Arial"/>
      </rPr>
      <t xml:space="preserve">Total </t>
    </r>
    <r>
      <rPr>
        <sz val="10"/>
        <rFont val="Arial"/>
      </rPr>
      <t>=</t>
    </r>
  </si>
  <si>
    <r>
      <t>L</t>
    </r>
    <r>
      <rPr>
        <sz val="8"/>
        <rFont val="Arial"/>
      </rPr>
      <t xml:space="preserve">Total to LNA </t>
    </r>
    <r>
      <rPr>
        <sz val="10"/>
        <rFont val="Arial"/>
      </rPr>
      <t>=</t>
    </r>
  </si>
  <si>
    <r>
      <t>B</t>
    </r>
    <r>
      <rPr>
        <sz val="8"/>
        <rFont val="Arial"/>
      </rPr>
      <t>Rbpf</t>
    </r>
    <r>
      <rPr>
        <sz val="10"/>
        <rFont val="Arial"/>
      </rPr>
      <t xml:space="preserve"> = </t>
    </r>
  </si>
  <si>
    <t>Demodulator Type:</t>
  </si>
  <si>
    <t>F.E.C. Decoder Type:</t>
  </si>
  <si>
    <t>R =</t>
  </si>
  <si>
    <t>S/N =</t>
  </si>
  <si>
    <r>
      <t>E</t>
    </r>
    <r>
      <rPr>
        <sz val="8"/>
        <rFont val="Arial"/>
      </rPr>
      <t>b</t>
    </r>
    <r>
      <rPr>
        <sz val="10"/>
        <rFont val="Arial"/>
      </rPr>
      <t>/N</t>
    </r>
    <r>
      <rPr>
        <sz val="8"/>
        <rFont val="Arial"/>
      </rPr>
      <t>o</t>
    </r>
    <r>
      <rPr>
        <sz val="10"/>
        <rFont val="Arial"/>
      </rPr>
      <t xml:space="preserve"> = </t>
    </r>
  </si>
  <si>
    <t>UPLINK SYSTEM:</t>
  </si>
  <si>
    <t>COMMAND</t>
  </si>
  <si>
    <t>TELEMETRY</t>
  </si>
  <si>
    <r>
      <t>P</t>
    </r>
    <r>
      <rPr>
        <sz val="8"/>
        <rFont val="Arial"/>
      </rPr>
      <t xml:space="preserve">Tx </t>
    </r>
    <r>
      <rPr>
        <sz val="10"/>
        <rFont val="Arial"/>
      </rPr>
      <t>=</t>
    </r>
  </si>
  <si>
    <r>
      <t>G</t>
    </r>
    <r>
      <rPr>
        <sz val="8"/>
        <rFont val="Arial"/>
      </rPr>
      <t>T</t>
    </r>
    <r>
      <rPr>
        <sz val="10"/>
        <rFont val="Arial"/>
      </rPr>
      <t xml:space="preserve"> = </t>
    </r>
  </si>
  <si>
    <r>
      <t>E</t>
    </r>
    <r>
      <rPr>
        <sz val="8"/>
        <rFont val="Arial"/>
      </rPr>
      <t>b</t>
    </r>
    <r>
      <rPr>
        <sz val="10"/>
        <rFont val="Arial"/>
      </rPr>
      <t>/N</t>
    </r>
    <r>
      <rPr>
        <sz val="8"/>
        <rFont val="Arial"/>
      </rPr>
      <t>o</t>
    </r>
    <r>
      <rPr>
        <sz val="10"/>
        <rFont val="Arial"/>
      </rPr>
      <t xml:space="preserve"> =</t>
    </r>
  </si>
  <si>
    <r>
      <t>E</t>
    </r>
    <r>
      <rPr>
        <sz val="8"/>
        <rFont val="Arial"/>
      </rPr>
      <t>b</t>
    </r>
    <r>
      <rPr>
        <sz val="10"/>
        <rFont val="Arial"/>
      </rPr>
      <t>/N</t>
    </r>
    <r>
      <rPr>
        <sz val="8"/>
        <rFont val="Arial"/>
      </rPr>
      <t>o</t>
    </r>
    <r>
      <rPr>
        <sz val="10"/>
        <rFont val="Arial"/>
      </rPr>
      <t xml:space="preserve"> Method:</t>
    </r>
  </si>
  <si>
    <r>
      <t>B</t>
    </r>
    <r>
      <rPr>
        <sz val="8"/>
        <rFont val="Arial"/>
      </rPr>
      <t xml:space="preserve">Rbpf  </t>
    </r>
    <r>
      <rPr>
        <sz val="10"/>
        <rFont val="Arial"/>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</si>
  <si>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</si>
  <si>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</si>
  <si>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</si>
  <si>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</si>
  <si>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</si>
  <si>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</si>
  <si>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</si>
  <si>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rPr>
      <t xml:space="preserve">GS </t>
    </r>
    <r>
      <rPr>
        <sz val="10"/>
        <rFont val="Arial"/>
      </rPr>
      <t>=</t>
    </r>
  </si>
  <si>
    <t>Point Error:</t>
  </si>
  <si>
    <r>
      <t>h</t>
    </r>
    <r>
      <rPr>
        <sz val="8"/>
        <rFont val="Arial"/>
      </rPr>
      <t>Tx</t>
    </r>
    <r>
      <rPr>
        <sz val="10"/>
        <rFont val="Arial"/>
      </rPr>
      <t xml:space="preserve"> Goal =</t>
    </r>
  </si>
  <si>
    <t>Tx DC Pwr =</t>
  </si>
  <si>
    <t>Tx Dissipation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</si>
</sst>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5" formatCode="0.0\ &quot;watts&quot;"/>
    <numFmt numFmtId="176" formatCode="0.00\ &quot;dB&quot;"/>
    <numFmt numFmtId="177" formatCode="0.000\ &quot;dB&quot;"/>
    <numFmt numFmtId="178" formatCode="0.0\ &quot;dBi&quot;"/>
    <numFmt numFmtId="180" formatCode="0\ &quot;K&quot;"/>
    <numFmt numFmtId="181" formatCode="0.0\ &quot;dB/K&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 numFmtId="197" formatCode="0,000\ &quot;bps&quot;"/>
    <numFmt numFmtId="199" formatCode="0,000\ &quot;Hz&quot;"/>
    <numFmt numFmtId="201" formatCode="0.0\ &quot;dBm&quot;"/>
    <numFmt numFmtId="202" formatCode="0.00\ &quot;dBm&quot;"/>
    <numFmt numFmtId="203" formatCode="0\ &quot;°&quot;"/>
  </numFmts>
  <fonts count="90">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8" fontId="0" fillId="4" borderId="6" xfId="0" applyNumberFormat="1" applyFill="1" applyBorder="1" applyAlignment="1">
      <alignment horizontal="center"/>
    </xf>
    <xf numFmtId="173" fontId="0" fillId="4" borderId="6" xfId="0" applyNumberFormat="1" applyFill="1" applyBorder="1" applyAlignment="1">
      <alignment horizontal="center"/>
    </xf>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175" fontId="0" fillId="4" borderId="6" xfId="0" applyNumberFormat="1" applyFill="1" applyBorder="1" applyAlignment="1">
      <alignment horizontal="center"/>
    </xf>
    <xf numFmtId="0" fontId="29" fillId="3" borderId="0" xfId="0" applyFont="1" applyFill="1" applyBorder="1"/>
    <xf numFmtId="184" fontId="25" fillId="5" borderId="6" xfId="4" applyNumberFormat="1" applyFont="1" applyFill="1" applyBorder="1" applyAlignment="1">
      <alignment horizontal="center"/>
    </xf>
    <xf numFmtId="0" fontId="31" fillId="13" borderId="4" xfId="0" applyFont="1" applyFill="1" applyBorder="1"/>
    <xf numFmtId="178" fontId="0" fillId="4" borderId="16" xfId="0" applyNumberFormat="1" applyFill="1" applyBorder="1" applyAlignment="1">
      <alignment horizontal="center"/>
    </xf>
    <xf numFmtId="176"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7"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7"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80" fontId="84" fillId="22" borderId="6" xfId="0" applyNumberFormat="1" applyFont="1" applyFill="1" applyBorder="1" applyAlignment="1">
      <alignment horizontal="center"/>
    </xf>
    <xf numFmtId="176" fontId="84" fillId="4" borderId="6" xfId="0" applyNumberFormat="1" applyFont="1" applyFill="1" applyBorder="1" applyAlignment="1">
      <alignment horizontal="center"/>
    </xf>
    <xf numFmtId="181" fontId="88" fillId="22" borderId="6" xfId="0" applyNumberFormat="1" applyFont="1" applyFill="1" applyBorder="1" applyAlignment="1">
      <alignment horizontal="center"/>
    </xf>
    <xf numFmtId="199"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193" fontId="0" fillId="4" borderId="6" xfId="0" applyNumberFormat="1" applyFill="1" applyBorder="1" applyAlignment="1">
      <alignment horizontal="center"/>
    </xf>
    <xf numFmtId="175" fontId="17" fillId="6" borderId="6" xfId="0" applyNumberFormat="1"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199" fontId="0" fillId="4" borderId="6" xfId="0" applyNumberFormat="1" applyFill="1" applyBorder="1" applyAlignment="1">
      <alignment horizontal="center"/>
    </xf>
    <xf numFmtId="0" fontId="83" fillId="3" borderId="23" xfId="0" applyFont="1" applyFill="1" applyBorder="1" applyAlignment="1">
      <alignment horizontal="center"/>
    </xf>
    <xf numFmtId="0" fontId="83" fillId="3" borderId="18" xfId="0" applyFont="1" applyFill="1" applyBorder="1" applyAlignment="1">
      <alignment horizontal="center"/>
    </xf>
    <xf numFmtId="0" fontId="83" fillId="4" borderId="16" xfId="0" applyFon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201" fontId="88" fillId="22" borderId="6" xfId="0" applyNumberFormat="1" applyFont="1" applyFill="1" applyBorder="1" applyAlignment="1">
      <alignment horizontal="center"/>
    </xf>
    <xf numFmtId="202" fontId="29" fillId="22" borderId="6" xfId="0" applyNumberFormat="1" applyFont="1" applyFill="1" applyBorder="1" applyAlignment="1">
      <alignment horizontal="center"/>
    </xf>
    <xf numFmtId="201" fontId="0" fillId="4" borderId="6" xfId="0" applyNumberFormat="1" applyFill="1" applyBorder="1" applyAlignment="1">
      <alignment horizontal="center"/>
    </xf>
    <xf numFmtId="0" fontId="0" fillId="3" borderId="0" xfId="0" applyFill="1" applyBorder="1" applyAlignment="1">
      <alignment horizontal="left"/>
    </xf>
    <xf numFmtId="0" fontId="0" fillId="3" borderId="0" xfId="0" applyFill="1" applyBorder="1" applyAlignment="1">
      <alignment horizontal="center"/>
    </xf>
    <xf numFmtId="0" fontId="0" fillId="3" borderId="0" xfId="0" applyFill="1" applyBorder="1" applyAlignment="1"/>
    <xf numFmtId="201" fontId="17" fillId="6" borderId="6" xfId="0" applyNumberFormat="1" applyFont="1" applyFill="1" applyBorder="1" applyAlignment="1">
      <alignment horizontal="center"/>
    </xf>
    <xf numFmtId="203" fontId="0" fillId="13" borderId="6" xfId="0" applyNumberFormat="1" applyFill="1" applyBorder="1" applyAlignment="1">
      <alignment horizontal="center"/>
    </xf>
    <xf numFmtId="0" fontId="83" fillId="6" borderId="4" xfId="6" applyFont="1" applyFill="1" applyBorder="1" applyAlignment="1">
      <alignment horizontal="center"/>
    </xf>
    <xf numFmtId="0" fontId="83" fillId="3" borderId="0" xfId="6" applyFill="1" applyBorder="1"/>
    <xf numFmtId="0" fontId="89" fillId="6" borderId="4" xfId="6"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204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897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956861" y="13049731"/>
          <a:ext cx="557647"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2234145" y="13227050"/>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28574</xdr:rowOff>
    </xdr:from>
    <xdr:to>
      <xdr:col>11</xdr:col>
      <xdr:colOff>233047</xdr:colOff>
      <xdr:row>86</xdr:row>
      <xdr:rowOff>28574</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2233085" y="1378902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3088746" y="13576834"/>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2374903" y="13542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5511803" y="13495864"/>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6452661" y="134948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19977" y="13499040"/>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846110" y="127857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823886" y="127582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5423959" y="128852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369361</xdr:colOff>
      <xdr:row>84</xdr:row>
      <xdr:rowOff>117476</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4052361" y="13547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900082" y="13594291"/>
          <a:ext cx="280459" cy="727497"/>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20" t="s">
        <v>728</v>
      </c>
      <c r="B1" s="921"/>
      <c r="C1" s="920"/>
      <c r="D1" s="922"/>
      <c r="E1" s="921"/>
      <c r="F1" s="923" t="s">
        <v>595</v>
      </c>
      <c r="G1" s="1017" t="s">
        <v>956</v>
      </c>
      <c r="H1" s="1018"/>
      <c r="I1" s="1014" t="s">
        <v>987</v>
      </c>
      <c r="J1" s="1015"/>
      <c r="K1" s="1015"/>
      <c r="L1" s="1015"/>
      <c r="M1" s="1016"/>
      <c r="N1" s="588"/>
      <c r="O1" s="127"/>
      <c r="P1" s="127"/>
    </row>
    <row r="2" spans="1:16" ht="25">
      <c r="A2" s="52"/>
      <c r="B2" s="57" t="s">
        <v>489</v>
      </c>
      <c r="C2" s="53"/>
      <c r="D2" s="53"/>
      <c r="E2" s="53"/>
      <c r="F2" s="56" t="s">
        <v>967</v>
      </c>
      <c r="G2" s="54"/>
      <c r="H2" s="55"/>
      <c r="I2" s="55"/>
      <c r="J2" s="55"/>
      <c r="K2" s="55"/>
      <c r="L2" s="55"/>
      <c r="M2" s="55"/>
      <c r="N2" s="44"/>
      <c r="O2" s="44"/>
      <c r="P2" s="44"/>
    </row>
    <row r="3" spans="1:16" ht="25">
      <c r="A3" s="52"/>
      <c r="B3" s="57" t="s">
        <v>846</v>
      </c>
      <c r="C3" s="53"/>
      <c r="D3" s="53"/>
      <c r="E3" s="53"/>
      <c r="F3" s="56" t="s">
        <v>966</v>
      </c>
      <c r="G3" s="54"/>
      <c r="H3" s="55"/>
      <c r="I3" s="55"/>
      <c r="J3" s="55"/>
      <c r="K3" s="55"/>
      <c r="L3" s="55"/>
      <c r="M3" s="55"/>
      <c r="N3" s="44"/>
      <c r="O3" s="44"/>
      <c r="P3" s="44"/>
    </row>
    <row r="4" spans="1:16" ht="13">
      <c r="A4" s="1" t="s">
        <v>959</v>
      </c>
      <c r="B4" s="2"/>
      <c r="C4" s="2"/>
      <c r="D4" s="2"/>
      <c r="E4" s="2"/>
      <c r="F4" s="2"/>
      <c r="G4" s="2"/>
      <c r="H4" s="2"/>
      <c r="I4" s="2"/>
      <c r="J4" s="2"/>
      <c r="K4" s="2"/>
      <c r="L4" s="2"/>
      <c r="M4" s="2"/>
      <c r="N4" s="2"/>
      <c r="O4" s="2"/>
      <c r="P4" s="2"/>
    </row>
    <row r="5" spans="1:16" ht="13">
      <c r="A5" s="3"/>
      <c r="B5" s="3"/>
      <c r="C5" s="3"/>
      <c r="D5" s="3"/>
      <c r="E5" s="3"/>
      <c r="F5" s="3"/>
      <c r="G5" s="589" t="s">
        <v>596</v>
      </c>
      <c r="H5" s="589"/>
      <c r="I5" s="4" t="s">
        <v>728</v>
      </c>
      <c r="J5" s="3"/>
      <c r="K5" s="3"/>
      <c r="L5" s="3"/>
      <c r="M5" s="3"/>
      <c r="N5" s="3"/>
      <c r="O5" s="3"/>
      <c r="P5" s="3"/>
    </row>
    <row r="6" spans="1:16" ht="13" thickBot="1">
      <c r="A6" s="3"/>
      <c r="B6" s="583" t="s">
        <v>589</v>
      </c>
      <c r="C6" s="3"/>
      <c r="D6" s="3"/>
      <c r="E6" s="3"/>
      <c r="F6" s="3" t="s">
        <v>723</v>
      </c>
      <c r="G6" s="3"/>
      <c r="H6" s="3"/>
      <c r="I6" s="3"/>
      <c r="J6" s="3"/>
      <c r="K6" s="349" t="s">
        <v>603</v>
      </c>
      <c r="L6" s="3"/>
      <c r="M6" s="3"/>
      <c r="N6" s="3"/>
      <c r="O6" s="3"/>
      <c r="P6" s="3"/>
    </row>
    <row r="7" spans="1:16" ht="16" thickBot="1">
      <c r="A7" s="3"/>
      <c r="B7" s="3"/>
      <c r="C7" s="3"/>
      <c r="D7" s="4" t="s">
        <v>841</v>
      </c>
      <c r="E7" s="3"/>
      <c r="F7" s="934" t="s">
        <v>964</v>
      </c>
      <c r="G7" s="3"/>
      <c r="H7" s="3"/>
      <c r="I7" s="35"/>
      <c r="J7" s="3"/>
      <c r="K7" s="3" t="s">
        <v>597</v>
      </c>
      <c r="L7" s="3"/>
      <c r="M7" s="3"/>
      <c r="N7" s="3"/>
      <c r="O7" s="3"/>
      <c r="P7" s="3"/>
    </row>
    <row r="8" spans="1:16" ht="15.5">
      <c r="A8" s="3"/>
      <c r="B8" s="3"/>
      <c r="C8" s="3"/>
      <c r="D8" s="3"/>
      <c r="E8" s="3"/>
      <c r="F8" s="6"/>
      <c r="G8" s="3"/>
      <c r="H8" s="3"/>
      <c r="I8" s="3"/>
      <c r="J8" s="3"/>
      <c r="K8" s="3"/>
      <c r="L8" s="3"/>
      <c r="M8" s="3"/>
      <c r="N8" s="3"/>
      <c r="O8" s="3"/>
      <c r="P8" s="3"/>
    </row>
    <row r="9" spans="1:16" ht="13" thickBot="1">
      <c r="A9" s="3"/>
      <c r="B9" s="349" t="s">
        <v>590</v>
      </c>
      <c r="C9" s="3"/>
      <c r="D9" s="3"/>
      <c r="E9" s="3"/>
      <c r="F9" s="12" t="s">
        <v>724</v>
      </c>
      <c r="G9" s="3"/>
      <c r="H9" s="3"/>
      <c r="I9" s="3"/>
      <c r="J9" s="3"/>
      <c r="K9" s="3"/>
      <c r="L9" s="3"/>
      <c r="M9" s="3"/>
      <c r="N9" s="3"/>
      <c r="O9" s="3"/>
      <c r="P9" s="3"/>
    </row>
    <row r="10" spans="1:16" ht="16" thickBot="1">
      <c r="A10" s="3"/>
      <c r="B10" s="3"/>
      <c r="C10" s="3"/>
      <c r="D10" s="4" t="s">
        <v>842</v>
      </c>
      <c r="E10" s="3"/>
      <c r="F10" s="933" t="s">
        <v>963</v>
      </c>
      <c r="G10" s="3"/>
      <c r="H10" s="3"/>
      <c r="I10" s="35"/>
      <c r="J10" s="3"/>
      <c r="K10" s="585" t="s">
        <v>598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6" t="s">
        <v>728</v>
      </c>
      <c r="O12" s="102"/>
      <c r="P12" s="101"/>
    </row>
    <row r="13" spans="1:16" ht="15.5">
      <c r="A13" s="3"/>
      <c r="B13" s="349" t="s">
        <v>591</v>
      </c>
      <c r="C13" s="3"/>
      <c r="D13" s="4" t="s">
        <v>725</v>
      </c>
      <c r="E13" s="3"/>
      <c r="F13" s="929" t="s">
        <v>961</v>
      </c>
      <c r="G13" s="3"/>
      <c r="H13" s="3"/>
      <c r="I13" s="3"/>
      <c r="J13" s="3"/>
      <c r="K13" s="3"/>
      <c r="L13" s="3"/>
      <c r="M13" s="3"/>
      <c r="N13" s="101" t="s">
        <v>728</v>
      </c>
      <c r="O13" s="3"/>
      <c r="P13" s="3"/>
    </row>
    <row r="14" spans="1:16" ht="16" thickBot="1">
      <c r="A14" s="3"/>
      <c r="B14" s="3"/>
      <c r="C14" s="3"/>
      <c r="D14" s="3"/>
      <c r="E14" s="3"/>
      <c r="F14" s="930" t="s">
        <v>533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4" t="s">
        <v>592</v>
      </c>
      <c r="C16" s="3"/>
      <c r="D16" s="4" t="s">
        <v>844</v>
      </c>
      <c r="E16" s="3"/>
      <c r="F16" s="931" t="s">
        <v>962</v>
      </c>
      <c r="G16" s="3"/>
      <c r="H16" s="3"/>
      <c r="I16" s="3"/>
      <c r="J16" s="3"/>
      <c r="K16" s="3"/>
      <c r="L16" s="3"/>
      <c r="M16" s="3"/>
      <c r="N16" s="3"/>
      <c r="O16" s="3"/>
      <c r="P16" s="3"/>
    </row>
    <row r="17" spans="1:16" ht="16" thickBot="1">
      <c r="A17" s="3"/>
      <c r="B17" s="3"/>
      <c r="C17" s="3"/>
      <c r="D17" s="4" t="s">
        <v>843</v>
      </c>
      <c r="E17" s="3"/>
      <c r="F17" s="932" t="s">
        <v>965</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593</v>
      </c>
      <c r="C20" s="3"/>
      <c r="D20" s="4" t="s">
        <v>726</v>
      </c>
      <c r="E20" s="3"/>
      <c r="F20" s="5" t="s">
        <v>1024</v>
      </c>
      <c r="G20" s="3"/>
      <c r="H20" s="3"/>
      <c r="I20" s="35" t="s">
        <v>728</v>
      </c>
      <c r="J20" s="3"/>
      <c r="K20" s="3" t="s">
        <v>602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727</v>
      </c>
      <c r="E23" s="3"/>
      <c r="F23" s="934" t="s">
        <v>1057</v>
      </c>
      <c r="G23" s="3" t="s">
        <v>728</v>
      </c>
      <c r="H23" s="3"/>
      <c r="I23" s="587"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7" t="s">
        <v>605</v>
      </c>
      <c r="J24" s="3"/>
      <c r="K24" s="3"/>
      <c r="L24" s="3"/>
      <c r="M24" s="3"/>
      <c r="N24" s="3"/>
      <c r="O24" s="3"/>
      <c r="P24" s="3"/>
    </row>
    <row r="25" spans="1:16" ht="13" thickBot="1">
      <c r="A25" s="3"/>
      <c r="B25" s="349" t="s">
        <v>594</v>
      </c>
      <c r="C25" s="3"/>
      <c r="D25" s="3"/>
      <c r="E25" s="3"/>
      <c r="F25" s="8"/>
      <c r="G25" s="3"/>
      <c r="H25" s="3"/>
      <c r="I25" s="677" t="s">
        <v>604</v>
      </c>
      <c r="J25" s="3"/>
      <c r="K25" s="3"/>
      <c r="L25" s="3"/>
      <c r="M25" s="3"/>
      <c r="N25" s="3"/>
      <c r="O25" s="3"/>
      <c r="P25" s="3"/>
    </row>
    <row r="26" spans="1:16" ht="16" thickBot="1">
      <c r="A26" s="3"/>
      <c r="B26" s="3"/>
      <c r="C26" s="3"/>
      <c r="D26" s="4" t="s">
        <v>851</v>
      </c>
      <c r="E26" s="3"/>
      <c r="F26" s="934" t="s">
        <v>1057</v>
      </c>
      <c r="G26" s="3"/>
      <c r="H26" s="3"/>
      <c r="I26" s="3"/>
      <c r="J26" s="496"/>
      <c r="K26" s="349" t="s">
        <v>617</v>
      </c>
      <c r="L26" s="3"/>
      <c r="M26" s="3"/>
      <c r="N26" s="3"/>
      <c r="O26" s="3"/>
      <c r="P26" s="3"/>
    </row>
    <row r="27" spans="1:16" ht="13">
      <c r="A27" s="3"/>
      <c r="B27" s="3"/>
      <c r="C27" s="3"/>
      <c r="D27" s="4" t="s">
        <v>845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5" t="str">
        <f>'Title Page'!F3</f>
        <v>OreSat - CS0</v>
      </c>
      <c r="I1" s="127"/>
      <c r="J1" s="127"/>
      <c r="K1" s="127"/>
      <c r="L1" s="127"/>
      <c r="M1" s="642" t="str">
        <f>'Title Page'!F23</f>
        <v>2019 May 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6" t="s">
        <v>10</v>
      </c>
      <c r="C3" s="417"/>
      <c r="D3" s="417"/>
      <c r="E3" s="418"/>
      <c r="F3" s="233"/>
      <c r="G3" s="233"/>
      <c r="H3" s="400" t="s">
        <v>294</v>
      </c>
      <c r="I3" s="400"/>
      <c r="J3" s="400"/>
      <c r="K3" s="400"/>
      <c r="L3" s="400"/>
      <c r="M3" s="400"/>
      <c r="N3" s="400"/>
      <c r="O3" s="400"/>
      <c r="P3" s="233"/>
      <c r="Q3" s="233"/>
    </row>
    <row r="4" spans="1:20">
      <c r="A4" s="233"/>
      <c r="B4" s="611" t="s">
        <v>287</v>
      </c>
      <c r="C4" s="612"/>
      <c r="D4" s="101"/>
      <c r="E4" s="238"/>
      <c r="F4" s="233"/>
      <c r="G4" s="233"/>
      <c r="H4" s="233"/>
      <c r="I4" s="233"/>
      <c r="J4" s="233"/>
      <c r="K4" s="233"/>
      <c r="L4" s="233"/>
      <c r="M4" s="233"/>
      <c r="N4" s="233"/>
      <c r="O4" s="233"/>
      <c r="P4" s="233"/>
      <c r="Q4" s="233"/>
    </row>
    <row r="5" spans="1:20" ht="13">
      <c r="A5" s="233"/>
      <c r="B5" s="613" t="s">
        <v>2</v>
      </c>
      <c r="C5" s="614"/>
      <c r="D5" s="615" t="s">
        <v>3</v>
      </c>
      <c r="E5" s="616" t="s">
        <v>731</v>
      </c>
      <c r="F5" s="233"/>
      <c r="G5" s="233"/>
      <c r="H5" s="233"/>
      <c r="I5" s="233"/>
      <c r="J5" s="233"/>
      <c r="K5" s="233"/>
      <c r="L5" s="233"/>
      <c r="M5" s="233"/>
      <c r="N5" s="233"/>
      <c r="O5" s="233"/>
      <c r="P5" s="233"/>
      <c r="Q5" s="233"/>
    </row>
    <row r="6" spans="1:20">
      <c r="A6" s="233"/>
      <c r="B6" s="411">
        <v>0</v>
      </c>
      <c r="C6" s="101" t="s">
        <v>4</v>
      </c>
      <c r="D6" s="31">
        <v>10.199999999999999</v>
      </c>
      <c r="E6" s="238" t="s">
        <v>770</v>
      </c>
      <c r="F6" s="233"/>
      <c r="G6" s="233" t="s">
        <v>5</v>
      </c>
      <c r="H6" s="233"/>
      <c r="I6" s="233"/>
      <c r="J6" s="233"/>
      <c r="K6" s="233"/>
      <c r="L6" s="233"/>
      <c r="M6" s="233"/>
      <c r="N6" s="233"/>
      <c r="O6" s="233"/>
      <c r="P6" s="233"/>
      <c r="Q6" s="233"/>
    </row>
    <row r="7" spans="1:20">
      <c r="A7" s="233"/>
      <c r="B7" s="411"/>
      <c r="C7" s="101"/>
      <c r="D7" s="31"/>
      <c r="E7" s="238"/>
      <c r="F7" s="233"/>
      <c r="G7" s="233" t="s">
        <v>6</v>
      </c>
      <c r="H7" s="233"/>
      <c r="I7" s="233"/>
      <c r="J7" s="233"/>
      <c r="K7" s="233"/>
      <c r="L7" s="233"/>
      <c r="M7" s="233"/>
      <c r="N7" s="233"/>
      <c r="O7" s="233"/>
      <c r="P7" s="233"/>
      <c r="Q7" s="233"/>
    </row>
    <row r="8" spans="1:20">
      <c r="A8" s="233"/>
      <c r="B8" s="411">
        <v>2.5</v>
      </c>
      <c r="C8" s="101" t="s">
        <v>4</v>
      </c>
      <c r="D8" s="31">
        <v>4.5999999999999996</v>
      </c>
      <c r="E8" s="238" t="s">
        <v>770</v>
      </c>
      <c r="F8" s="233"/>
      <c r="G8" s="233" t="s">
        <v>34</v>
      </c>
      <c r="H8" s="233"/>
      <c r="I8" s="233"/>
      <c r="J8" s="233"/>
      <c r="K8" s="233"/>
      <c r="L8" s="233"/>
      <c r="M8" s="233"/>
      <c r="N8" s="233"/>
      <c r="O8" s="233"/>
      <c r="P8" s="233"/>
      <c r="Q8" s="233"/>
    </row>
    <row r="9" spans="1:20">
      <c r="A9" s="233"/>
      <c r="B9" s="411"/>
      <c r="C9" s="101"/>
      <c r="D9" s="31"/>
      <c r="E9" s="238"/>
      <c r="F9" s="233"/>
      <c r="G9" s="233" t="s">
        <v>7</v>
      </c>
      <c r="H9" s="233"/>
      <c r="I9" s="233"/>
      <c r="J9" s="233"/>
      <c r="K9" s="233"/>
      <c r="L9" s="233"/>
      <c r="M9" s="233"/>
      <c r="N9" s="233"/>
      <c r="O9" s="233"/>
      <c r="P9" s="233"/>
      <c r="Q9" s="233"/>
    </row>
    <row r="10" spans="1:20">
      <c r="A10" s="233"/>
      <c r="B10" s="411">
        <v>5</v>
      </c>
      <c r="C10" s="101" t="s">
        <v>4</v>
      </c>
      <c r="D10" s="31">
        <v>2.1</v>
      </c>
      <c r="E10" s="238" t="s">
        <v>770</v>
      </c>
      <c r="F10" s="233"/>
      <c r="G10" s="233" t="s">
        <v>8</v>
      </c>
      <c r="H10" s="233"/>
      <c r="I10" s="233"/>
      <c r="J10" s="233"/>
      <c r="K10" s="233"/>
      <c r="L10" s="233"/>
      <c r="M10" s="233"/>
      <c r="N10" s="233"/>
      <c r="O10" s="233"/>
      <c r="P10" s="233"/>
      <c r="Q10" s="233"/>
    </row>
    <row r="11" spans="1:20">
      <c r="A11" s="233"/>
      <c r="B11" s="411"/>
      <c r="C11" s="101"/>
      <c r="D11" s="31"/>
      <c r="E11" s="238"/>
      <c r="F11" s="233"/>
      <c r="G11" s="233"/>
      <c r="H11" s="233"/>
      <c r="I11" s="233"/>
      <c r="J11" s="233"/>
      <c r="K11" s="233"/>
      <c r="L11" s="233"/>
      <c r="M11" s="233"/>
      <c r="N11" s="233"/>
      <c r="O11" s="233"/>
      <c r="P11" s="233"/>
      <c r="Q11" s="233"/>
    </row>
    <row r="12" spans="1:20">
      <c r="A12" s="233"/>
      <c r="B12" s="411">
        <v>10</v>
      </c>
      <c r="C12" s="101" t="s">
        <v>4</v>
      </c>
      <c r="D12" s="31">
        <v>1.1000000000000001</v>
      </c>
      <c r="E12" s="238" t="s">
        <v>770</v>
      </c>
      <c r="F12" s="233"/>
      <c r="G12" s="233" t="s">
        <v>9</v>
      </c>
      <c r="H12" s="233"/>
      <c r="I12" s="233"/>
      <c r="J12" s="233"/>
      <c r="K12" s="233"/>
      <c r="L12" s="233"/>
      <c r="M12" s="233"/>
      <c r="N12" s="233"/>
      <c r="O12" s="233"/>
      <c r="P12" s="233"/>
      <c r="Q12" s="233"/>
    </row>
    <row r="13" spans="1:20">
      <c r="A13" s="233"/>
      <c r="B13" s="411"/>
      <c r="C13" s="101"/>
      <c r="D13" s="31"/>
      <c r="E13" s="238"/>
      <c r="F13" s="233"/>
      <c r="G13" s="233" t="s">
        <v>362</v>
      </c>
      <c r="H13" s="233"/>
      <c r="I13" s="233"/>
      <c r="J13" s="233"/>
      <c r="K13" s="233"/>
      <c r="L13" s="233"/>
      <c r="M13" s="233"/>
      <c r="N13" s="233"/>
      <c r="O13" s="233"/>
      <c r="P13" s="233"/>
      <c r="Q13" s="233"/>
    </row>
    <row r="14" spans="1:20">
      <c r="A14" s="233"/>
      <c r="B14" s="411">
        <v>30</v>
      </c>
      <c r="C14" s="101" t="s">
        <v>4</v>
      </c>
      <c r="D14" s="31">
        <v>0.4</v>
      </c>
      <c r="E14" s="238" t="s">
        <v>770</v>
      </c>
      <c r="F14" s="233"/>
      <c r="G14" s="233" t="s">
        <v>300</v>
      </c>
      <c r="H14" s="233"/>
      <c r="I14" s="233"/>
      <c r="J14" s="233"/>
      <c r="K14" s="233"/>
      <c r="L14" s="233"/>
      <c r="M14" s="233"/>
      <c r="N14" s="233"/>
      <c r="O14" s="233"/>
      <c r="P14" s="233"/>
      <c r="Q14" s="233"/>
    </row>
    <row r="15" spans="1:20">
      <c r="A15" s="233"/>
      <c r="B15" s="411"/>
      <c r="C15" s="101"/>
      <c r="D15" s="31"/>
      <c r="E15" s="238"/>
      <c r="F15" s="233"/>
      <c r="G15" s="233"/>
      <c r="H15" s="233"/>
      <c r="I15" s="233"/>
      <c r="J15" s="233"/>
      <c r="K15" s="233"/>
      <c r="L15" s="233"/>
      <c r="M15" s="233"/>
      <c r="N15" s="233"/>
      <c r="O15" s="233"/>
      <c r="P15" s="233"/>
      <c r="Q15" s="233"/>
    </row>
    <row r="16" spans="1:20" ht="13">
      <c r="A16" s="233"/>
      <c r="B16" s="411">
        <v>45</v>
      </c>
      <c r="C16" s="101" t="s">
        <v>4</v>
      </c>
      <c r="D16" s="31">
        <v>0.3</v>
      </c>
      <c r="E16" s="238" t="s">
        <v>770</v>
      </c>
      <c r="F16" s="233"/>
      <c r="G16" s="233" t="s">
        <v>35</v>
      </c>
      <c r="H16" s="233"/>
      <c r="I16" s="233"/>
      <c r="J16" s="233"/>
      <c r="K16" s="233"/>
      <c r="L16" s="233"/>
      <c r="M16" s="233"/>
      <c r="N16" s="233"/>
      <c r="O16" s="233"/>
      <c r="P16" s="233"/>
      <c r="Q16" s="233"/>
    </row>
    <row r="17" spans="1:17">
      <c r="A17" s="233"/>
      <c r="B17" s="411"/>
      <c r="C17" s="101"/>
      <c r="D17" s="31"/>
      <c r="E17" s="238"/>
      <c r="F17" s="233"/>
      <c r="G17" s="233" t="s">
        <v>19</v>
      </c>
      <c r="H17" s="233"/>
      <c r="I17" s="233"/>
      <c r="J17" s="233"/>
      <c r="K17" s="233"/>
      <c r="L17" s="233"/>
      <c r="M17" s="233"/>
      <c r="N17" s="233"/>
      <c r="O17" s="233"/>
      <c r="P17" s="233"/>
      <c r="Q17" s="233"/>
    </row>
    <row r="18" spans="1:17">
      <c r="A18" s="233"/>
      <c r="B18" s="411">
        <v>90</v>
      </c>
      <c r="C18" s="101" t="s">
        <v>4</v>
      </c>
      <c r="D18" s="414">
        <v>0</v>
      </c>
      <c r="E18" s="238" t="s">
        <v>770</v>
      </c>
      <c r="F18" s="233"/>
      <c r="G18" s="233"/>
      <c r="H18" s="233"/>
      <c r="I18" s="233"/>
      <c r="J18" s="233"/>
      <c r="K18" s="233"/>
      <c r="L18" s="233"/>
      <c r="M18" s="233"/>
      <c r="N18" s="233"/>
      <c r="O18" s="233"/>
      <c r="P18" s="233"/>
      <c r="Q18" s="233"/>
    </row>
    <row r="19" spans="1:17">
      <c r="A19" s="233"/>
      <c r="B19" s="411"/>
      <c r="C19" s="101"/>
      <c r="D19" s="101"/>
      <c r="E19" s="238"/>
      <c r="F19" s="233"/>
      <c r="G19" s="233" t="s">
        <v>16</v>
      </c>
      <c r="H19" s="233"/>
      <c r="I19" s="233"/>
      <c r="J19" s="233"/>
      <c r="K19" s="233"/>
      <c r="L19" s="233"/>
      <c r="M19" s="233"/>
      <c r="N19" s="233"/>
      <c r="O19" s="233"/>
      <c r="P19" s="233"/>
      <c r="Q19" s="233"/>
    </row>
    <row r="20" spans="1:17" ht="13" thickBot="1">
      <c r="A20" s="233"/>
      <c r="B20" s="411"/>
      <c r="C20" s="101"/>
      <c r="D20" s="101"/>
      <c r="E20" s="238"/>
      <c r="F20" s="233"/>
      <c r="G20" s="233" t="s">
        <v>17</v>
      </c>
      <c r="H20" s="233"/>
      <c r="I20" s="233"/>
      <c r="J20" s="233"/>
      <c r="K20" s="233"/>
      <c r="L20" s="233"/>
      <c r="M20" s="233"/>
      <c r="N20" s="233"/>
      <c r="O20" s="233"/>
      <c r="P20" s="233"/>
      <c r="Q20" s="233"/>
    </row>
    <row r="21" spans="1:17" ht="13.5" thickBot="1">
      <c r="A21" s="233"/>
      <c r="B21" s="411" t="s">
        <v>11</v>
      </c>
      <c r="C21" s="101"/>
      <c r="D21" s="874">
        <v>10</v>
      </c>
      <c r="E21" s="101" t="s">
        <v>12</v>
      </c>
      <c r="F21" s="873" t="s">
        <v>140</v>
      </c>
      <c r="G21" s="233"/>
      <c r="H21" s="233"/>
      <c r="I21" s="233"/>
      <c r="J21" s="233"/>
      <c r="K21" s="233"/>
      <c r="L21" s="233"/>
      <c r="M21" s="233"/>
      <c r="N21" s="233"/>
      <c r="O21" s="233"/>
      <c r="P21" s="233"/>
      <c r="Q21" s="233"/>
    </row>
    <row r="22" spans="1:17">
      <c r="A22" s="233"/>
      <c r="B22" s="411"/>
      <c r="C22" s="101"/>
      <c r="D22" s="101"/>
      <c r="E22" s="238"/>
      <c r="F22" s="233"/>
      <c r="G22" s="233" t="s">
        <v>168</v>
      </c>
      <c r="H22" s="233"/>
      <c r="I22" s="233"/>
      <c r="J22" s="233"/>
      <c r="K22" s="233"/>
      <c r="L22" s="233"/>
      <c r="M22" s="233"/>
      <c r="N22" s="233"/>
      <c r="O22" s="233"/>
      <c r="P22" s="233"/>
      <c r="Q22" s="233"/>
    </row>
    <row r="23" spans="1:17">
      <c r="A23" s="233"/>
      <c r="B23" s="411" t="s">
        <v>13</v>
      </c>
      <c r="C23" s="101"/>
      <c r="D23" s="132">
        <f>IF(D21&lt;B8,4.6,INDEX(D6:D18,MATCH(D21,B6:B18,1),1))</f>
        <v>1.1000000000000001</v>
      </c>
      <c r="E23" s="238" t="s">
        <v>770</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295</v>
      </c>
      <c r="I26" s="233"/>
      <c r="J26" s="233"/>
      <c r="K26" s="233"/>
      <c r="L26" s="233"/>
      <c r="M26" s="233"/>
      <c r="N26" s="233"/>
      <c r="O26" s="233"/>
      <c r="P26" s="233"/>
      <c r="Q26" s="233"/>
    </row>
    <row r="27" spans="1:17">
      <c r="A27" s="233"/>
      <c r="B27" s="233"/>
      <c r="C27" s="233"/>
      <c r="D27" s="233" t="s">
        <v>728</v>
      </c>
      <c r="E27" s="233"/>
      <c r="F27" s="233"/>
      <c r="G27" s="233"/>
      <c r="H27" s="233"/>
      <c r="I27" s="233"/>
      <c r="J27" s="233"/>
      <c r="K27" s="233"/>
      <c r="L27" s="233"/>
      <c r="M27" s="233"/>
      <c r="N27" s="233"/>
      <c r="O27" s="233"/>
      <c r="P27" s="233"/>
      <c r="Q27" s="233"/>
    </row>
    <row r="28" spans="1:17" ht="13">
      <c r="A28" s="233"/>
      <c r="B28" s="416" t="s">
        <v>18</v>
      </c>
      <c r="C28" s="419"/>
      <c r="D28" s="419"/>
      <c r="E28" s="418"/>
      <c r="F28" s="233"/>
      <c r="G28" s="233" t="s">
        <v>148</v>
      </c>
      <c r="H28" s="233"/>
      <c r="I28" s="233"/>
      <c r="J28" s="233"/>
      <c r="K28" s="233"/>
      <c r="L28" s="233"/>
      <c r="M28" s="233"/>
      <c r="N28" s="233"/>
      <c r="O28" s="233"/>
      <c r="P28" s="233"/>
      <c r="Q28" s="233"/>
    </row>
    <row r="29" spans="1:17">
      <c r="A29" s="233"/>
      <c r="B29" s="620" t="s">
        <v>771</v>
      </c>
      <c r="C29" s="101" t="s">
        <v>292</v>
      </c>
      <c r="D29" s="101"/>
      <c r="E29" s="617">
        <f>'Uplink Budget'!B17</f>
        <v>0.2</v>
      </c>
      <c r="F29" s="233"/>
      <c r="G29" s="234" t="s">
        <v>20</v>
      </c>
      <c r="H29" s="233"/>
      <c r="I29" s="233"/>
      <c r="J29" s="233"/>
      <c r="K29" s="233"/>
      <c r="L29" s="233"/>
      <c r="M29" s="233"/>
      <c r="N29" s="233"/>
      <c r="O29" s="233"/>
      <c r="P29" s="233"/>
      <c r="Q29" s="233"/>
    </row>
    <row r="30" spans="1:17" ht="13">
      <c r="A30" s="86"/>
      <c r="B30" s="619" t="s">
        <v>766</v>
      </c>
      <c r="C30" s="615" t="s">
        <v>731</v>
      </c>
      <c r="D30" s="615" t="s">
        <v>3</v>
      </c>
      <c r="E30" s="616" t="s">
        <v>731</v>
      </c>
      <c r="F30" s="233"/>
      <c r="G30" s="233" t="s">
        <v>21</v>
      </c>
      <c r="H30" s="233"/>
      <c r="I30" s="233"/>
      <c r="J30" s="233"/>
      <c r="K30" s="233"/>
      <c r="L30" s="233"/>
      <c r="M30" s="233"/>
      <c r="N30" s="233"/>
      <c r="O30" s="233"/>
      <c r="P30" s="233"/>
      <c r="Q30" s="233"/>
    </row>
    <row r="31" spans="1:17">
      <c r="A31" s="233"/>
      <c r="B31" s="411"/>
      <c r="C31" s="101"/>
      <c r="D31" s="101"/>
      <c r="E31" s="238"/>
      <c r="F31" s="233"/>
      <c r="G31" s="233" t="s">
        <v>24</v>
      </c>
      <c r="H31" s="233"/>
      <c r="I31" s="233"/>
      <c r="J31" s="233"/>
      <c r="K31" s="233"/>
      <c r="L31" s="233"/>
      <c r="M31" s="233"/>
      <c r="N31" s="233"/>
      <c r="O31" s="233"/>
      <c r="P31" s="233"/>
      <c r="Q31" s="233"/>
    </row>
    <row r="32" spans="1:17">
      <c r="A32" s="233"/>
      <c r="B32" s="122">
        <v>146</v>
      </c>
      <c r="C32" s="123" t="s">
        <v>767</v>
      </c>
      <c r="D32" s="410">
        <v>0.7</v>
      </c>
      <c r="E32" s="124" t="s">
        <v>770</v>
      </c>
      <c r="F32" s="233"/>
      <c r="G32" s="233" t="s">
        <v>25</v>
      </c>
      <c r="H32" s="233"/>
      <c r="I32" s="233"/>
      <c r="J32" s="233"/>
      <c r="K32" s="233"/>
      <c r="L32" s="233"/>
      <c r="M32" s="233"/>
      <c r="N32" s="233"/>
      <c r="O32" s="233"/>
      <c r="P32" s="233"/>
      <c r="Q32" s="233"/>
    </row>
    <row r="33" spans="1:17">
      <c r="A33" s="233"/>
      <c r="B33" s="122">
        <v>438</v>
      </c>
      <c r="C33" s="123" t="s">
        <v>767</v>
      </c>
      <c r="D33" s="410">
        <v>0.4</v>
      </c>
      <c r="E33" s="124" t="s">
        <v>770</v>
      </c>
      <c r="F33" s="233"/>
      <c r="G33" s="233"/>
      <c r="H33" s="233"/>
      <c r="I33" s="233"/>
      <c r="J33" s="233"/>
      <c r="K33" s="233"/>
      <c r="L33" s="233"/>
      <c r="M33" s="233"/>
      <c r="N33" s="233"/>
      <c r="O33" s="233"/>
      <c r="P33" s="233"/>
      <c r="Q33" s="233"/>
    </row>
    <row r="34" spans="1:17" ht="13" thickBot="1">
      <c r="A34" s="233"/>
      <c r="B34" s="122">
        <v>2410</v>
      </c>
      <c r="C34" s="123" t="s">
        <v>767</v>
      </c>
      <c r="D34" s="871">
        <v>0.1</v>
      </c>
      <c r="E34" s="124" t="s">
        <v>770</v>
      </c>
      <c r="F34" s="233"/>
      <c r="G34" s="233" t="s">
        <v>198</v>
      </c>
      <c r="H34" s="233"/>
      <c r="I34" s="233"/>
      <c r="J34" s="233"/>
      <c r="K34" s="233"/>
      <c r="L34" s="233"/>
      <c r="M34" s="233"/>
      <c r="N34" s="233"/>
      <c r="O34" s="233"/>
      <c r="P34" s="233"/>
      <c r="Q34" s="233"/>
    </row>
    <row r="35" spans="1:17" ht="13" thickBot="1">
      <c r="A35" s="233"/>
      <c r="B35" s="421">
        <f>Frequency!C13</f>
        <v>1265</v>
      </c>
      <c r="C35" s="422" t="s">
        <v>767</v>
      </c>
      <c r="D35" s="872">
        <v>0.2</v>
      </c>
      <c r="E35" s="124" t="s">
        <v>770</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301</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253</v>
      </c>
      <c r="H40" s="233"/>
      <c r="I40" s="233"/>
      <c r="J40" s="233"/>
      <c r="K40" s="233"/>
      <c r="L40" s="233"/>
      <c r="M40" s="233"/>
      <c r="N40" s="233"/>
      <c r="O40" s="233"/>
      <c r="P40" s="233"/>
      <c r="Q40" s="233"/>
    </row>
    <row r="41" spans="1:17" ht="13">
      <c r="A41" s="233"/>
      <c r="B41" s="416" t="s">
        <v>18</v>
      </c>
      <c r="C41" s="419"/>
      <c r="D41" s="419"/>
      <c r="E41" s="418"/>
      <c r="F41" s="233"/>
      <c r="G41" s="233" t="s">
        <v>32</v>
      </c>
      <c r="H41" s="233"/>
      <c r="I41" s="233"/>
      <c r="J41" s="233"/>
      <c r="K41" s="233"/>
      <c r="L41" s="233"/>
      <c r="M41" s="233"/>
      <c r="N41" s="233"/>
      <c r="O41" s="233"/>
      <c r="P41" s="233"/>
      <c r="Q41" s="233"/>
    </row>
    <row r="42" spans="1:17">
      <c r="A42" s="233"/>
      <c r="B42" s="409" t="s">
        <v>772</v>
      </c>
      <c r="C42" s="101" t="s">
        <v>290</v>
      </c>
      <c r="D42" s="101"/>
      <c r="E42" s="420">
        <f>'Downlink Budget'!B17</f>
        <v>0.4</v>
      </c>
      <c r="F42" s="233"/>
      <c r="G42" s="233" t="s">
        <v>31</v>
      </c>
      <c r="H42" s="233"/>
      <c r="I42" s="233"/>
      <c r="J42" s="233"/>
      <c r="K42" s="233"/>
      <c r="L42" s="233"/>
      <c r="M42" s="233"/>
      <c r="N42" s="233"/>
      <c r="O42" s="233"/>
      <c r="P42" s="233"/>
      <c r="Q42" s="233"/>
    </row>
    <row r="43" spans="1:17" ht="13">
      <c r="A43" s="233"/>
      <c r="B43" s="133" t="s">
        <v>766</v>
      </c>
      <c r="C43" s="130" t="s">
        <v>731</v>
      </c>
      <c r="D43" s="130" t="s">
        <v>3</v>
      </c>
      <c r="E43" s="131" t="s">
        <v>731</v>
      </c>
      <c r="F43" s="233"/>
      <c r="G43" s="233" t="s">
        <v>33</v>
      </c>
      <c r="H43" s="233"/>
      <c r="I43" s="233"/>
      <c r="J43" s="233"/>
      <c r="K43" s="233"/>
      <c r="L43" s="233"/>
      <c r="M43" s="233"/>
      <c r="N43" s="233"/>
      <c r="O43" s="233"/>
      <c r="P43" s="233"/>
      <c r="Q43" s="233"/>
    </row>
    <row r="44" spans="1:17">
      <c r="A44" s="233"/>
      <c r="B44" s="411"/>
      <c r="C44" s="101"/>
      <c r="D44" s="101"/>
      <c r="E44" s="238"/>
      <c r="F44" s="233"/>
      <c r="G44" s="233"/>
      <c r="H44" s="233"/>
      <c r="I44" s="233"/>
      <c r="J44" s="233"/>
      <c r="K44" s="233"/>
      <c r="L44" s="233"/>
      <c r="M44" s="233"/>
      <c r="N44" s="233"/>
      <c r="O44" s="233"/>
      <c r="P44" s="233"/>
      <c r="Q44" s="233"/>
    </row>
    <row r="45" spans="1:17">
      <c r="A45" s="233"/>
      <c r="B45" s="122">
        <v>146</v>
      </c>
      <c r="C45" s="123" t="s">
        <v>767</v>
      </c>
      <c r="D45" s="412">
        <v>0.7</v>
      </c>
      <c r="E45" s="124" t="s">
        <v>770</v>
      </c>
      <c r="F45" s="233"/>
      <c r="G45" s="233" t="s">
        <v>289</v>
      </c>
      <c r="H45" s="233"/>
      <c r="I45" s="233"/>
      <c r="J45" s="233"/>
      <c r="K45" s="233"/>
      <c r="L45" s="233"/>
      <c r="M45" s="233"/>
      <c r="N45" s="233"/>
      <c r="O45" s="233"/>
      <c r="P45" s="233"/>
      <c r="Q45" s="233"/>
    </row>
    <row r="46" spans="1:17">
      <c r="A46" s="233"/>
      <c r="B46" s="122">
        <v>438</v>
      </c>
      <c r="C46" s="123" t="s">
        <v>767</v>
      </c>
      <c r="D46" s="412">
        <v>0.4</v>
      </c>
      <c r="E46" s="124" t="s">
        <v>770</v>
      </c>
      <c r="F46" s="233"/>
      <c r="G46" s="233" t="s">
        <v>363</v>
      </c>
      <c r="H46" s="233"/>
      <c r="I46" s="233"/>
      <c r="J46" s="233"/>
      <c r="K46" s="233"/>
      <c r="L46" s="233"/>
      <c r="M46" s="233"/>
      <c r="N46" s="233"/>
      <c r="O46" s="233"/>
      <c r="P46" s="233"/>
      <c r="Q46" s="233"/>
    </row>
    <row r="47" spans="1:17">
      <c r="A47" s="233"/>
      <c r="B47" s="122">
        <v>2410</v>
      </c>
      <c r="C47" s="123" t="s">
        <v>767</v>
      </c>
      <c r="D47" s="412">
        <v>0.1</v>
      </c>
      <c r="E47" s="124" t="s">
        <v>770</v>
      </c>
      <c r="F47" s="233"/>
      <c r="G47" s="233" t="s">
        <v>291</v>
      </c>
      <c r="H47" s="233"/>
      <c r="I47" s="233"/>
      <c r="J47" s="233"/>
      <c r="K47" s="233"/>
      <c r="L47" s="233"/>
      <c r="M47" s="233"/>
      <c r="N47" s="233"/>
      <c r="O47" s="233"/>
      <c r="P47" s="233"/>
      <c r="Q47" s="233"/>
    </row>
    <row r="48" spans="1:17">
      <c r="A48" s="233"/>
      <c r="B48" s="421">
        <f>Frequency!C19</f>
        <v>436.5</v>
      </c>
      <c r="C48" s="422" t="s">
        <v>767</v>
      </c>
      <c r="D48" s="413">
        <v>0.4</v>
      </c>
      <c r="E48" s="124" t="s">
        <v>770</v>
      </c>
      <c r="F48" s="233"/>
      <c r="G48" s="233" t="s">
        <v>293</v>
      </c>
      <c r="H48" s="233"/>
      <c r="I48" s="233"/>
      <c r="J48" s="233"/>
      <c r="K48" s="233"/>
      <c r="L48" s="233"/>
      <c r="M48" s="233"/>
      <c r="N48" s="233"/>
      <c r="O48" s="233"/>
      <c r="P48" s="233"/>
      <c r="Q48" s="233"/>
    </row>
    <row r="49" spans="1:18">
      <c r="A49" s="233"/>
      <c r="B49" s="122"/>
      <c r="C49" s="123"/>
      <c r="D49" s="123"/>
      <c r="E49" s="124"/>
      <c r="F49" s="233"/>
      <c r="G49" s="233"/>
      <c r="H49" s="233" t="s">
        <v>728</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301</v>
      </c>
      <c r="C51" s="233"/>
      <c r="D51" s="233"/>
      <c r="E51" s="233"/>
      <c r="F51" s="233"/>
      <c r="G51" s="233" t="s">
        <v>610</v>
      </c>
      <c r="H51" s="233"/>
      <c r="I51" s="233"/>
      <c r="J51" s="233"/>
      <c r="K51" s="233"/>
      <c r="L51" s="233"/>
      <c r="M51" s="233"/>
      <c r="N51" s="233"/>
      <c r="O51" s="233"/>
      <c r="P51" s="233"/>
      <c r="Q51" s="233"/>
    </row>
    <row r="52" spans="1:18">
      <c r="A52" s="233"/>
      <c r="B52" s="233" t="s">
        <v>611</v>
      </c>
      <c r="C52" s="233"/>
      <c r="D52" s="233"/>
      <c r="E52" s="233"/>
      <c r="F52" s="233"/>
      <c r="G52" s="233"/>
      <c r="H52" s="233"/>
      <c r="I52" s="233"/>
      <c r="J52" s="233"/>
      <c r="K52" s="233"/>
      <c r="L52" s="233"/>
      <c r="M52" s="233"/>
      <c r="N52" s="233"/>
      <c r="O52" s="233"/>
      <c r="P52" s="233"/>
      <c r="Q52" s="233"/>
      <c r="R52" s="233"/>
    </row>
    <row r="53" spans="1:18">
      <c r="A53" s="233"/>
      <c r="B53" s="233" t="s">
        <v>612</v>
      </c>
      <c r="C53" s="233"/>
      <c r="D53" s="233"/>
      <c r="E53" s="233"/>
      <c r="F53" s="233"/>
      <c r="G53" s="233"/>
      <c r="H53" s="233"/>
      <c r="I53" s="233"/>
      <c r="J53" s="233"/>
      <c r="K53" s="233"/>
      <c r="L53" s="233"/>
      <c r="M53" s="233"/>
      <c r="N53" s="233"/>
      <c r="O53" s="233"/>
      <c r="P53" s="233"/>
      <c r="Q53" s="233"/>
      <c r="R53" s="233"/>
    </row>
    <row r="54" spans="1:18">
      <c r="A54" s="233"/>
      <c r="B54" s="233" t="s">
        <v>613</v>
      </c>
      <c r="C54" s="233"/>
      <c r="D54" s="233"/>
      <c r="E54" s="233"/>
      <c r="F54" s="233"/>
      <c r="G54" s="233"/>
      <c r="H54" s="233"/>
      <c r="I54" s="233"/>
      <c r="J54" s="233"/>
      <c r="K54" s="233"/>
      <c r="L54" s="233"/>
      <c r="M54" s="233"/>
      <c r="N54" s="233"/>
      <c r="O54" s="233"/>
      <c r="P54" s="233"/>
      <c r="Q54" s="233"/>
      <c r="R54" s="233"/>
    </row>
    <row r="55" spans="1:18">
      <c r="A55" s="233"/>
      <c r="B55" s="233" t="s">
        <v>614</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70"/>
      <c r="C75" s="870"/>
      <c r="D75" s="870"/>
      <c r="E75" s="870"/>
      <c r="F75" s="233"/>
      <c r="G75" s="233"/>
      <c r="H75" s="233"/>
      <c r="I75" s="233"/>
      <c r="J75" s="233"/>
      <c r="K75" s="233"/>
      <c r="L75" s="233"/>
      <c r="M75" s="233"/>
      <c r="N75" s="233"/>
      <c r="O75" s="233"/>
      <c r="P75" s="233"/>
      <c r="Q75" s="233"/>
      <c r="R75" s="233"/>
    </row>
    <row r="76" spans="1:18">
      <c r="A76" s="233"/>
      <c r="B76" s="870"/>
      <c r="C76" s="870"/>
      <c r="D76" s="870"/>
      <c r="E76" s="870"/>
      <c r="F76" s="233"/>
      <c r="G76" s="233"/>
      <c r="H76" s="233"/>
      <c r="I76" s="233"/>
      <c r="J76" s="233"/>
      <c r="K76" s="233"/>
      <c r="L76" s="233"/>
      <c r="M76" s="233"/>
      <c r="N76" s="233"/>
      <c r="O76" s="233"/>
      <c r="P76" s="233"/>
      <c r="Q76" s="233"/>
      <c r="R76" s="233"/>
    </row>
    <row r="77" spans="1:18">
      <c r="A77" s="233"/>
      <c r="B77" s="870"/>
      <c r="C77" s="870"/>
      <c r="D77" s="870"/>
      <c r="E77" s="870"/>
      <c r="F77" s="233"/>
      <c r="G77" s="233"/>
      <c r="H77" s="233"/>
      <c r="I77" s="233"/>
      <c r="J77" s="233"/>
      <c r="K77" s="233"/>
      <c r="L77" s="233"/>
      <c r="M77" s="233"/>
      <c r="N77" s="233"/>
      <c r="O77" s="233"/>
      <c r="P77" s="233"/>
      <c r="Q77" s="233"/>
      <c r="R77" s="233"/>
    </row>
    <row r="78" spans="1:18">
      <c r="A78" s="233"/>
      <c r="B78" s="870"/>
      <c r="C78" s="870"/>
      <c r="D78" s="870"/>
      <c r="E78" s="870"/>
      <c r="F78" s="233"/>
      <c r="G78" s="233"/>
      <c r="H78" s="233"/>
      <c r="I78" s="233"/>
      <c r="J78" s="233"/>
      <c r="K78" s="233"/>
      <c r="L78" s="233"/>
      <c r="M78" s="233"/>
      <c r="N78" s="233"/>
      <c r="O78" s="233"/>
      <c r="P78" s="233"/>
      <c r="Q78" s="233"/>
      <c r="R78" s="233"/>
    </row>
    <row r="79" spans="1:18">
      <c r="A79" s="233"/>
      <c r="B79" s="870"/>
      <c r="C79" s="870"/>
      <c r="D79" s="870"/>
      <c r="E79" s="870"/>
      <c r="F79" s="233"/>
      <c r="G79" s="233"/>
      <c r="H79" s="233"/>
      <c r="I79" s="233"/>
      <c r="J79" s="233"/>
      <c r="K79" s="233"/>
      <c r="L79" s="233"/>
      <c r="M79" s="233"/>
      <c r="N79" s="233"/>
      <c r="O79" s="233"/>
      <c r="P79" s="233"/>
      <c r="Q79" s="233"/>
      <c r="R79" s="233"/>
    </row>
    <row r="80" spans="1:18">
      <c r="A80" s="233"/>
      <c r="B80" s="870"/>
      <c r="C80" s="870"/>
      <c r="D80" s="870"/>
      <c r="E80" s="870"/>
      <c r="F80" s="233"/>
      <c r="G80" s="233"/>
      <c r="H80" s="233"/>
      <c r="I80" s="233"/>
      <c r="J80" s="233"/>
      <c r="K80" s="233"/>
      <c r="L80" s="233"/>
      <c r="M80" s="233"/>
      <c r="N80" s="233"/>
      <c r="O80" s="233"/>
      <c r="P80" s="233"/>
      <c r="Q80" s="233"/>
      <c r="R80" s="233"/>
    </row>
    <row r="81" spans="1:18">
      <c r="A81" s="233"/>
      <c r="B81" s="870"/>
      <c r="C81" s="870"/>
      <c r="D81" s="870"/>
      <c r="E81" s="870"/>
      <c r="F81" s="233"/>
      <c r="G81" s="233"/>
      <c r="H81" s="233"/>
      <c r="I81" s="233"/>
      <c r="J81" s="233"/>
      <c r="K81" s="233"/>
      <c r="L81" s="233"/>
      <c r="M81" s="233"/>
      <c r="N81" s="233"/>
      <c r="O81" s="233"/>
      <c r="P81" s="233"/>
      <c r="Q81" s="233"/>
      <c r="R81" s="233"/>
    </row>
    <row r="82" spans="1:18">
      <c r="A82" s="233"/>
      <c r="B82" s="870"/>
      <c r="C82" s="870"/>
      <c r="D82" s="870"/>
      <c r="E82" s="870"/>
      <c r="F82" s="233"/>
      <c r="G82" s="233"/>
      <c r="H82" s="233"/>
      <c r="I82" s="233"/>
      <c r="J82" s="233"/>
      <c r="K82" s="233"/>
      <c r="L82" s="233"/>
      <c r="M82" s="233"/>
      <c r="N82" s="233"/>
      <c r="O82" s="233"/>
      <c r="P82" s="233"/>
      <c r="Q82" s="233"/>
      <c r="R82" s="233"/>
    </row>
    <row r="83" spans="1:18">
      <c r="A83" s="233"/>
      <c r="B83" s="870"/>
      <c r="C83" s="870"/>
      <c r="D83" s="870"/>
      <c r="E83" s="870"/>
      <c r="F83" s="233"/>
      <c r="G83" s="233"/>
      <c r="H83" s="233"/>
      <c r="I83" s="233"/>
      <c r="J83" s="233"/>
      <c r="K83" s="233"/>
      <c r="L83" s="233"/>
      <c r="M83" s="233"/>
      <c r="N83" s="233"/>
      <c r="O83" s="233"/>
      <c r="P83" s="233"/>
      <c r="Q83" s="233"/>
      <c r="R83" s="233"/>
    </row>
    <row r="84" spans="1:18">
      <c r="A84" s="233"/>
      <c r="B84" s="870"/>
      <c r="C84" s="870"/>
      <c r="D84" s="870"/>
      <c r="E84" s="870"/>
      <c r="F84" s="233"/>
      <c r="G84" s="233"/>
      <c r="H84" s="233"/>
      <c r="I84" s="233"/>
      <c r="J84" s="233"/>
      <c r="K84" s="233"/>
      <c r="L84" s="233"/>
      <c r="M84" s="233"/>
      <c r="N84" s="233"/>
      <c r="O84" s="233"/>
      <c r="P84" s="233"/>
      <c r="Q84" s="233"/>
      <c r="R84" s="233"/>
    </row>
    <row r="85" spans="1:18">
      <c r="A85" s="870"/>
      <c r="B85" s="870"/>
      <c r="C85" s="870"/>
      <c r="D85" s="870"/>
      <c r="E85" s="870"/>
      <c r="F85" s="870"/>
      <c r="G85" s="870"/>
      <c r="H85" s="870"/>
      <c r="I85" s="870"/>
      <c r="J85" s="870"/>
      <c r="K85" s="870"/>
      <c r="L85" s="870"/>
      <c r="M85" s="870"/>
      <c r="N85" s="870"/>
      <c r="O85" s="870"/>
      <c r="P85" s="870"/>
      <c r="Q85" s="870"/>
      <c r="R85" s="870"/>
    </row>
    <row r="86" spans="1:18">
      <c r="A86" s="870"/>
      <c r="B86" s="870"/>
      <c r="C86" s="870"/>
      <c r="D86" s="870"/>
      <c r="E86" s="870"/>
      <c r="F86" s="870"/>
      <c r="G86" s="870"/>
      <c r="H86" s="870"/>
      <c r="I86" s="870"/>
      <c r="J86" s="870"/>
      <c r="K86" s="870"/>
      <c r="L86" s="870"/>
      <c r="M86" s="870"/>
      <c r="N86" s="870"/>
      <c r="O86" s="870"/>
      <c r="P86" s="870"/>
      <c r="Q86" s="870"/>
      <c r="R86" s="870"/>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254</v>
      </c>
      <c r="B1" s="127"/>
      <c r="C1" s="127"/>
      <c r="D1" s="127"/>
      <c r="E1" s="645" t="str">
        <f>'Title Page'!F3</f>
        <v>OreSat - CS0</v>
      </c>
      <c r="F1" s="127"/>
      <c r="G1" s="642" t="str">
        <f>'Title Page'!F23</f>
        <v>2019 May 6</v>
      </c>
      <c r="H1" s="127"/>
      <c r="I1" s="127"/>
      <c r="J1" s="127"/>
      <c r="K1" s="127"/>
      <c r="L1" s="127"/>
      <c r="M1" s="127"/>
      <c r="N1" s="127"/>
      <c r="O1" s="127"/>
      <c r="P1" s="127"/>
      <c r="Q1" s="127"/>
      <c r="R1" s="127"/>
      <c r="S1" s="127"/>
      <c r="T1" s="127"/>
      <c r="U1" s="127"/>
    </row>
    <row r="2" spans="1:21" ht="13" thickBot="1">
      <c r="A2" s="646" t="s">
        <v>609</v>
      </c>
      <c r="B2" s="647"/>
      <c r="C2" s="648" t="s">
        <v>728</v>
      </c>
      <c r="D2" s="3"/>
      <c r="E2" s="232" t="s">
        <v>871</v>
      </c>
      <c r="F2" s="3" t="s">
        <v>872</v>
      </c>
      <c r="G2" s="233" t="s">
        <v>126</v>
      </c>
      <c r="H2" s="233"/>
      <c r="I2" s="233"/>
      <c r="J2" s="233"/>
      <c r="K2" s="233"/>
      <c r="L2" s="233"/>
      <c r="M2" s="233"/>
      <c r="N2" s="233"/>
      <c r="O2" s="233"/>
      <c r="P2" s="233"/>
      <c r="Q2" s="233"/>
      <c r="R2" s="233"/>
      <c r="S2" s="233"/>
      <c r="T2" s="233"/>
      <c r="U2" s="233"/>
    </row>
    <row r="3" spans="1:21" ht="16" thickBot="1">
      <c r="A3" s="600" t="s">
        <v>127</v>
      </c>
      <c r="B3" s="601"/>
      <c r="C3" s="622" t="s">
        <v>869</v>
      </c>
      <c r="D3" s="623"/>
      <c r="E3" s="621">
        <v>11</v>
      </c>
      <c r="F3" s="687" t="str">
        <f>INDEX(C6:C24,E3,1)</f>
        <v>GMSK w/ BT=0.3</v>
      </c>
      <c r="G3" s="233"/>
      <c r="H3" s="72" t="s">
        <v>338</v>
      </c>
      <c r="I3" s="233"/>
      <c r="J3" s="233"/>
      <c r="K3" s="233"/>
      <c r="L3" s="233"/>
      <c r="M3" s="233"/>
      <c r="N3" s="233"/>
      <c r="O3" s="233"/>
      <c r="P3" s="233"/>
      <c r="Q3" s="233"/>
      <c r="R3" s="233"/>
      <c r="S3" s="233"/>
      <c r="T3" s="233"/>
      <c r="U3" s="233"/>
    </row>
    <row r="4" spans="1:21" ht="13.5" thickBot="1">
      <c r="A4" s="670" t="s">
        <v>607</v>
      </c>
      <c r="B4" s="3"/>
      <c r="C4" s="3"/>
      <c r="D4" s="3"/>
      <c r="E4" s="3"/>
      <c r="F4" s="3"/>
      <c r="G4" s="233"/>
      <c r="H4" s="73" t="s">
        <v>339</v>
      </c>
      <c r="I4" s="233"/>
      <c r="J4" s="233"/>
      <c r="K4" s="233"/>
      <c r="L4" s="233"/>
      <c r="M4" s="233"/>
      <c r="N4" s="233"/>
      <c r="O4" s="233"/>
      <c r="P4" s="233"/>
      <c r="Q4" s="233"/>
      <c r="R4" s="233"/>
      <c r="S4" s="233"/>
      <c r="T4" s="233"/>
      <c r="U4" s="233"/>
    </row>
    <row r="5" spans="1:21" ht="15.5">
      <c r="A5" s="233"/>
      <c r="B5" s="66" t="s">
        <v>855</v>
      </c>
      <c r="C5" s="66" t="s">
        <v>854</v>
      </c>
      <c r="D5" s="66" t="s">
        <v>856</v>
      </c>
      <c r="E5" s="66" t="s">
        <v>857</v>
      </c>
      <c r="F5" s="66" t="s">
        <v>858</v>
      </c>
      <c r="G5" s="233"/>
      <c r="H5" s="75">
        <f>INDEX(F6:F24,E3,1)+E26</f>
        <v>10.9</v>
      </c>
      <c r="I5" s="233"/>
      <c r="J5" s="233"/>
      <c r="K5" s="233"/>
      <c r="L5" s="233"/>
      <c r="M5" s="233"/>
      <c r="N5" s="233"/>
      <c r="O5" s="233"/>
      <c r="P5" s="233"/>
      <c r="Q5" s="233"/>
      <c r="R5" s="233"/>
      <c r="S5" s="233"/>
      <c r="T5" s="233"/>
      <c r="U5" s="233"/>
    </row>
    <row r="6" spans="1:21" ht="16" thickBot="1">
      <c r="A6" s="233"/>
      <c r="B6" s="70">
        <v>1</v>
      </c>
      <c r="C6" s="67" t="s">
        <v>859</v>
      </c>
      <c r="D6" s="67" t="s">
        <v>860</v>
      </c>
      <c r="E6" s="68">
        <v>1E-4</v>
      </c>
      <c r="F6" s="76">
        <v>21</v>
      </c>
      <c r="G6" s="233"/>
      <c r="H6" s="74" t="s">
        <v>770</v>
      </c>
      <c r="I6" s="233"/>
      <c r="J6" s="233"/>
      <c r="K6" s="233"/>
      <c r="L6" s="233"/>
      <c r="M6" s="233"/>
      <c r="N6" s="233"/>
      <c r="O6" s="233"/>
      <c r="P6" s="233"/>
      <c r="Q6" s="233"/>
      <c r="R6" s="233"/>
      <c r="S6" s="233"/>
      <c r="T6" s="233"/>
      <c r="U6" s="233"/>
    </row>
    <row r="7" spans="1:21" ht="15.5">
      <c r="A7" s="233"/>
      <c r="B7" s="70">
        <v>2</v>
      </c>
      <c r="C7" s="67" t="s">
        <v>859</v>
      </c>
      <c r="D7" s="67" t="s">
        <v>860</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861</v>
      </c>
      <c r="D8" s="67" t="s">
        <v>860</v>
      </c>
      <c r="E8" s="68">
        <v>1E-4</v>
      </c>
      <c r="F8" s="76">
        <v>16.7</v>
      </c>
      <c r="G8" s="233"/>
      <c r="H8" s="233"/>
      <c r="I8" s="233"/>
      <c r="J8" s="233"/>
      <c r="K8" s="233"/>
      <c r="L8" s="233"/>
      <c r="M8" s="233"/>
      <c r="N8" s="233"/>
      <c r="O8" s="233"/>
      <c r="P8" s="233"/>
      <c r="Q8" s="233"/>
      <c r="R8" s="233"/>
      <c r="S8" s="233"/>
      <c r="T8" s="233"/>
      <c r="U8" s="233"/>
    </row>
    <row r="9" spans="1:21" ht="15.5">
      <c r="A9" s="233"/>
      <c r="B9" s="70">
        <v>4</v>
      </c>
      <c r="C9" s="67" t="s">
        <v>861</v>
      </c>
      <c r="D9" s="67" t="s">
        <v>860</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862</v>
      </c>
      <c r="D10" s="67" t="s">
        <v>860</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862</v>
      </c>
      <c r="D11" s="67" t="s">
        <v>860</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863</v>
      </c>
      <c r="D12" s="67" t="s">
        <v>860</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863</v>
      </c>
      <c r="D13" s="67" t="s">
        <v>860</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1018</v>
      </c>
      <c r="D14" s="67" t="s">
        <v>860</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1018</v>
      </c>
      <c r="D15" s="67" t="s">
        <v>860</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1019</v>
      </c>
      <c r="D16" s="67" t="s">
        <v>860</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864</v>
      </c>
      <c r="D17" s="67" t="s">
        <v>860</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864</v>
      </c>
      <c r="D18" s="67" t="s">
        <v>860</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865</v>
      </c>
      <c r="D19" s="67" t="s">
        <v>860</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865</v>
      </c>
      <c r="D20" s="67" t="s">
        <v>860</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864</v>
      </c>
      <c r="D21" s="67" t="s">
        <v>866</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864</v>
      </c>
      <c r="D22" s="67" t="s">
        <v>867</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864</v>
      </c>
      <c r="D23" s="67" t="s">
        <v>868</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1019</v>
      </c>
      <c r="D24" s="69" t="s">
        <v>866</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337</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71" t="s">
        <v>870</v>
      </c>
      <c r="E26" s="672">
        <v>0.5</v>
      </c>
      <c r="F26" s="71" t="s">
        <v>770</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728</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871</v>
      </c>
      <c r="F30" s="3" t="s">
        <v>872</v>
      </c>
      <c r="G30" s="233" t="s">
        <v>126</v>
      </c>
      <c r="H30" s="233"/>
      <c r="I30" s="233"/>
      <c r="J30" s="233"/>
      <c r="K30" s="233"/>
      <c r="L30" s="233"/>
      <c r="M30" s="233"/>
      <c r="N30" s="233"/>
      <c r="O30" s="233"/>
      <c r="P30" s="233"/>
      <c r="Q30" s="233"/>
      <c r="R30" s="233"/>
      <c r="S30" s="233"/>
      <c r="T30" s="233"/>
      <c r="U30" s="233"/>
    </row>
    <row r="31" spans="1:21" ht="16" thickBot="1">
      <c r="A31" s="247" t="s">
        <v>128</v>
      </c>
      <c r="B31" s="248"/>
      <c r="C31" s="669" t="s">
        <v>869</v>
      </c>
      <c r="D31" s="623"/>
      <c r="E31" s="621">
        <v>11</v>
      </c>
      <c r="F31" s="687" t="str">
        <f>INDEX(C34:C53,E31,1)</f>
        <v>GMSK w/ BT=0.3</v>
      </c>
      <c r="G31" s="233"/>
      <c r="H31" s="72" t="s">
        <v>338</v>
      </c>
      <c r="I31" s="233"/>
      <c r="J31" s="233"/>
      <c r="K31" s="233"/>
      <c r="L31" s="233"/>
      <c r="M31" s="233"/>
      <c r="N31" s="233"/>
      <c r="O31" s="233"/>
      <c r="P31" s="233"/>
      <c r="Q31" s="233"/>
      <c r="R31" s="233"/>
      <c r="S31" s="233"/>
      <c r="T31" s="233"/>
      <c r="U31" s="233"/>
    </row>
    <row r="32" spans="1:21" ht="13.5" thickBot="1">
      <c r="A32" s="670" t="s">
        <v>608</v>
      </c>
      <c r="B32" s="3"/>
      <c r="C32" s="3"/>
      <c r="D32" s="3"/>
      <c r="E32" s="3"/>
      <c r="F32" s="3"/>
      <c r="G32" s="233"/>
      <c r="H32" s="73" t="s">
        <v>339</v>
      </c>
      <c r="I32" s="233"/>
      <c r="J32" s="233"/>
      <c r="K32" s="233"/>
      <c r="L32" s="233"/>
      <c r="M32" s="233"/>
      <c r="N32" s="233"/>
      <c r="O32" s="233"/>
      <c r="P32" s="233"/>
      <c r="Q32" s="233"/>
      <c r="R32" s="233"/>
      <c r="S32" s="233"/>
      <c r="T32" s="233"/>
      <c r="U32" s="233"/>
    </row>
    <row r="33" spans="1:21" ht="15.5">
      <c r="A33" s="233"/>
      <c r="B33" s="66" t="s">
        <v>855</v>
      </c>
      <c r="C33" s="66" t="s">
        <v>854</v>
      </c>
      <c r="D33" s="66" t="s">
        <v>856</v>
      </c>
      <c r="E33" s="66" t="s">
        <v>857</v>
      </c>
      <c r="F33" s="66" t="s">
        <v>858</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859</v>
      </c>
      <c r="D34" s="67" t="s">
        <v>860</v>
      </c>
      <c r="E34" s="68">
        <v>1E-4</v>
      </c>
      <c r="F34" s="76">
        <v>21</v>
      </c>
      <c r="G34" s="233"/>
      <c r="H34" s="74" t="s">
        <v>770</v>
      </c>
      <c r="I34" s="233"/>
      <c r="J34" s="233"/>
      <c r="K34" s="233"/>
      <c r="L34" s="233"/>
      <c r="M34" s="233"/>
      <c r="N34" s="233"/>
      <c r="O34" s="233"/>
      <c r="P34" s="233"/>
      <c r="Q34" s="233"/>
      <c r="R34" s="233"/>
      <c r="S34" s="233"/>
      <c r="T34" s="233"/>
      <c r="U34" s="233"/>
    </row>
    <row r="35" spans="1:21" ht="15.5">
      <c r="A35" s="233"/>
      <c r="B35" s="70">
        <v>2</v>
      </c>
      <c r="C35" s="67" t="s">
        <v>859</v>
      </c>
      <c r="D35" s="67" t="s">
        <v>860</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861</v>
      </c>
      <c r="D36" s="67" t="s">
        <v>860</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861</v>
      </c>
      <c r="D37" s="67" t="s">
        <v>860</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862</v>
      </c>
      <c r="D38" s="67" t="s">
        <v>860</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862</v>
      </c>
      <c r="D39" s="67" t="s">
        <v>860</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863</v>
      </c>
      <c r="D40" s="67" t="s">
        <v>860</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863</v>
      </c>
      <c r="D41" s="67" t="s">
        <v>860</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1018</v>
      </c>
      <c r="D42" s="67" t="s">
        <v>860</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1018</v>
      </c>
      <c r="D43" s="67" t="s">
        <v>860</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1019</v>
      </c>
      <c r="D44" s="67" t="s">
        <v>860</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864</v>
      </c>
      <c r="D45" s="67" t="s">
        <v>860</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864</v>
      </c>
      <c r="D46" s="67" t="s">
        <v>860</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865</v>
      </c>
      <c r="D47" s="67" t="s">
        <v>860</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865</v>
      </c>
      <c r="D48" s="67" t="s">
        <v>860</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864</v>
      </c>
      <c r="D49" s="67" t="s">
        <v>866</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864</v>
      </c>
      <c r="D50" s="67" t="s">
        <v>867</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864</v>
      </c>
      <c r="D51" s="67" t="s">
        <v>868</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864</v>
      </c>
      <c r="D52" s="67" t="s">
        <v>553</v>
      </c>
      <c r="E52" s="68">
        <v>9.9999999999999995E-7</v>
      </c>
      <c r="F52" s="685">
        <v>0.75</v>
      </c>
      <c r="G52" s="233"/>
      <c r="H52" s="233"/>
      <c r="I52" s="233"/>
      <c r="J52" s="233"/>
      <c r="K52" s="233"/>
      <c r="L52" s="233"/>
      <c r="M52" s="233"/>
      <c r="N52" s="233"/>
      <c r="O52" s="233"/>
      <c r="P52" s="233"/>
      <c r="Q52" s="233"/>
      <c r="R52" s="233"/>
      <c r="S52" s="233"/>
      <c r="T52" s="233"/>
      <c r="U52" s="233"/>
    </row>
    <row r="53" spans="1:21" ht="15.5">
      <c r="A53" s="233"/>
      <c r="B53" s="70">
        <v>20</v>
      </c>
      <c r="C53" s="69" t="s">
        <v>1019</v>
      </c>
      <c r="D53" s="69" t="s">
        <v>866</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337</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71" t="s">
        <v>870</v>
      </c>
      <c r="E55" s="672">
        <v>0.5</v>
      </c>
      <c r="F55" s="71" t="s">
        <v>770</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728</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20" t="s">
        <v>140</v>
      </c>
      <c r="C1" s="44"/>
      <c r="D1" s="649" t="str">
        <f>'Title Page'!F3</f>
        <v>OreSat - CS0</v>
      </c>
      <c r="E1" s="58" t="s">
        <v>728</v>
      </c>
      <c r="F1" s="58" t="s">
        <v>727</v>
      </c>
      <c r="G1" s="58"/>
      <c r="H1" s="58"/>
      <c r="I1" s="44"/>
      <c r="J1" s="44"/>
      <c r="K1" s="44"/>
      <c r="L1" s="44"/>
      <c r="M1" s="44"/>
      <c r="N1" s="44"/>
      <c r="O1" s="44"/>
      <c r="P1" s="44"/>
      <c r="Q1" s="44"/>
      <c r="R1" s="44"/>
    </row>
    <row r="2" spans="1:18" ht="20">
      <c r="A2" s="45" t="s">
        <v>814</v>
      </c>
      <c r="B2" s="44"/>
      <c r="C2" s="44"/>
      <c r="D2" s="58" t="str">
        <f>'Title Page'!G1</f>
        <v xml:space="preserve"> Version: 2.5.5</v>
      </c>
      <c r="E2" s="58"/>
      <c r="F2" s="58" t="str">
        <f>'Title Page'!F23</f>
        <v>2019 May 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786</v>
      </c>
      <c r="B5" s="23"/>
      <c r="C5" s="23"/>
      <c r="D5" s="23"/>
      <c r="E5" s="23"/>
      <c r="F5" s="23"/>
      <c r="G5" s="23"/>
      <c r="H5" s="23"/>
      <c r="I5" s="23"/>
      <c r="J5" s="23"/>
      <c r="K5" s="23"/>
      <c r="L5" s="23"/>
      <c r="M5" s="23"/>
      <c r="N5" s="23"/>
      <c r="O5" s="23"/>
      <c r="P5" s="23"/>
      <c r="Q5" s="23"/>
      <c r="R5" s="23"/>
    </row>
    <row r="6" spans="1:18">
      <c r="A6" s="91" t="s">
        <v>389</v>
      </c>
      <c r="B6" s="435">
        <f>Transmitters!E16</f>
        <v>2.5</v>
      </c>
      <c r="C6" s="91" t="s">
        <v>794</v>
      </c>
      <c r="D6" s="427" t="s">
        <v>392</v>
      </c>
      <c r="E6" s="427"/>
      <c r="F6" s="427"/>
      <c r="G6" s="427"/>
      <c r="H6" s="427"/>
      <c r="I6" s="427"/>
      <c r="J6" s="428" t="s">
        <v>421</v>
      </c>
      <c r="K6" s="419"/>
      <c r="L6" s="418"/>
      <c r="M6" s="91"/>
      <c r="N6" s="91"/>
      <c r="O6" s="91"/>
      <c r="P6" s="91"/>
      <c r="Q6" s="91"/>
      <c r="R6" s="91"/>
    </row>
    <row r="7" spans="1:18">
      <c r="A7" s="432" t="s">
        <v>800</v>
      </c>
      <c r="B7" s="132">
        <f>10*LOG10(B6)</f>
        <v>3.9794000867203758</v>
      </c>
      <c r="C7" s="91" t="s">
        <v>795</v>
      </c>
      <c r="D7" s="427" t="s">
        <v>383</v>
      </c>
      <c r="E7" s="427"/>
      <c r="F7" s="427"/>
      <c r="G7" s="427"/>
      <c r="H7" s="427"/>
      <c r="I7" s="427"/>
      <c r="J7" s="91"/>
      <c r="K7" s="91"/>
      <c r="L7" s="91"/>
      <c r="M7" s="91"/>
      <c r="N7" s="91"/>
      <c r="O7" s="91"/>
      <c r="P7" s="91"/>
      <c r="Q7" s="91"/>
      <c r="R7" s="91"/>
    </row>
    <row r="8" spans="1:18">
      <c r="A8" s="432" t="s">
        <v>801</v>
      </c>
      <c r="B8" s="351">
        <f>B7+30</f>
        <v>33.979400086720375</v>
      </c>
      <c r="C8" s="91" t="s">
        <v>796</v>
      </c>
      <c r="D8" s="427" t="s">
        <v>384</v>
      </c>
      <c r="E8" s="427"/>
      <c r="F8" s="427"/>
      <c r="G8" s="427"/>
      <c r="H8" s="427"/>
      <c r="I8" s="427"/>
      <c r="J8" s="91"/>
      <c r="K8" s="91"/>
      <c r="L8" s="91"/>
      <c r="M8" s="91"/>
      <c r="N8" s="91"/>
      <c r="O8" s="91"/>
      <c r="P8" s="91"/>
      <c r="Q8" s="91"/>
      <c r="R8" s="91"/>
    </row>
    <row r="9" spans="1:18">
      <c r="A9" s="91" t="s">
        <v>390</v>
      </c>
      <c r="B9" s="436">
        <f>Transmitters!I43</f>
        <v>1.69814</v>
      </c>
      <c r="C9" s="91" t="s">
        <v>770</v>
      </c>
      <c r="D9" s="427" t="s">
        <v>385</v>
      </c>
      <c r="E9" s="427"/>
      <c r="F9" s="427"/>
      <c r="G9" s="427"/>
      <c r="H9" s="427"/>
      <c r="I9" s="427"/>
      <c r="J9" s="91"/>
      <c r="K9" s="91"/>
      <c r="L9" s="91"/>
      <c r="M9" s="91"/>
      <c r="N9" s="91"/>
      <c r="O9" s="91"/>
      <c r="P9" s="91"/>
      <c r="Q9" s="91"/>
      <c r="R9" s="91"/>
    </row>
    <row r="10" spans="1:18">
      <c r="A10" s="91" t="s">
        <v>779</v>
      </c>
      <c r="B10" s="436">
        <f>INDEX('Antenna Gain'!N13:N16,'Antenna Gain'!E11,1)</f>
        <v>16</v>
      </c>
      <c r="C10" s="91" t="s">
        <v>36</v>
      </c>
      <c r="D10" s="427" t="s">
        <v>662</v>
      </c>
      <c r="E10" s="427"/>
      <c r="F10" s="427"/>
      <c r="G10" s="427"/>
      <c r="H10" s="427"/>
      <c r="I10" s="427"/>
      <c r="J10" s="91"/>
      <c r="K10" s="91"/>
      <c r="L10" s="91"/>
      <c r="M10" s="91"/>
      <c r="N10" s="91"/>
      <c r="O10" s="91"/>
      <c r="P10" s="91"/>
      <c r="Q10" s="91"/>
      <c r="R10" s="91"/>
    </row>
    <row r="11" spans="1:18">
      <c r="A11" s="91" t="s">
        <v>817</v>
      </c>
      <c r="B11" s="39">
        <f>B7-B9+B10</f>
        <v>18.281260086720376</v>
      </c>
      <c r="C11" s="91" t="s">
        <v>795</v>
      </c>
      <c r="D11" s="427" t="s">
        <v>816</v>
      </c>
      <c r="E11" s="427"/>
      <c r="F11" s="427"/>
      <c r="G11" s="427"/>
      <c r="H11" s="427"/>
      <c r="I11" s="427"/>
      <c r="J11" s="91"/>
      <c r="K11" s="91"/>
      <c r="L11" s="91"/>
      <c r="M11" s="91"/>
      <c r="N11" s="91"/>
      <c r="O11" s="91"/>
      <c r="P11" s="91"/>
      <c r="Q11" s="91"/>
      <c r="R11" s="91"/>
    </row>
    <row r="12" spans="1:18" ht="13">
      <c r="A12" s="63" t="s">
        <v>815</v>
      </c>
      <c r="B12" s="64"/>
      <c r="C12" s="23"/>
      <c r="D12" s="23"/>
      <c r="E12" s="23"/>
      <c r="F12" s="23"/>
      <c r="G12" s="23"/>
      <c r="H12" s="23"/>
      <c r="I12" s="23"/>
      <c r="J12" s="23"/>
      <c r="K12" s="23"/>
      <c r="L12" s="23"/>
      <c r="M12" s="23"/>
      <c r="N12" s="23"/>
      <c r="O12" s="23"/>
      <c r="P12" s="23"/>
      <c r="Q12" s="23"/>
      <c r="R12" s="23"/>
    </row>
    <row r="13" spans="1:18">
      <c r="A13" s="91" t="s">
        <v>807</v>
      </c>
      <c r="B13" s="436">
        <f>'Antenna Pointing Losses'!K43</f>
        <v>0.36081663808497533</v>
      </c>
      <c r="C13" s="91" t="s">
        <v>770</v>
      </c>
      <c r="D13" s="427" t="s">
        <v>663</v>
      </c>
      <c r="E13" s="427"/>
      <c r="F13" s="427"/>
      <c r="G13" s="427"/>
      <c r="H13" s="427"/>
      <c r="I13" s="427"/>
      <c r="J13" s="91"/>
      <c r="K13" s="91"/>
      <c r="L13" s="91"/>
      <c r="M13" s="91"/>
      <c r="N13" s="91"/>
      <c r="O13" s="91"/>
      <c r="P13" s="91"/>
      <c r="Q13" s="91"/>
      <c r="R13" s="91"/>
    </row>
    <row r="14" spans="1:18">
      <c r="A14" s="91" t="s">
        <v>394</v>
      </c>
      <c r="B14" s="435">
        <f>'Antenna Polarization Loss'!F40</f>
        <v>5.7437907597720189E-2</v>
      </c>
      <c r="C14" s="91" t="s">
        <v>770</v>
      </c>
      <c r="D14" s="427" t="s">
        <v>402</v>
      </c>
      <c r="E14" s="427"/>
      <c r="F14" s="427"/>
      <c r="G14" s="427"/>
      <c r="H14" s="427"/>
      <c r="I14" s="427"/>
      <c r="J14" s="91"/>
      <c r="K14" s="91"/>
      <c r="L14" s="91"/>
      <c r="M14" s="91"/>
      <c r="N14" s="91"/>
      <c r="O14" s="91"/>
      <c r="P14" s="91"/>
      <c r="Q14" s="91"/>
      <c r="R14" s="91"/>
    </row>
    <row r="15" spans="1:18">
      <c r="A15" s="91" t="s">
        <v>769</v>
      </c>
      <c r="B15" s="437">
        <f>Frequency!M12</f>
        <v>157.75905801313266</v>
      </c>
      <c r="C15" s="91" t="s">
        <v>770</v>
      </c>
      <c r="D15" s="427" t="s">
        <v>364</v>
      </c>
      <c r="E15" s="427"/>
      <c r="F15" s="427"/>
      <c r="G15" s="427"/>
      <c r="H15" s="427"/>
      <c r="I15" s="427"/>
      <c r="J15" s="91"/>
      <c r="K15" s="91"/>
      <c r="L15" s="91"/>
      <c r="M15" s="91"/>
      <c r="N15" s="91"/>
      <c r="O15" s="91"/>
      <c r="P15" s="91"/>
      <c r="Q15" s="91"/>
      <c r="R15" s="91"/>
    </row>
    <row r="16" spans="1:18">
      <c r="A16" s="91" t="s">
        <v>782</v>
      </c>
      <c r="B16" s="436">
        <f>'Atmos. &amp; Ionos. Losses'!D23</f>
        <v>1.1000000000000001</v>
      </c>
      <c r="C16" s="91" t="s">
        <v>770</v>
      </c>
      <c r="D16" s="427" t="s">
        <v>286</v>
      </c>
      <c r="E16" s="427"/>
      <c r="F16" s="427"/>
      <c r="G16" s="427"/>
      <c r="H16" s="427"/>
      <c r="I16" s="427"/>
      <c r="J16" s="91"/>
      <c r="K16" s="91"/>
      <c r="L16" s="91"/>
      <c r="M16" s="91"/>
      <c r="N16" s="91"/>
      <c r="O16" s="91"/>
      <c r="P16" s="91"/>
      <c r="Q16" s="91"/>
      <c r="R16" s="91"/>
    </row>
    <row r="17" spans="1:18">
      <c r="A17" s="91" t="s">
        <v>783</v>
      </c>
      <c r="B17" s="436">
        <f>INDEX('Atmos. &amp; Ionos. Losses'!D32:D35,Frequency!L10,1)</f>
        <v>0.2</v>
      </c>
      <c r="C17" s="91" t="s">
        <v>770</v>
      </c>
      <c r="D17" s="427" t="s">
        <v>288</v>
      </c>
      <c r="E17" s="427"/>
      <c r="F17" s="427"/>
      <c r="G17" s="427"/>
      <c r="H17" s="427"/>
      <c r="I17" s="427"/>
      <c r="J17" s="91"/>
      <c r="K17" s="91"/>
      <c r="L17" s="91"/>
      <c r="M17" s="91"/>
      <c r="N17" s="91"/>
      <c r="O17" s="91"/>
      <c r="P17" s="91"/>
      <c r="Q17" s="91"/>
      <c r="R17" s="91"/>
    </row>
    <row r="18" spans="1:18">
      <c r="A18" s="91" t="s">
        <v>784</v>
      </c>
      <c r="B18" s="439">
        <v>0</v>
      </c>
      <c r="C18" s="91" t="s">
        <v>770</v>
      </c>
      <c r="D18" s="427" t="s">
        <v>296</v>
      </c>
      <c r="E18" s="427"/>
      <c r="F18" s="427"/>
      <c r="G18" s="427"/>
      <c r="H18" s="427"/>
      <c r="I18" s="427"/>
      <c r="J18" s="91"/>
      <c r="K18" s="91"/>
      <c r="L18" s="91"/>
      <c r="M18" s="91"/>
      <c r="N18" s="91"/>
      <c r="O18" s="91"/>
      <c r="P18" s="91"/>
      <c r="Q18" s="91"/>
      <c r="R18" s="91"/>
    </row>
    <row r="19" spans="1:18">
      <c r="A19" s="91" t="s">
        <v>482</v>
      </c>
      <c r="B19" s="39">
        <f>B11-SUM(B13:B18)</f>
        <v>-141.19605247209495</v>
      </c>
      <c r="C19" s="91" t="s">
        <v>795</v>
      </c>
      <c r="D19" s="427" t="s">
        <v>483</v>
      </c>
      <c r="E19" s="427"/>
      <c r="F19" s="427"/>
      <c r="G19" s="427"/>
      <c r="H19" s="427"/>
      <c r="I19" s="427"/>
      <c r="J19" s="91"/>
      <c r="K19" s="91"/>
      <c r="L19" s="91"/>
      <c r="M19" s="91"/>
      <c r="N19" s="91"/>
      <c r="O19" s="91"/>
      <c r="P19" s="91"/>
      <c r="Q19" s="91"/>
      <c r="R19" s="91"/>
    </row>
    <row r="20" spans="1:18" ht="13">
      <c r="A20" s="63" t="s">
        <v>420</v>
      </c>
      <c r="B20" s="23"/>
      <c r="C20" s="23"/>
      <c r="D20" s="23"/>
      <c r="E20" s="23"/>
      <c r="F20" s="23"/>
      <c r="G20" s="23"/>
      <c r="H20" s="23"/>
      <c r="I20" s="23"/>
      <c r="J20" s="36"/>
      <c r="K20" s="42"/>
      <c r="L20" s="42"/>
      <c r="M20" s="42"/>
      <c r="N20" s="46"/>
      <c r="O20" s="47"/>
      <c r="P20" s="47"/>
      <c r="Q20" s="47"/>
      <c r="R20" s="23"/>
    </row>
    <row r="21" spans="1:18" ht="13" outlineLevel="1">
      <c r="A21" s="63" t="s">
        <v>848</v>
      </c>
      <c r="B21" s="23"/>
      <c r="C21" s="23"/>
      <c r="D21" s="23"/>
      <c r="E21" s="23"/>
      <c r="F21" s="23"/>
      <c r="G21" s="23"/>
      <c r="H21" s="23"/>
      <c r="I21" s="23"/>
      <c r="J21" s="36"/>
      <c r="K21" s="42"/>
      <c r="L21" s="42"/>
      <c r="M21" s="42"/>
      <c r="N21" s="46"/>
      <c r="O21" s="47"/>
      <c r="P21" s="47"/>
      <c r="Q21" s="47"/>
      <c r="R21" s="23"/>
    </row>
    <row r="22" spans="1:18" outlineLevel="1">
      <c r="A22" s="434" t="s">
        <v>818</v>
      </c>
      <c r="B22" s="436">
        <f>'Antenna Pointing Losses'!K63</f>
        <v>0</v>
      </c>
      <c r="C22" s="91" t="s">
        <v>770</v>
      </c>
      <c r="D22" s="427" t="s">
        <v>886</v>
      </c>
      <c r="E22" s="427"/>
      <c r="F22" s="427"/>
      <c r="G22" s="427"/>
      <c r="H22" s="427"/>
      <c r="I22" s="427"/>
      <c r="J22" s="91"/>
      <c r="K22" s="437"/>
      <c r="L22" s="91"/>
      <c r="M22" s="91"/>
      <c r="N22" s="91"/>
      <c r="O22" s="91"/>
      <c r="P22" s="91"/>
      <c r="Q22" s="91"/>
      <c r="R22" s="91"/>
    </row>
    <row r="23" spans="1:18" outlineLevel="1">
      <c r="A23" s="91" t="s">
        <v>826</v>
      </c>
      <c r="B23" s="437">
        <f>INDEX('Antenna Gain'!H26:H32,'Antenna Gain'!E24,1)</f>
        <v>1</v>
      </c>
      <c r="C23" s="91" t="s">
        <v>36</v>
      </c>
      <c r="D23" s="427" t="s">
        <v>661</v>
      </c>
      <c r="E23" s="427"/>
      <c r="F23" s="427"/>
      <c r="G23" s="427"/>
      <c r="H23" s="427"/>
      <c r="I23" s="427"/>
      <c r="J23" s="91"/>
      <c r="K23" s="437"/>
      <c r="L23" s="91"/>
      <c r="M23" s="91"/>
      <c r="N23" s="91"/>
      <c r="O23" s="91"/>
      <c r="P23" s="91"/>
      <c r="Q23" s="91"/>
      <c r="R23" s="91"/>
    </row>
    <row r="24" spans="1:18" outlineLevel="1">
      <c r="A24" s="91" t="s">
        <v>284</v>
      </c>
      <c r="B24" s="436">
        <f>Receivers!J55</f>
        <v>1.02034</v>
      </c>
      <c r="C24" s="91" t="s">
        <v>770</v>
      </c>
      <c r="D24" s="427" t="s">
        <v>406</v>
      </c>
      <c r="E24" s="427"/>
      <c r="F24" s="427"/>
      <c r="G24" s="427"/>
      <c r="H24" s="427"/>
      <c r="I24" s="427"/>
      <c r="J24" s="91"/>
      <c r="K24" s="91"/>
      <c r="L24" s="91"/>
      <c r="M24" s="91"/>
      <c r="N24" s="91"/>
      <c r="O24" s="91"/>
      <c r="P24" s="91"/>
      <c r="Q24" s="91"/>
      <c r="R24" s="91"/>
    </row>
    <row r="25" spans="1:18" outlineLevel="1">
      <c r="A25" s="91" t="s">
        <v>827</v>
      </c>
      <c r="B25" s="440">
        <f>Receivers!J70</f>
        <v>226.02335545202456</v>
      </c>
      <c r="C25" s="91" t="s">
        <v>798</v>
      </c>
      <c r="D25" s="427" t="s">
        <v>405</v>
      </c>
      <c r="E25" s="427"/>
      <c r="F25" s="427"/>
      <c r="G25" s="427"/>
      <c r="H25" s="427"/>
      <c r="I25" s="427"/>
      <c r="J25" s="91"/>
      <c r="K25" s="440"/>
      <c r="L25" s="91"/>
      <c r="M25" s="91"/>
      <c r="N25" s="91"/>
      <c r="O25" s="91"/>
      <c r="P25" s="91"/>
      <c r="Q25" s="91"/>
      <c r="R25" s="91"/>
    </row>
    <row r="26" spans="1:18" outlineLevel="1">
      <c r="A26" s="91" t="s">
        <v>828</v>
      </c>
      <c r="B26" s="437">
        <f>B23-B24-10*LOG10(B25)</f>
        <v>-23.561873179963513</v>
      </c>
      <c r="C26" s="91" t="s">
        <v>799</v>
      </c>
      <c r="D26" s="141" t="s">
        <v>377</v>
      </c>
      <c r="E26" s="427"/>
      <c r="F26" s="427"/>
      <c r="G26" s="427"/>
      <c r="H26" s="427"/>
      <c r="I26" s="427"/>
      <c r="J26" s="91"/>
      <c r="K26" s="437"/>
      <c r="L26" s="91"/>
      <c r="M26" s="91"/>
      <c r="N26" s="91"/>
      <c r="O26" s="91"/>
      <c r="P26" s="91"/>
      <c r="Q26" s="91"/>
      <c r="R26" s="91"/>
    </row>
    <row r="27" spans="1:18" outlineLevel="1">
      <c r="A27" s="91" t="s">
        <v>829</v>
      </c>
      <c r="B27" s="423">
        <f>B19-B22-F27+B26</f>
        <v>63.842074347941534</v>
      </c>
      <c r="C27" s="91" t="s">
        <v>804</v>
      </c>
      <c r="D27" s="445" t="s">
        <v>802</v>
      </c>
      <c r="E27" s="446"/>
      <c r="F27" s="446">
        <v>-228.6</v>
      </c>
      <c r="G27" s="447" t="s">
        <v>803</v>
      </c>
      <c r="H27" s="427"/>
      <c r="I27" s="427"/>
      <c r="J27" s="91"/>
      <c r="K27" s="301"/>
      <c r="L27" s="91"/>
      <c r="M27" s="91"/>
      <c r="N27" s="91"/>
      <c r="O27" s="91"/>
      <c r="P27" s="91"/>
      <c r="Q27" s="91"/>
      <c r="R27" s="91"/>
    </row>
    <row r="28" spans="1:18" outlineLevel="1">
      <c r="A28" s="91" t="s">
        <v>791</v>
      </c>
      <c r="B28" s="386">
        <v>100000</v>
      </c>
      <c r="C28" s="91" t="s">
        <v>805</v>
      </c>
      <c r="D28" s="427" t="s">
        <v>306</v>
      </c>
      <c r="E28" s="427"/>
      <c r="F28" s="427"/>
      <c r="G28" s="427"/>
      <c r="H28" s="427"/>
      <c r="I28" s="427"/>
      <c r="J28" s="91"/>
      <c r="K28" s="452"/>
      <c r="L28" s="91"/>
      <c r="M28" s="91"/>
      <c r="N28" s="91"/>
      <c r="O28" s="91"/>
      <c r="P28" s="91"/>
      <c r="Q28" s="91"/>
      <c r="R28" s="91"/>
    </row>
    <row r="29" spans="1:18" outlineLevel="1">
      <c r="A29" s="432" t="s">
        <v>806</v>
      </c>
      <c r="B29" s="448">
        <f>10*LOG10(B28)</f>
        <v>50</v>
      </c>
      <c r="C29" s="91" t="s">
        <v>804</v>
      </c>
      <c r="D29" s="427" t="s">
        <v>307</v>
      </c>
      <c r="E29" s="427"/>
      <c r="F29" s="427"/>
      <c r="G29" s="427"/>
      <c r="H29" s="427"/>
      <c r="I29" s="427"/>
      <c r="J29" s="91"/>
      <c r="K29" s="301"/>
      <c r="L29" s="91"/>
      <c r="M29" s="91"/>
      <c r="N29" s="91"/>
      <c r="O29" s="91"/>
      <c r="P29" s="91"/>
      <c r="Q29" s="91"/>
      <c r="R29" s="91"/>
    </row>
    <row r="30" spans="1:18" outlineLevel="1">
      <c r="A30" s="91" t="s">
        <v>422</v>
      </c>
      <c r="B30" s="423">
        <f>B27-B29</f>
        <v>13.842074347941534</v>
      </c>
      <c r="C30" s="91" t="s">
        <v>770</v>
      </c>
      <c r="D30" s="427" t="s">
        <v>728</v>
      </c>
      <c r="E30" s="427"/>
      <c r="F30" s="427"/>
      <c r="G30" s="427"/>
      <c r="H30" s="427"/>
      <c r="I30" s="427"/>
      <c r="J30" s="91"/>
      <c r="K30" s="301"/>
      <c r="L30" s="91"/>
      <c r="M30" s="91"/>
      <c r="N30" s="91"/>
      <c r="O30" s="91"/>
      <c r="P30" s="91"/>
      <c r="Q30" s="91"/>
      <c r="R30" s="91"/>
    </row>
    <row r="31" spans="1:18" outlineLevel="1">
      <c r="A31" s="91"/>
      <c r="B31" s="459"/>
      <c r="C31" s="91"/>
      <c r="D31" s="427"/>
      <c r="E31" s="427"/>
      <c r="F31" s="427"/>
      <c r="G31" s="427"/>
      <c r="H31" s="427"/>
      <c r="I31" s="427"/>
      <c r="J31" s="91"/>
      <c r="K31" s="301"/>
      <c r="L31" s="91"/>
      <c r="M31" s="91"/>
      <c r="N31" s="91"/>
      <c r="O31" s="91"/>
      <c r="P31" s="91"/>
      <c r="Q31" s="91"/>
      <c r="R31" s="91"/>
    </row>
    <row r="32" spans="1:18" outlineLevel="1">
      <c r="A32" s="91" t="s">
        <v>407</v>
      </c>
      <c r="B32" s="455" t="str">
        <f>INDEX('Modulation-Demodulation Method'!C6:C24,'Modulation-Demodulation Method'!E3,1)</f>
        <v>GMSK w/ BT=0.3</v>
      </c>
      <c r="C32" s="433" t="s">
        <v>728</v>
      </c>
      <c r="D32" s="458" t="s">
        <v>410</v>
      </c>
      <c r="E32" s="427"/>
      <c r="F32" s="427"/>
      <c r="G32" s="427"/>
      <c r="H32" s="427"/>
      <c r="I32" s="427"/>
      <c r="J32" s="91"/>
      <c r="K32" s="301"/>
      <c r="L32" s="91"/>
      <c r="M32" s="91"/>
      <c r="N32" s="91"/>
      <c r="O32" s="91"/>
      <c r="P32" s="91"/>
      <c r="Q32" s="91"/>
      <c r="R32" s="91"/>
    </row>
    <row r="33" spans="1:18" outlineLevel="1">
      <c r="A33" s="91" t="s">
        <v>404</v>
      </c>
      <c r="B33" s="457" t="str">
        <f>INDEX('Modulation-Demodulation Method'!D6:D24,'Modulation-Demodulation Method'!E3,1)</f>
        <v>None</v>
      </c>
      <c r="C33" s="456"/>
      <c r="D33" s="431" t="s">
        <v>411</v>
      </c>
      <c r="E33" s="427"/>
      <c r="F33" s="427"/>
      <c r="G33" s="427"/>
      <c r="H33" s="427"/>
      <c r="I33" s="427"/>
      <c r="J33" s="91"/>
      <c r="K33" s="301"/>
      <c r="L33" s="91"/>
      <c r="M33" s="91"/>
      <c r="N33" s="91"/>
      <c r="O33" s="91"/>
      <c r="P33" s="91"/>
      <c r="Q33" s="91"/>
      <c r="R33" s="91"/>
    </row>
    <row r="34" spans="1:18" outlineLevel="1">
      <c r="A34" s="91"/>
      <c r="B34" s="459"/>
      <c r="C34" s="91"/>
      <c r="D34" s="427"/>
      <c r="E34" s="427"/>
      <c r="F34" s="427"/>
      <c r="G34" s="427"/>
      <c r="H34" s="427"/>
      <c r="I34" s="427"/>
      <c r="J34" s="91"/>
      <c r="K34" s="301"/>
      <c r="L34" s="91"/>
      <c r="M34" s="91"/>
      <c r="N34" s="91"/>
      <c r="O34" s="91"/>
      <c r="P34" s="91"/>
      <c r="Q34" s="91"/>
      <c r="R34" s="91"/>
    </row>
    <row r="35" spans="1:18" outlineLevel="1">
      <c r="A35" s="91" t="s">
        <v>309</v>
      </c>
      <c r="B35" s="424">
        <f>INDEX('Modulation-Demodulation Method'!E6:E24,'Modulation-Demodulation Method'!E3,1)</f>
        <v>1.0000000000000001E-5</v>
      </c>
      <c r="C35" s="433"/>
      <c r="D35" s="431" t="s">
        <v>412</v>
      </c>
      <c r="E35" s="427"/>
      <c r="F35" s="427"/>
      <c r="G35" s="427"/>
      <c r="H35" s="427"/>
      <c r="I35" s="427"/>
      <c r="J35" s="91"/>
      <c r="K35" s="91"/>
      <c r="L35" s="91"/>
      <c r="M35" s="91"/>
      <c r="N35" s="91"/>
      <c r="O35" s="91"/>
      <c r="P35" s="91"/>
      <c r="Q35" s="91"/>
      <c r="R35" s="91"/>
    </row>
    <row r="36" spans="1:18" outlineLevel="1">
      <c r="A36" s="91"/>
      <c r="B36" s="460"/>
      <c r="C36" s="433"/>
      <c r="D36" s="431"/>
      <c r="E36" s="427"/>
      <c r="F36" s="427"/>
      <c r="G36" s="427"/>
      <c r="H36" s="427"/>
      <c r="I36" s="427"/>
      <c r="J36" s="91"/>
      <c r="K36" s="91"/>
      <c r="L36" s="91"/>
      <c r="M36" s="91"/>
      <c r="N36" s="91"/>
      <c r="O36" s="91"/>
      <c r="P36" s="91"/>
      <c r="Q36" s="91"/>
      <c r="R36" s="91"/>
    </row>
    <row r="37" spans="1:18" outlineLevel="1">
      <c r="A37" s="91" t="s">
        <v>340</v>
      </c>
      <c r="B37" s="461">
        <f>'Modulation-Demodulation Method'!E26</f>
        <v>0.5</v>
      </c>
      <c r="C37" s="91" t="s">
        <v>770</v>
      </c>
      <c r="D37" s="427" t="s">
        <v>414</v>
      </c>
      <c r="E37" s="427"/>
      <c r="F37" s="427"/>
      <c r="G37" s="427"/>
      <c r="H37" s="427"/>
      <c r="I37" s="427"/>
      <c r="J37" s="91"/>
      <c r="K37" s="91"/>
      <c r="L37" s="91"/>
      <c r="M37" s="91"/>
      <c r="N37" s="91"/>
      <c r="O37" s="91"/>
      <c r="P37" s="91"/>
      <c r="Q37" s="91"/>
      <c r="R37" s="91"/>
    </row>
    <row r="38" spans="1:18" outlineLevel="1">
      <c r="A38" s="91"/>
      <c r="B38" s="461"/>
      <c r="C38" s="91"/>
      <c r="D38" s="427"/>
      <c r="E38" s="427"/>
      <c r="F38" s="427"/>
      <c r="G38" s="427"/>
      <c r="H38" s="427"/>
      <c r="I38" s="427"/>
      <c r="J38" s="91"/>
      <c r="K38" s="91"/>
      <c r="L38" s="91"/>
      <c r="M38" s="91"/>
      <c r="N38" s="91"/>
      <c r="O38" s="91"/>
      <c r="P38" s="91"/>
      <c r="Q38" s="91"/>
      <c r="R38" s="91"/>
    </row>
    <row r="39" spans="1:18" outlineLevel="1">
      <c r="A39" s="91" t="s">
        <v>792</v>
      </c>
      <c r="B39" s="462">
        <f>INDEX('Modulation-Demodulation Method'!F6:F24,'Modulation-Demodulation Method'!E3,1)</f>
        <v>10.4</v>
      </c>
      <c r="C39" s="91" t="s">
        <v>770</v>
      </c>
      <c r="D39" s="427" t="s">
        <v>415</v>
      </c>
      <c r="E39" s="427"/>
      <c r="F39" s="427"/>
      <c r="G39" s="427"/>
      <c r="H39" s="427"/>
      <c r="I39" s="427"/>
      <c r="J39" s="91"/>
      <c r="K39" s="437"/>
      <c r="L39" s="91"/>
      <c r="M39" s="91"/>
      <c r="N39" s="91"/>
      <c r="O39" s="91"/>
      <c r="P39" s="91"/>
      <c r="Q39" s="91"/>
      <c r="R39" s="91"/>
    </row>
    <row r="40" spans="1:18" outlineLevel="1">
      <c r="A40" s="91"/>
      <c r="B40" s="462"/>
      <c r="C40" s="91"/>
      <c r="D40" s="427"/>
      <c r="E40" s="427"/>
      <c r="F40" s="427"/>
      <c r="G40" s="427"/>
      <c r="H40" s="427"/>
      <c r="I40" s="427"/>
      <c r="J40" s="91"/>
      <c r="K40" s="437"/>
      <c r="L40" s="91"/>
      <c r="M40" s="91"/>
      <c r="N40" s="91"/>
      <c r="O40" s="91"/>
      <c r="P40" s="91"/>
      <c r="Q40" s="91"/>
      <c r="R40" s="91"/>
    </row>
    <row r="41" spans="1:18" outlineLevel="1">
      <c r="A41" s="91" t="s">
        <v>341</v>
      </c>
      <c r="B41" s="425">
        <f>'Modulation-Demodulation Method'!H5</f>
        <v>10.9</v>
      </c>
      <c r="C41" s="91" t="s">
        <v>770</v>
      </c>
      <c r="D41" s="427" t="s">
        <v>353</v>
      </c>
      <c r="E41" s="427"/>
      <c r="F41" s="427"/>
      <c r="G41" s="427"/>
      <c r="H41" s="427"/>
      <c r="I41" s="427"/>
      <c r="J41" s="91"/>
      <c r="K41" s="437"/>
      <c r="L41" s="91"/>
      <c r="M41" s="91"/>
      <c r="N41" s="91"/>
      <c r="O41" s="91"/>
      <c r="P41" s="91"/>
      <c r="Q41" s="91"/>
      <c r="R41" s="91"/>
    </row>
    <row r="42" spans="1:18" ht="13" outlineLevel="1" thickBot="1">
      <c r="A42" s="91"/>
      <c r="B42" s="462"/>
      <c r="C42" s="91"/>
      <c r="D42" s="427"/>
      <c r="E42" s="427"/>
      <c r="F42" s="427"/>
      <c r="G42" s="427"/>
      <c r="H42" s="427"/>
      <c r="I42" s="427"/>
      <c r="J42" s="91"/>
      <c r="K42" s="437"/>
      <c r="L42" s="91"/>
      <c r="M42" s="91"/>
      <c r="N42" s="91"/>
      <c r="O42" s="91"/>
      <c r="P42" s="91"/>
      <c r="Q42" s="91"/>
      <c r="R42" s="91"/>
    </row>
    <row r="43" spans="1:18" ht="13.5" outlineLevel="1" thickBot="1">
      <c r="A43" s="120" t="s">
        <v>793</v>
      </c>
      <c r="B43" s="40">
        <f>B30-B41</f>
        <v>2.9420743479415332</v>
      </c>
      <c r="C43" s="91" t="s">
        <v>770</v>
      </c>
      <c r="D43" s="427"/>
      <c r="E43" s="427"/>
      <c r="F43" s="427"/>
      <c r="G43" s="427"/>
      <c r="H43" s="427"/>
      <c r="I43" s="427"/>
      <c r="J43" s="91"/>
      <c r="K43" s="437"/>
      <c r="L43" s="91"/>
      <c r="M43" s="91"/>
      <c r="N43" s="91"/>
      <c r="O43" s="91"/>
      <c r="P43" s="91"/>
      <c r="Q43" s="91"/>
      <c r="R43" s="91"/>
    </row>
    <row r="44" spans="1:18" ht="13" outlineLevel="1">
      <c r="A44" s="91"/>
      <c r="B44" s="91"/>
      <c r="C44" s="91"/>
      <c r="D44" s="427"/>
      <c r="E44" s="427"/>
      <c r="F44" s="427"/>
      <c r="G44" s="427"/>
      <c r="H44" s="427"/>
      <c r="I44" s="427"/>
      <c r="J44" s="91"/>
      <c r="K44" s="453"/>
      <c r="L44" s="91"/>
      <c r="M44" s="91"/>
      <c r="N44" s="91"/>
      <c r="O44" s="91"/>
      <c r="P44" s="91"/>
      <c r="Q44" s="91"/>
      <c r="R44" s="91"/>
    </row>
    <row r="45" spans="1:18" outlineLevel="1">
      <c r="A45" s="91"/>
      <c r="B45" s="91"/>
      <c r="C45" s="91"/>
      <c r="D45" s="427"/>
      <c r="E45" s="427"/>
      <c r="F45" s="427"/>
      <c r="G45" s="427"/>
      <c r="H45" s="427"/>
      <c r="I45" s="427"/>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1" t="s">
        <v>830</v>
      </c>
      <c r="B47" s="42"/>
      <c r="C47" s="42"/>
      <c r="D47" s="42"/>
      <c r="E47" s="393" t="s">
        <v>418</v>
      </c>
      <c r="F47" s="47"/>
      <c r="G47" s="47"/>
      <c r="H47" s="47"/>
      <c r="I47" s="23"/>
      <c r="J47" s="23"/>
      <c r="K47" s="23"/>
      <c r="L47" s="23"/>
      <c r="M47" s="23"/>
      <c r="N47" s="23"/>
      <c r="O47" s="23"/>
      <c r="P47" s="23"/>
      <c r="Q47" s="23"/>
      <c r="R47" s="23"/>
    </row>
    <row r="48" spans="1:18" ht="13" outlineLevel="1">
      <c r="A48" s="36" t="s">
        <v>849</v>
      </c>
      <c r="B48" s="42"/>
      <c r="C48" s="42"/>
      <c r="D48" s="42"/>
      <c r="E48" s="46"/>
      <c r="F48" s="47"/>
      <c r="G48" s="47"/>
      <c r="H48" s="47"/>
      <c r="I48" s="23"/>
      <c r="J48" s="23"/>
      <c r="K48" s="23"/>
      <c r="L48" s="23"/>
      <c r="M48" s="23"/>
      <c r="N48" s="23"/>
      <c r="O48" s="23"/>
      <c r="P48" s="23"/>
      <c r="Q48" s="23"/>
      <c r="R48" s="23"/>
    </row>
    <row r="49" spans="1:18" outlineLevel="1">
      <c r="A49" s="91" t="s">
        <v>818</v>
      </c>
      <c r="B49" s="437">
        <f>'Antenna Pointing Losses'!K63</f>
        <v>0</v>
      </c>
      <c r="C49" s="91" t="s">
        <v>770</v>
      </c>
      <c r="D49" s="427" t="s">
        <v>886</v>
      </c>
      <c r="E49" s="427"/>
      <c r="F49" s="427"/>
      <c r="G49" s="427"/>
      <c r="H49" s="427"/>
      <c r="I49" s="427"/>
      <c r="J49" s="91"/>
      <c r="K49" s="91"/>
      <c r="L49" s="91"/>
      <c r="M49" s="91"/>
      <c r="N49" s="91"/>
      <c r="O49" s="91"/>
      <c r="P49" s="91"/>
      <c r="Q49" s="91"/>
      <c r="R49" s="91"/>
    </row>
    <row r="50" spans="1:18" outlineLevel="1">
      <c r="A50" s="91" t="s">
        <v>826</v>
      </c>
      <c r="B50" s="437">
        <f>INDEX('Antenna Gain'!H26:H32,'Antenna Gain'!E24,1)</f>
        <v>1</v>
      </c>
      <c r="C50" s="91" t="s">
        <v>36</v>
      </c>
      <c r="D50" s="427" t="s">
        <v>661</v>
      </c>
      <c r="E50" s="427"/>
      <c r="F50" s="427"/>
      <c r="G50" s="427"/>
      <c r="H50" s="427"/>
      <c r="I50" s="427"/>
      <c r="J50" s="91"/>
      <c r="K50" s="91"/>
      <c r="L50" s="91"/>
      <c r="M50" s="91"/>
      <c r="N50" s="91"/>
      <c r="O50" s="91"/>
      <c r="P50" s="91"/>
      <c r="Q50" s="91"/>
      <c r="R50" s="91"/>
    </row>
    <row r="51" spans="1:18" outlineLevel="1">
      <c r="A51" s="91" t="s">
        <v>284</v>
      </c>
      <c r="B51" s="437">
        <f>Receivers!J55</f>
        <v>1.02034</v>
      </c>
      <c r="C51" s="91" t="s">
        <v>770</v>
      </c>
      <c r="D51" s="427" t="s">
        <v>406</v>
      </c>
      <c r="E51" s="427"/>
      <c r="F51" s="427"/>
      <c r="G51" s="427"/>
      <c r="H51" s="427"/>
      <c r="I51" s="427"/>
      <c r="J51" s="91"/>
      <c r="K51" s="91"/>
      <c r="L51" s="91"/>
      <c r="M51" s="91"/>
      <c r="N51" s="91"/>
      <c r="O51" s="91"/>
      <c r="P51" s="91"/>
      <c r="Q51" s="91"/>
      <c r="R51" s="91"/>
    </row>
    <row r="52" spans="1:18" outlineLevel="1">
      <c r="A52" s="91" t="s">
        <v>827</v>
      </c>
      <c r="B52" s="440">
        <f>Receivers!J70</f>
        <v>226.02335545202456</v>
      </c>
      <c r="C52" s="91" t="s">
        <v>798</v>
      </c>
      <c r="D52" s="427" t="s">
        <v>405</v>
      </c>
      <c r="E52" s="427"/>
      <c r="F52" s="427"/>
      <c r="G52" s="427"/>
      <c r="H52" s="427"/>
      <c r="I52" s="427"/>
      <c r="J52" s="91"/>
      <c r="K52" s="91"/>
      <c r="L52" s="91"/>
      <c r="M52" s="91"/>
      <c r="N52" s="91"/>
      <c r="O52" s="91"/>
      <c r="P52" s="91"/>
      <c r="Q52" s="91"/>
      <c r="R52" s="91"/>
    </row>
    <row r="53" spans="1:18" outlineLevel="1">
      <c r="A53" s="91" t="s">
        <v>828</v>
      </c>
      <c r="B53" s="437">
        <f>B50-B51-10*LOG10(B52)</f>
        <v>-23.561873179963513</v>
      </c>
      <c r="C53" s="91" t="s">
        <v>799</v>
      </c>
      <c r="D53" s="427" t="s">
        <v>378</v>
      </c>
      <c r="E53" s="427"/>
      <c r="F53" s="427"/>
      <c r="G53" s="427"/>
      <c r="H53" s="427"/>
      <c r="I53" s="427"/>
      <c r="J53" s="91"/>
      <c r="K53" s="91"/>
      <c r="L53" s="91"/>
      <c r="M53" s="91"/>
      <c r="N53" s="91"/>
      <c r="O53" s="91"/>
      <c r="P53" s="91"/>
      <c r="Q53" s="91"/>
      <c r="R53" s="91"/>
    </row>
    <row r="54" spans="1:18" outlineLevel="1">
      <c r="A54" s="91"/>
      <c r="B54" s="437"/>
      <c r="C54" s="91"/>
      <c r="D54" s="427"/>
      <c r="E54" s="427"/>
      <c r="F54" s="427"/>
      <c r="G54" s="427"/>
      <c r="H54" s="427"/>
      <c r="I54" s="427"/>
      <c r="J54" s="91"/>
      <c r="K54" s="91"/>
      <c r="L54" s="91"/>
      <c r="M54" s="91"/>
      <c r="N54" s="91"/>
      <c r="O54" s="91"/>
      <c r="P54" s="91"/>
      <c r="Q54" s="91"/>
      <c r="R54" s="91"/>
    </row>
    <row r="55" spans="1:18" outlineLevel="1">
      <c r="A55" s="91" t="s">
        <v>831</v>
      </c>
      <c r="B55" s="351">
        <f>B19-B49+B50-B51</f>
        <v>-141.21639247209495</v>
      </c>
      <c r="C55" s="91" t="s">
        <v>795</v>
      </c>
      <c r="D55" s="427" t="s">
        <v>379</v>
      </c>
      <c r="E55" s="427"/>
      <c r="F55" s="427"/>
      <c r="G55" s="427"/>
      <c r="H55" s="427"/>
      <c r="I55" s="427"/>
      <c r="J55" s="91"/>
      <c r="K55" s="91"/>
      <c r="L55" s="91"/>
      <c r="M55" s="91"/>
      <c r="N55" s="91"/>
      <c r="O55" s="91"/>
      <c r="P55" s="91"/>
      <c r="Q55" s="91"/>
      <c r="R55" s="91"/>
    </row>
    <row r="56" spans="1:18" outlineLevel="1">
      <c r="A56" s="91"/>
      <c r="B56" s="301"/>
      <c r="C56" s="91"/>
      <c r="D56" s="427"/>
      <c r="E56" s="427"/>
      <c r="F56" s="427"/>
      <c r="G56" s="427"/>
      <c r="H56" s="427"/>
      <c r="I56" s="427"/>
      <c r="J56" s="91"/>
      <c r="K56" s="91"/>
      <c r="L56" s="91"/>
      <c r="M56" s="91"/>
      <c r="N56" s="91"/>
      <c r="O56" s="91"/>
      <c r="P56" s="91"/>
      <c r="Q56" s="91"/>
      <c r="R56" s="91"/>
    </row>
    <row r="57" spans="1:18" ht="13" outlineLevel="1">
      <c r="A57" s="91" t="s">
        <v>832</v>
      </c>
      <c r="B57" s="386">
        <v>100000</v>
      </c>
      <c r="C57" s="91" t="s">
        <v>810</v>
      </c>
      <c r="D57" s="427" t="s">
        <v>416</v>
      </c>
      <c r="E57" s="427"/>
      <c r="F57" s="427"/>
      <c r="G57" s="427"/>
      <c r="H57" s="393" t="s">
        <v>140</v>
      </c>
      <c r="I57" s="427"/>
      <c r="J57" s="91"/>
      <c r="K57" s="91"/>
      <c r="L57" s="91"/>
      <c r="M57" s="91"/>
      <c r="N57" s="91"/>
      <c r="O57" s="91"/>
      <c r="P57" s="91"/>
      <c r="Q57" s="91"/>
      <c r="R57" s="91"/>
    </row>
    <row r="58" spans="1:18" outlineLevel="1">
      <c r="A58" s="91"/>
      <c r="B58" s="449"/>
      <c r="C58" s="91"/>
      <c r="D58" s="427"/>
      <c r="E58" s="427"/>
      <c r="F58" s="427"/>
      <c r="G58" s="427"/>
      <c r="H58" s="427"/>
      <c r="I58" s="427"/>
      <c r="J58" s="91"/>
      <c r="K58" s="91"/>
      <c r="L58" s="91"/>
      <c r="M58" s="91"/>
      <c r="N58" s="91"/>
      <c r="O58" s="91"/>
      <c r="P58" s="91"/>
      <c r="Q58" s="91"/>
      <c r="R58" s="91"/>
    </row>
    <row r="59" spans="1:18" outlineLevel="1">
      <c r="A59" s="91" t="s">
        <v>417</v>
      </c>
      <c r="B59" s="351">
        <f>F27+10*LOG10(B52)+10*LOG10(B57)</f>
        <v>-155.05846682003647</v>
      </c>
      <c r="C59" s="91" t="s">
        <v>795</v>
      </c>
      <c r="D59" s="427" t="s">
        <v>419</v>
      </c>
      <c r="E59" s="427"/>
      <c r="F59" s="427"/>
      <c r="G59" s="427"/>
      <c r="H59" s="427"/>
      <c r="I59" s="427"/>
      <c r="J59" s="91"/>
      <c r="K59" s="91"/>
      <c r="L59" s="91"/>
      <c r="M59" s="91"/>
      <c r="N59" s="91"/>
      <c r="O59" s="91"/>
      <c r="P59" s="91"/>
      <c r="Q59" s="91"/>
      <c r="R59" s="91"/>
    </row>
    <row r="60" spans="1:18" outlineLevel="1">
      <c r="A60" s="91"/>
      <c r="B60" s="450"/>
      <c r="C60" s="91"/>
      <c r="D60" s="427"/>
      <c r="E60" s="427"/>
      <c r="F60" s="427"/>
      <c r="G60" s="427"/>
      <c r="H60" s="427"/>
      <c r="I60" s="427"/>
      <c r="J60" s="91"/>
      <c r="K60" s="91"/>
      <c r="L60" s="91"/>
      <c r="M60" s="91"/>
      <c r="N60" s="91"/>
      <c r="O60" s="91"/>
      <c r="P60" s="91"/>
      <c r="Q60" s="91"/>
      <c r="R60" s="91"/>
    </row>
    <row r="61" spans="1:18" outlineLevel="1">
      <c r="A61" s="91" t="s">
        <v>812</v>
      </c>
      <c r="B61" s="423">
        <f>B55-B59</f>
        <v>13.842074347941519</v>
      </c>
      <c r="C61" s="91" t="s">
        <v>770</v>
      </c>
      <c r="D61" s="427" t="s">
        <v>381</v>
      </c>
      <c r="E61" s="427"/>
      <c r="F61" s="427"/>
      <c r="G61" s="427"/>
      <c r="H61" s="427"/>
      <c r="I61" s="427"/>
      <c r="J61" s="91"/>
      <c r="K61" s="91"/>
      <c r="L61" s="91"/>
      <c r="M61" s="91"/>
      <c r="N61" s="91"/>
      <c r="O61" s="91"/>
      <c r="P61" s="91"/>
      <c r="Q61" s="91"/>
      <c r="R61" s="91"/>
    </row>
    <row r="62" spans="1:18" outlineLevel="1">
      <c r="A62" s="91"/>
      <c r="B62" s="301"/>
      <c r="C62" s="91"/>
      <c r="D62" s="427"/>
      <c r="E62" s="427"/>
      <c r="F62" s="427"/>
      <c r="G62" s="427"/>
      <c r="H62" s="427"/>
      <c r="I62" s="427"/>
      <c r="J62" s="91"/>
      <c r="K62" s="91"/>
      <c r="L62" s="91"/>
      <c r="M62" s="91"/>
      <c r="N62" s="91"/>
      <c r="O62" s="91"/>
      <c r="P62" s="91"/>
      <c r="Q62" s="91"/>
      <c r="R62" s="91"/>
    </row>
    <row r="63" spans="1:18" outlineLevel="1">
      <c r="A63" s="91" t="s">
        <v>355</v>
      </c>
      <c r="B63" s="425">
        <f>'Modulation-Demodulation Method'!H5</f>
        <v>10.9</v>
      </c>
      <c r="C63" s="91" t="s">
        <v>770</v>
      </c>
      <c r="D63" s="427" t="s">
        <v>382</v>
      </c>
      <c r="E63" s="427"/>
      <c r="F63" s="427"/>
      <c r="G63" s="427"/>
      <c r="H63" s="427"/>
      <c r="I63" s="427"/>
      <c r="J63" s="91"/>
      <c r="K63" s="91"/>
      <c r="L63" s="91"/>
      <c r="M63" s="91"/>
      <c r="N63" s="91"/>
      <c r="O63" s="91"/>
      <c r="P63" s="91"/>
      <c r="Q63" s="91"/>
      <c r="R63" s="91"/>
    </row>
    <row r="64" spans="1:18" ht="13" outlineLevel="1" thickBot="1">
      <c r="A64" s="91"/>
      <c r="B64" s="301"/>
      <c r="C64" s="91"/>
      <c r="D64" s="427"/>
      <c r="E64" s="427"/>
      <c r="F64" s="427"/>
      <c r="G64" s="427"/>
      <c r="H64" s="427"/>
      <c r="I64" s="427"/>
      <c r="J64" s="91"/>
      <c r="K64" s="91"/>
      <c r="L64" s="91"/>
      <c r="M64" s="91"/>
      <c r="N64" s="91"/>
      <c r="O64" s="91"/>
      <c r="P64" s="91"/>
      <c r="Q64" s="91"/>
      <c r="R64" s="91"/>
    </row>
    <row r="65" spans="1:18" ht="13.5" outlineLevel="1" thickBot="1">
      <c r="A65" s="91" t="s">
        <v>376</v>
      </c>
      <c r="B65" s="40">
        <f>B61-B63</f>
        <v>2.942074347941519</v>
      </c>
      <c r="C65" s="91" t="s">
        <v>770</v>
      </c>
      <c r="D65" s="427"/>
      <c r="E65" s="427"/>
      <c r="F65" s="427"/>
      <c r="G65" s="427"/>
      <c r="H65" s="427"/>
      <c r="I65" s="427"/>
      <c r="J65" s="91"/>
      <c r="K65" s="91"/>
      <c r="L65" s="91"/>
      <c r="M65" s="91"/>
      <c r="N65" s="91"/>
      <c r="O65" s="91"/>
      <c r="P65" s="91"/>
      <c r="Q65" s="91"/>
      <c r="R65" s="91"/>
    </row>
    <row r="66" spans="1:18" outlineLevel="1">
      <c r="A66" s="98"/>
      <c r="B66" s="98"/>
      <c r="C66" s="98"/>
      <c r="D66" s="427"/>
      <c r="E66" s="427"/>
      <c r="F66" s="427"/>
      <c r="G66" s="427"/>
      <c r="H66" s="427"/>
      <c r="I66" s="427"/>
      <c r="J66" s="91"/>
      <c r="K66" s="91"/>
      <c r="L66" s="91"/>
      <c r="M66" s="91"/>
      <c r="N66" s="91"/>
      <c r="O66" s="91"/>
      <c r="P66" s="91"/>
      <c r="Q66" s="91"/>
      <c r="R66" s="91"/>
    </row>
    <row r="67" spans="1:18" outlineLevel="1">
      <c r="A67" s="91"/>
      <c r="B67" s="91"/>
      <c r="C67" s="91"/>
      <c r="D67" s="427"/>
      <c r="E67" s="427"/>
      <c r="F67" s="427"/>
      <c r="G67" s="427"/>
      <c r="H67" s="427"/>
      <c r="I67" s="427"/>
      <c r="J67" s="91"/>
      <c r="K67" s="91"/>
      <c r="L67" s="91"/>
      <c r="M67" s="91"/>
      <c r="N67" s="91"/>
      <c r="O67" s="91"/>
      <c r="P67" s="91"/>
      <c r="Q67" s="91"/>
      <c r="R67" s="91"/>
    </row>
    <row r="68" spans="1:18" outlineLevel="1">
      <c r="A68" s="91"/>
      <c r="B68" s="91"/>
      <c r="C68" s="91"/>
      <c r="D68" s="427"/>
      <c r="E68" s="427"/>
      <c r="F68" s="427"/>
      <c r="G68" s="427"/>
      <c r="H68" s="427"/>
      <c r="I68" s="427"/>
      <c r="J68" s="91"/>
      <c r="K68" s="91"/>
      <c r="L68" s="91"/>
      <c r="M68" s="91"/>
      <c r="N68" s="91"/>
      <c r="O68" s="91"/>
      <c r="P68" s="91"/>
      <c r="Q68" s="91"/>
      <c r="R68" s="91"/>
    </row>
    <row r="69" spans="1:18">
      <c r="B69" s="38" t="s">
        <v>728</v>
      </c>
      <c r="C69" t="s">
        <v>728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20" t="s">
        <v>140</v>
      </c>
      <c r="C1" s="44" t="s">
        <v>728</v>
      </c>
      <c r="D1" s="649" t="str">
        <f>'Title Page'!F3</f>
        <v>OreSat - CS0</v>
      </c>
      <c r="E1" s="58" t="s">
        <v>728</v>
      </c>
      <c r="F1" s="58" t="str">
        <f>'Title Page'!D23</f>
        <v>Date Data Last Modified:</v>
      </c>
      <c r="G1" s="58"/>
      <c r="H1" s="44"/>
      <c r="I1" s="44"/>
      <c r="J1" s="44"/>
      <c r="K1" s="44"/>
      <c r="L1" s="44"/>
      <c r="M1" s="44"/>
      <c r="N1" s="44"/>
      <c r="O1" s="44"/>
      <c r="P1" s="44"/>
      <c r="Q1" s="44"/>
      <c r="R1" s="44"/>
    </row>
    <row r="2" spans="1:18" ht="20">
      <c r="A2" s="45" t="s">
        <v>775</v>
      </c>
      <c r="B2" s="44"/>
      <c r="C2" s="44"/>
      <c r="D2" s="58" t="str">
        <f>'Title Page'!G1</f>
        <v xml:space="preserve"> Version: 2.5.5</v>
      </c>
      <c r="E2" s="58"/>
      <c r="F2" s="59" t="str">
        <f>'Title Page'!F23</f>
        <v>2019 May 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778</v>
      </c>
      <c r="B5" s="23"/>
      <c r="C5" s="23"/>
      <c r="D5" s="23"/>
      <c r="E5" s="23"/>
      <c r="F5" s="23"/>
      <c r="G5" s="23"/>
      <c r="H5" s="23"/>
      <c r="I5" s="23"/>
      <c r="J5" s="23"/>
      <c r="K5" s="23"/>
      <c r="L5" s="23"/>
      <c r="M5" s="23"/>
      <c r="N5" s="23"/>
      <c r="O5" s="23"/>
      <c r="P5" s="23"/>
      <c r="Q5" s="23"/>
      <c r="R5" s="23"/>
    </row>
    <row r="6" spans="1:18">
      <c r="A6" s="91" t="s">
        <v>838</v>
      </c>
      <c r="B6" s="435">
        <f>Transmitters!E60</f>
        <v>0.25</v>
      </c>
      <c r="C6" s="91" t="s">
        <v>794</v>
      </c>
      <c r="D6" s="427" t="s">
        <v>391</v>
      </c>
      <c r="E6" s="427"/>
      <c r="F6" s="427"/>
      <c r="G6" s="427"/>
      <c r="H6" s="427"/>
      <c r="I6" s="427"/>
      <c r="J6" s="427"/>
      <c r="K6" s="91"/>
      <c r="L6" s="428" t="s">
        <v>387</v>
      </c>
      <c r="M6" s="419"/>
      <c r="N6" s="419"/>
      <c r="O6" s="419"/>
      <c r="P6" s="419"/>
      <c r="Q6" s="418"/>
      <c r="R6" s="91"/>
    </row>
    <row r="7" spans="1:18">
      <c r="A7" s="432" t="s">
        <v>800</v>
      </c>
      <c r="B7" s="132">
        <f>10*LOG10(B6)</f>
        <v>-6.0205999132796242</v>
      </c>
      <c r="C7" s="91" t="s">
        <v>795</v>
      </c>
      <c r="D7" s="427" t="s">
        <v>383</v>
      </c>
      <c r="E7" s="427"/>
      <c r="F7" s="427"/>
      <c r="G7" s="427"/>
      <c r="H7" s="427"/>
      <c r="I7" s="427"/>
      <c r="J7" s="427"/>
      <c r="K7" s="91"/>
      <c r="L7" s="91"/>
      <c r="M7" s="91"/>
      <c r="N7" s="91"/>
      <c r="O7" s="91"/>
      <c r="P7" s="91"/>
      <c r="Q7" s="91"/>
      <c r="R7" s="91"/>
    </row>
    <row r="8" spans="1:18">
      <c r="A8" s="432" t="s">
        <v>801</v>
      </c>
      <c r="B8" s="351">
        <f>B7+30</f>
        <v>23.979400086720375</v>
      </c>
      <c r="C8" s="91" t="s">
        <v>796</v>
      </c>
      <c r="D8" s="427" t="s">
        <v>384</v>
      </c>
      <c r="E8" s="427"/>
      <c r="F8" s="427"/>
      <c r="G8" s="427"/>
      <c r="H8" s="427"/>
      <c r="I8" s="427"/>
      <c r="J8" s="427"/>
      <c r="K8" s="91"/>
      <c r="L8" s="91"/>
      <c r="M8" s="91"/>
      <c r="N8" s="91"/>
      <c r="O8" s="91"/>
      <c r="P8" s="91"/>
      <c r="Q8" s="91"/>
      <c r="R8" s="91"/>
    </row>
    <row r="9" spans="1:18">
      <c r="A9" s="91" t="s">
        <v>284</v>
      </c>
      <c r="B9" s="436">
        <f>Transmitters!I85</f>
        <v>0.71755999999999998</v>
      </c>
      <c r="C9" s="91" t="s">
        <v>770</v>
      </c>
      <c r="D9" s="427" t="s">
        <v>393</v>
      </c>
      <c r="E9" s="427"/>
      <c r="F9" s="427"/>
      <c r="G9" s="427"/>
      <c r="H9" s="427"/>
      <c r="I9" s="427"/>
      <c r="J9" s="427"/>
      <c r="K9" s="91"/>
      <c r="L9" s="91"/>
      <c r="M9" s="91"/>
      <c r="N9" s="91"/>
      <c r="O9" s="91"/>
      <c r="P9" s="91"/>
      <c r="Q9" s="91"/>
      <c r="R9" s="91"/>
    </row>
    <row r="10" spans="1:18">
      <c r="A10" s="91" t="s">
        <v>826</v>
      </c>
      <c r="B10" s="435">
        <f>INDEX('Antenna Gain'!H43:H49,'Antenna Gain'!E41,1)</f>
        <v>1</v>
      </c>
      <c r="C10" s="91" t="s">
        <v>36</v>
      </c>
      <c r="D10" s="427" t="s">
        <v>664</v>
      </c>
      <c r="E10" s="427"/>
      <c r="F10" s="427"/>
      <c r="G10" s="427"/>
      <c r="H10" s="427"/>
      <c r="I10" s="427"/>
      <c r="J10" s="427"/>
      <c r="K10" s="91"/>
      <c r="L10" s="91"/>
      <c r="M10" s="91"/>
      <c r="N10" s="91"/>
      <c r="O10" s="91"/>
      <c r="P10" s="91"/>
      <c r="Q10" s="91"/>
      <c r="R10" s="91"/>
    </row>
    <row r="11" spans="1:18">
      <c r="A11" s="91" t="s">
        <v>780</v>
      </c>
      <c r="B11" s="132">
        <f>B7-B9+B10</f>
        <v>-5.7381599132796239</v>
      </c>
      <c r="C11" s="91" t="s">
        <v>795</v>
      </c>
      <c r="D11" s="427" t="s">
        <v>813</v>
      </c>
      <c r="E11" s="427"/>
      <c r="F11" s="427"/>
      <c r="G11" s="427"/>
      <c r="H11" s="427"/>
      <c r="I11" s="427"/>
      <c r="J11" s="427"/>
      <c r="K11" s="91"/>
      <c r="L11" s="91"/>
      <c r="M11" s="91"/>
      <c r="N11" s="91"/>
      <c r="O11" s="91"/>
      <c r="P11" s="91"/>
      <c r="Q11" s="91"/>
      <c r="R11" s="91"/>
    </row>
    <row r="12" spans="1:18" ht="13">
      <c r="A12" s="63" t="s">
        <v>781</v>
      </c>
      <c r="B12" s="64"/>
      <c r="C12" s="23"/>
      <c r="D12" s="23"/>
      <c r="E12" s="23"/>
      <c r="F12" s="23"/>
      <c r="G12" s="23"/>
      <c r="H12" s="23"/>
      <c r="I12" s="23"/>
      <c r="J12" s="23"/>
      <c r="K12" s="23"/>
      <c r="L12" s="23"/>
      <c r="M12" s="23"/>
      <c r="N12" s="23"/>
      <c r="O12" s="23"/>
      <c r="P12" s="23"/>
      <c r="Q12" s="23"/>
      <c r="R12" s="23"/>
    </row>
    <row r="13" spans="1:18">
      <c r="A13" s="91" t="s">
        <v>818</v>
      </c>
      <c r="B13" s="436">
        <f>'Antenna Pointing Losses'!K85</f>
        <v>0</v>
      </c>
      <c r="C13" s="91" t="s">
        <v>770</v>
      </c>
      <c r="D13" s="427" t="s">
        <v>665</v>
      </c>
      <c r="E13" s="427"/>
      <c r="F13" s="427"/>
      <c r="G13" s="427"/>
      <c r="H13" s="427"/>
      <c r="I13" s="427"/>
      <c r="J13" s="427"/>
      <c r="K13" s="91"/>
      <c r="L13" s="91"/>
      <c r="M13" s="91"/>
      <c r="N13" s="91"/>
      <c r="O13" s="91"/>
      <c r="P13" s="91"/>
      <c r="Q13" s="91"/>
      <c r="R13" s="91"/>
    </row>
    <row r="14" spans="1:18">
      <c r="A14" s="91" t="s">
        <v>285</v>
      </c>
      <c r="B14" s="435">
        <f>'Antenna Polarization Loss'!F60</f>
        <v>5.7437907597720189E-2</v>
      </c>
      <c r="C14" s="91" t="s">
        <v>770</v>
      </c>
      <c r="D14" s="427" t="s">
        <v>388</v>
      </c>
      <c r="E14" s="427"/>
      <c r="F14" s="427"/>
      <c r="G14" s="427"/>
      <c r="H14" s="427"/>
      <c r="I14" s="427"/>
      <c r="J14" s="427"/>
      <c r="K14" s="91"/>
      <c r="L14" s="91"/>
      <c r="M14" s="91"/>
      <c r="N14" s="91"/>
      <c r="O14" s="91"/>
      <c r="P14" s="91"/>
      <c r="Q14" s="91"/>
      <c r="R14" s="91"/>
    </row>
    <row r="15" spans="1:18">
      <c r="A15" s="91" t="s">
        <v>769</v>
      </c>
      <c r="B15" s="437">
        <f>Frequency!M18</f>
        <v>148.5169324637277</v>
      </c>
      <c r="C15" s="91" t="s">
        <v>770</v>
      </c>
      <c r="D15" s="427" t="s">
        <v>364</v>
      </c>
      <c r="E15" s="427"/>
      <c r="F15" s="427"/>
      <c r="G15" s="427"/>
      <c r="H15" s="427"/>
      <c r="I15" s="427"/>
      <c r="J15" s="427"/>
      <c r="K15" s="91"/>
      <c r="L15" s="91"/>
      <c r="M15" s="91"/>
      <c r="N15" s="91"/>
      <c r="O15" s="91"/>
      <c r="P15" s="91"/>
      <c r="Q15" s="91"/>
      <c r="R15" s="91"/>
    </row>
    <row r="16" spans="1:18">
      <c r="A16" s="91" t="s">
        <v>824</v>
      </c>
      <c r="B16" s="438">
        <f>'Atmos. &amp; Ionos. Losses'!D23</f>
        <v>1.1000000000000001</v>
      </c>
      <c r="C16" s="91" t="s">
        <v>770</v>
      </c>
      <c r="D16" s="427" t="s">
        <v>286</v>
      </c>
      <c r="E16" s="427"/>
      <c r="F16" s="427"/>
      <c r="G16" s="427"/>
      <c r="H16" s="427"/>
      <c r="I16" s="427"/>
      <c r="J16" s="427"/>
      <c r="K16" s="91"/>
      <c r="L16" s="91"/>
      <c r="M16" s="91"/>
      <c r="N16" s="91"/>
      <c r="O16" s="91"/>
      <c r="P16" s="91"/>
      <c r="Q16" s="91"/>
      <c r="R16" s="91"/>
    </row>
    <row r="17" spans="1:19">
      <c r="A17" s="91" t="s">
        <v>825</v>
      </c>
      <c r="B17" s="436">
        <f>INDEX('Atmos. &amp; Ionos. Losses'!D45:D48,Frequency!L16,1)</f>
        <v>0.4</v>
      </c>
      <c r="C17" s="91" t="s">
        <v>770</v>
      </c>
      <c r="D17" s="427" t="s">
        <v>288</v>
      </c>
      <c r="E17" s="427"/>
      <c r="F17" s="427"/>
      <c r="G17" s="427"/>
      <c r="H17" s="427"/>
      <c r="I17" s="427"/>
      <c r="J17" s="427"/>
      <c r="K17" s="91"/>
      <c r="L17" s="91"/>
      <c r="M17" s="91"/>
      <c r="N17" s="91"/>
      <c r="O17" s="91"/>
      <c r="P17" s="91"/>
      <c r="Q17" s="91"/>
      <c r="R17" s="91"/>
    </row>
    <row r="18" spans="1:19">
      <c r="A18" s="91" t="s">
        <v>819</v>
      </c>
      <c r="B18" s="439">
        <v>0</v>
      </c>
      <c r="C18" s="91" t="s">
        <v>770</v>
      </c>
      <c r="D18" s="427" t="s">
        <v>296</v>
      </c>
      <c r="E18" s="427"/>
      <c r="F18" s="427"/>
      <c r="G18" s="427"/>
      <c r="H18" s="427"/>
      <c r="I18" s="427"/>
      <c r="J18" s="427" t="s">
        <v>728</v>
      </c>
      <c r="K18" s="91"/>
      <c r="L18" s="91"/>
      <c r="M18" s="91"/>
      <c r="N18" s="91"/>
      <c r="O18" s="91"/>
      <c r="P18" s="91"/>
      <c r="Q18" s="91"/>
      <c r="R18" s="91"/>
    </row>
    <row r="19" spans="1:19">
      <c r="A19" s="91" t="s">
        <v>785</v>
      </c>
      <c r="B19" s="423">
        <f>B11-SUM(B13:B18)</f>
        <v>-155.81253028460503</v>
      </c>
      <c r="C19" s="91" t="s">
        <v>795</v>
      </c>
      <c r="D19" s="427" t="s">
        <v>403</v>
      </c>
      <c r="E19" s="427"/>
      <c r="F19" s="427"/>
      <c r="G19" s="427"/>
      <c r="H19" s="427"/>
      <c r="I19" s="427"/>
      <c r="J19" s="427"/>
      <c r="K19" s="91"/>
      <c r="L19" s="91"/>
      <c r="M19" s="91"/>
      <c r="N19" s="91"/>
      <c r="O19" s="91"/>
      <c r="P19" s="91"/>
      <c r="Q19" s="91"/>
      <c r="R19" s="91"/>
    </row>
    <row r="20" spans="1:19" ht="13">
      <c r="A20" s="63" t="s">
        <v>386</v>
      </c>
      <c r="B20" s="23"/>
      <c r="C20" s="23"/>
      <c r="D20" s="23"/>
      <c r="E20" s="23"/>
      <c r="F20" s="23"/>
      <c r="G20" s="23"/>
      <c r="H20" s="23"/>
      <c r="I20" s="23"/>
      <c r="J20" s="36" t="s">
        <v>728</v>
      </c>
      <c r="K20" s="42"/>
      <c r="L20" s="42"/>
      <c r="M20" s="42"/>
      <c r="N20" s="42"/>
      <c r="O20" s="23"/>
      <c r="P20" s="23"/>
      <c r="Q20" s="23"/>
      <c r="R20" s="23"/>
      <c r="S20" s="135"/>
    </row>
    <row r="21" spans="1:19" ht="13" outlineLevel="1">
      <c r="A21" s="63" t="s">
        <v>848</v>
      </c>
      <c r="B21" s="23"/>
      <c r="C21" s="23"/>
      <c r="D21" s="23"/>
      <c r="E21" s="23"/>
      <c r="F21" s="23"/>
      <c r="G21" s="23"/>
      <c r="H21" s="23"/>
      <c r="I21" s="23"/>
      <c r="J21" s="36" t="s">
        <v>728</v>
      </c>
      <c r="K21" s="42"/>
      <c r="L21" s="42"/>
      <c r="M21" s="42"/>
      <c r="N21" s="42"/>
      <c r="O21" s="23"/>
      <c r="P21" s="23"/>
      <c r="Q21" s="23"/>
      <c r="R21" s="23"/>
      <c r="S21" s="135"/>
    </row>
    <row r="22" spans="1:19" outlineLevel="1">
      <c r="A22" s="434" t="s">
        <v>807</v>
      </c>
      <c r="B22" s="436">
        <f>'Antenna Pointing Losses'!K102</f>
        <v>0.31396976431536944</v>
      </c>
      <c r="C22" s="91" t="s">
        <v>770</v>
      </c>
      <c r="D22" s="427" t="s">
        <v>669</v>
      </c>
      <c r="E22" s="427"/>
      <c r="F22" s="427"/>
      <c r="G22" s="427"/>
      <c r="H22" s="427"/>
      <c r="I22" s="427"/>
      <c r="J22" s="427"/>
      <c r="K22" s="437"/>
      <c r="L22" s="91"/>
      <c r="M22" s="91"/>
      <c r="N22" s="91"/>
      <c r="O22" s="91"/>
      <c r="P22" s="91"/>
      <c r="Q22" s="91"/>
      <c r="R22" s="91"/>
    </row>
    <row r="23" spans="1:19" outlineLevel="1">
      <c r="A23" s="91" t="s">
        <v>787</v>
      </c>
      <c r="B23" s="435">
        <f>INDEX('Antenna Gain'!N60:N63,'Antenna Gain'!E58,1)</f>
        <v>15.5</v>
      </c>
      <c r="C23" s="91" t="s">
        <v>36</v>
      </c>
      <c r="D23" s="427" t="s">
        <v>670</v>
      </c>
      <c r="E23" s="427"/>
      <c r="F23" s="427"/>
      <c r="G23" s="427"/>
      <c r="H23" s="427"/>
      <c r="I23" s="427"/>
      <c r="J23" s="427"/>
      <c r="K23" s="437"/>
      <c r="L23" s="91"/>
      <c r="M23" s="91"/>
      <c r="N23" s="91"/>
      <c r="O23" s="91"/>
      <c r="P23" s="91"/>
      <c r="Q23" s="91"/>
      <c r="R23" s="91"/>
    </row>
    <row r="24" spans="1:19" outlineLevel="1">
      <c r="A24" s="91" t="s">
        <v>303</v>
      </c>
      <c r="B24" s="436">
        <f>Receivers!J126</f>
        <v>0.1759</v>
      </c>
      <c r="C24" s="91" t="s">
        <v>770</v>
      </c>
      <c r="D24" s="427" t="s">
        <v>304</v>
      </c>
      <c r="E24" s="427"/>
      <c r="F24" s="427"/>
      <c r="G24" s="427"/>
      <c r="H24" s="427"/>
      <c r="I24" s="427"/>
      <c r="J24" s="427"/>
      <c r="K24" s="91"/>
      <c r="L24" s="91"/>
      <c r="M24" s="91"/>
      <c r="N24" s="91"/>
      <c r="O24" s="91"/>
      <c r="P24" s="91"/>
      <c r="Q24" s="91"/>
      <c r="R24" s="91"/>
    </row>
    <row r="25" spans="1:19" outlineLevel="1">
      <c r="A25" s="91" t="s">
        <v>788</v>
      </c>
      <c r="B25" s="440">
        <f>Receivers!J149</f>
        <v>560.43703405741689</v>
      </c>
      <c r="C25" s="91" t="s">
        <v>798</v>
      </c>
      <c r="D25" s="427" t="s">
        <v>302</v>
      </c>
      <c r="E25" s="427"/>
      <c r="F25" s="427"/>
      <c r="G25" s="427"/>
      <c r="H25" s="427"/>
      <c r="I25" s="427"/>
      <c r="J25" s="427"/>
      <c r="K25" s="440"/>
      <c r="L25" s="91"/>
      <c r="M25" s="91"/>
      <c r="N25" s="91"/>
      <c r="O25" s="91"/>
      <c r="P25" s="91"/>
      <c r="Q25" s="91"/>
      <c r="R25" s="91"/>
    </row>
    <row r="26" spans="1:19" outlineLevel="1">
      <c r="A26" s="91" t="s">
        <v>789</v>
      </c>
      <c r="B26" s="437">
        <f>B23-B24-10*LOG10(B25)</f>
        <v>-12.161168260344303</v>
      </c>
      <c r="C26" s="91" t="s">
        <v>799</v>
      </c>
      <c r="D26" s="427" t="s">
        <v>377</v>
      </c>
      <c r="E26" s="427"/>
      <c r="F26" s="427"/>
      <c r="G26" s="427"/>
      <c r="H26" s="427"/>
      <c r="I26" s="427"/>
      <c r="J26" s="427"/>
      <c r="K26" s="437"/>
      <c r="L26" s="91"/>
      <c r="M26" s="91"/>
      <c r="N26" s="91"/>
      <c r="O26" s="91"/>
      <c r="P26" s="91"/>
      <c r="Q26" s="91"/>
      <c r="R26" s="91"/>
    </row>
    <row r="27" spans="1:19" outlineLevel="1">
      <c r="A27" s="91" t="s">
        <v>790</v>
      </c>
      <c r="B27" s="423">
        <f>B19-B22-F27+B26</f>
        <v>60.312331690735284</v>
      </c>
      <c r="C27" s="91" t="s">
        <v>804</v>
      </c>
      <c r="D27" s="445" t="s">
        <v>802</v>
      </c>
      <c r="E27" s="446"/>
      <c r="F27" s="446">
        <v>-228.6</v>
      </c>
      <c r="G27" s="447" t="s">
        <v>803</v>
      </c>
      <c r="H27" s="192"/>
      <c r="I27" s="427"/>
      <c r="J27" s="427"/>
      <c r="K27" s="301"/>
      <c r="L27" s="91"/>
      <c r="M27" s="91"/>
      <c r="N27" s="91"/>
      <c r="O27" s="91"/>
      <c r="P27" s="91"/>
      <c r="Q27" s="91"/>
      <c r="R27" s="91"/>
    </row>
    <row r="28" spans="1:19" outlineLevel="1">
      <c r="A28" s="91" t="s">
        <v>791</v>
      </c>
      <c r="B28" s="386">
        <v>50000</v>
      </c>
      <c r="C28" s="91" t="s">
        <v>805</v>
      </c>
      <c r="D28" s="427" t="s">
        <v>306</v>
      </c>
      <c r="E28" s="427"/>
      <c r="F28" s="427"/>
      <c r="G28" s="427"/>
      <c r="H28" s="427"/>
      <c r="I28" s="427"/>
      <c r="J28" s="427"/>
      <c r="K28" s="452"/>
      <c r="L28" s="91"/>
      <c r="M28" s="91"/>
      <c r="N28" s="91"/>
      <c r="O28" s="91"/>
      <c r="P28" s="91"/>
      <c r="Q28" s="91"/>
      <c r="R28" s="91"/>
    </row>
    <row r="29" spans="1:19" outlineLevel="1">
      <c r="A29" s="432" t="s">
        <v>806</v>
      </c>
      <c r="B29" s="448">
        <f>10*LOG10(B28)</f>
        <v>46.989700043360187</v>
      </c>
      <c r="C29" s="91" t="s">
        <v>804</v>
      </c>
      <c r="D29" s="427" t="s">
        <v>307</v>
      </c>
      <c r="E29" s="427"/>
      <c r="F29" s="427"/>
      <c r="G29" s="427"/>
      <c r="H29" s="427"/>
      <c r="I29" s="427"/>
      <c r="J29" s="427"/>
      <c r="K29" s="301"/>
      <c r="L29" s="91"/>
      <c r="M29" s="91"/>
      <c r="N29" s="91"/>
      <c r="O29" s="91"/>
      <c r="P29" s="91"/>
      <c r="Q29" s="91"/>
      <c r="R29" s="91"/>
    </row>
    <row r="30" spans="1:19" outlineLevel="1">
      <c r="A30" s="91" t="s">
        <v>305</v>
      </c>
      <c r="B30" s="423">
        <f>B27-B29</f>
        <v>13.322631647375097</v>
      </c>
      <c r="C30" s="91" t="s">
        <v>770</v>
      </c>
      <c r="D30" s="427" t="s">
        <v>728</v>
      </c>
      <c r="E30" s="427"/>
      <c r="F30" s="427"/>
      <c r="G30" s="427"/>
      <c r="H30" s="427"/>
      <c r="I30" s="427"/>
      <c r="J30" s="427"/>
      <c r="K30" s="301"/>
      <c r="L30" s="91"/>
      <c r="M30" s="91"/>
      <c r="N30" s="91"/>
      <c r="O30" s="91"/>
      <c r="P30" s="91"/>
      <c r="Q30" s="91"/>
      <c r="R30" s="91"/>
    </row>
    <row r="31" spans="1:19" outlineLevel="1">
      <c r="A31" s="91"/>
      <c r="B31" s="441"/>
      <c r="C31" s="91"/>
      <c r="D31" s="427"/>
      <c r="E31" s="427"/>
      <c r="F31" s="427"/>
      <c r="G31" s="427"/>
      <c r="H31" s="427"/>
      <c r="I31" s="427"/>
      <c r="J31" s="427"/>
      <c r="K31" s="301"/>
      <c r="L31" s="91"/>
      <c r="M31" s="91"/>
      <c r="N31" s="91"/>
      <c r="O31" s="91"/>
      <c r="P31" s="91"/>
      <c r="Q31" s="91"/>
      <c r="R31" s="91"/>
    </row>
    <row r="32" spans="1:19" outlineLevel="1">
      <c r="A32" s="91" t="s">
        <v>407</v>
      </c>
      <c r="B32" s="455" t="str">
        <f>INDEX('Modulation-Demodulation Method'!C34:C53,'Modulation-Demodulation Method'!E31,1)</f>
        <v>GMSK w/ BT=0.3</v>
      </c>
      <c r="C32" s="433" t="s">
        <v>728</v>
      </c>
      <c r="D32" s="458" t="s">
        <v>409</v>
      </c>
      <c r="E32" s="427"/>
      <c r="F32" s="427"/>
      <c r="G32" s="427"/>
      <c r="H32" s="427"/>
      <c r="I32" s="427"/>
      <c r="J32" s="302"/>
      <c r="K32" s="91"/>
      <c r="L32" s="91"/>
      <c r="M32" s="91"/>
      <c r="N32" s="91"/>
      <c r="O32" s="91"/>
      <c r="P32" s="91"/>
      <c r="Q32" s="91"/>
      <c r="R32" s="91"/>
    </row>
    <row r="33" spans="1:19" outlineLevel="1">
      <c r="A33" s="91" t="s">
        <v>404</v>
      </c>
      <c r="B33" s="457" t="str">
        <f>INDEX('Modulation-Demodulation Method'!D34:D53,'Modulation-Demodulation Method'!E31,1)</f>
        <v>None</v>
      </c>
      <c r="C33" s="456"/>
      <c r="D33" s="431" t="s">
        <v>408</v>
      </c>
      <c r="E33" s="429"/>
      <c r="F33" s="427"/>
      <c r="G33" s="427"/>
      <c r="H33" s="427"/>
      <c r="I33" s="427"/>
      <c r="J33" s="427"/>
      <c r="K33" s="301"/>
      <c r="L33" s="91"/>
      <c r="M33" s="91"/>
      <c r="N33" s="91"/>
      <c r="O33" s="91"/>
      <c r="P33" s="91"/>
      <c r="Q33" s="91"/>
      <c r="R33" s="91"/>
    </row>
    <row r="34" spans="1:19" outlineLevel="1">
      <c r="A34" s="91"/>
      <c r="B34" s="442"/>
      <c r="C34" s="433"/>
      <c r="D34" s="430"/>
      <c r="E34" s="429"/>
      <c r="F34" s="427"/>
      <c r="G34" s="427"/>
      <c r="H34" s="427"/>
      <c r="I34" s="427"/>
      <c r="J34" s="427"/>
      <c r="K34" s="301"/>
      <c r="L34" s="91"/>
      <c r="M34" s="91"/>
      <c r="N34" s="91"/>
      <c r="O34" s="91"/>
      <c r="P34" s="91"/>
      <c r="Q34" s="91"/>
      <c r="R34" s="91"/>
    </row>
    <row r="35" spans="1:19" outlineLevel="1">
      <c r="A35" s="91" t="s">
        <v>309</v>
      </c>
      <c r="B35" s="424">
        <f>INDEX('Modulation-Demodulation Method'!E34:E53,'Modulation-Demodulation Method'!E31,1)</f>
        <v>1.0000000000000001E-5</v>
      </c>
      <c r="C35" s="433"/>
      <c r="D35" s="431" t="s">
        <v>352</v>
      </c>
      <c r="E35" s="429"/>
      <c r="F35" s="427"/>
      <c r="G35" s="427"/>
      <c r="H35" s="427"/>
      <c r="I35" s="427"/>
      <c r="J35" s="427"/>
      <c r="K35" s="301"/>
      <c r="L35" s="91"/>
      <c r="M35" s="91"/>
      <c r="N35" s="91"/>
      <c r="O35" s="91"/>
      <c r="P35" s="91"/>
      <c r="Q35" s="91"/>
      <c r="R35" s="91"/>
    </row>
    <row r="36" spans="1:19" outlineLevel="1">
      <c r="A36" s="91"/>
      <c r="B36" s="442"/>
      <c r="C36" s="433"/>
      <c r="D36" s="430"/>
      <c r="E36" s="429"/>
      <c r="F36" s="427"/>
      <c r="G36" s="427"/>
      <c r="H36" s="427"/>
      <c r="I36" s="427"/>
      <c r="J36" s="427"/>
      <c r="K36" s="301"/>
      <c r="L36" s="91"/>
      <c r="M36" s="91"/>
      <c r="N36" s="91"/>
      <c r="O36" s="91"/>
      <c r="P36" s="91"/>
      <c r="Q36" s="91"/>
      <c r="R36" s="91"/>
    </row>
    <row r="37" spans="1:19" outlineLevel="1">
      <c r="A37" s="91" t="s">
        <v>340</v>
      </c>
      <c r="B37" s="443">
        <f>'Modulation-Demodulation Method'!E55</f>
        <v>0.5</v>
      </c>
      <c r="C37" s="91" t="s">
        <v>770</v>
      </c>
      <c r="D37" s="427" t="s">
        <v>413</v>
      </c>
      <c r="E37" s="427"/>
      <c r="F37" s="427"/>
      <c r="G37" s="427"/>
      <c r="H37" s="427"/>
      <c r="I37" s="427"/>
      <c r="J37" s="427"/>
      <c r="K37" s="91"/>
      <c r="L37" s="91"/>
      <c r="M37" s="91"/>
      <c r="N37" s="91"/>
      <c r="O37" s="91"/>
      <c r="P37" s="91"/>
      <c r="Q37" s="91"/>
      <c r="R37" s="91"/>
    </row>
    <row r="38" spans="1:19" outlineLevel="1">
      <c r="A38" s="91"/>
      <c r="B38" s="444"/>
      <c r="C38" s="91"/>
      <c r="D38" s="427"/>
      <c r="E38" s="427"/>
      <c r="F38" s="427"/>
      <c r="G38" s="427"/>
      <c r="H38" s="427"/>
      <c r="I38" s="427"/>
      <c r="J38" s="427"/>
      <c r="K38" s="91"/>
      <c r="L38" s="91"/>
      <c r="M38" s="91"/>
      <c r="N38" s="91"/>
      <c r="O38" s="91"/>
      <c r="P38" s="91"/>
      <c r="Q38" s="91"/>
      <c r="R38" s="91"/>
    </row>
    <row r="39" spans="1:19" outlineLevel="1">
      <c r="A39" s="91" t="s">
        <v>792</v>
      </c>
      <c r="B39" s="462">
        <f>INDEX('Modulation-Demodulation Method'!F34:F53,'Modulation-Demodulation Method'!E31,1)</f>
        <v>10.4</v>
      </c>
      <c r="C39" s="91" t="s">
        <v>770</v>
      </c>
      <c r="D39" s="427" t="s">
        <v>308</v>
      </c>
      <c r="E39" s="427"/>
      <c r="F39" s="427"/>
      <c r="G39" s="427"/>
      <c r="H39" s="427"/>
      <c r="I39" s="427"/>
      <c r="J39" s="427"/>
      <c r="K39" s="437"/>
      <c r="L39" s="91"/>
      <c r="M39" s="91"/>
      <c r="N39" s="91"/>
      <c r="O39" s="91"/>
      <c r="P39" s="91"/>
      <c r="Q39" s="91"/>
      <c r="R39" s="91"/>
    </row>
    <row r="40" spans="1:19" outlineLevel="1">
      <c r="A40" s="91"/>
      <c r="B40" s="438"/>
      <c r="C40" s="91"/>
      <c r="D40" s="427"/>
      <c r="E40" s="427"/>
      <c r="F40" s="427"/>
      <c r="G40" s="427"/>
      <c r="H40" s="427"/>
      <c r="I40" s="427"/>
      <c r="J40" s="427"/>
      <c r="K40" s="437"/>
      <c r="L40" s="91"/>
      <c r="M40" s="91"/>
      <c r="N40" s="91"/>
      <c r="O40" s="91"/>
      <c r="P40" s="91"/>
      <c r="Q40" s="91"/>
      <c r="R40" s="91"/>
    </row>
    <row r="41" spans="1:19" outlineLevel="1">
      <c r="A41" s="91" t="s">
        <v>341</v>
      </c>
      <c r="B41" s="425">
        <f>'Modulation-Demodulation Method'!H33</f>
        <v>10.9</v>
      </c>
      <c r="C41" s="91" t="s">
        <v>770</v>
      </c>
      <c r="D41" s="427" t="s">
        <v>353</v>
      </c>
      <c r="E41" s="427"/>
      <c r="F41" s="427"/>
      <c r="G41" s="427"/>
      <c r="H41" s="427"/>
      <c r="I41" s="427"/>
      <c r="J41" s="427"/>
      <c r="K41" s="437"/>
      <c r="L41" s="91"/>
      <c r="M41" s="91"/>
      <c r="N41" s="91"/>
      <c r="O41" s="91"/>
      <c r="P41" s="91"/>
      <c r="Q41" s="91"/>
      <c r="R41" s="91"/>
    </row>
    <row r="42" spans="1:19" ht="13" outlineLevel="1" thickBot="1">
      <c r="A42" s="91"/>
      <c r="B42" s="438"/>
      <c r="C42" s="91"/>
      <c r="D42" s="427"/>
      <c r="E42" s="427"/>
      <c r="F42" s="427"/>
      <c r="G42" s="427"/>
      <c r="H42" s="427"/>
      <c r="I42" s="427"/>
      <c r="J42" s="427"/>
      <c r="K42" s="437"/>
      <c r="L42" s="91"/>
      <c r="M42" s="91"/>
      <c r="N42" s="91"/>
      <c r="O42" s="91"/>
      <c r="P42" s="91"/>
      <c r="Q42" s="91"/>
      <c r="R42" s="91"/>
    </row>
    <row r="43" spans="1:19" ht="13.5" outlineLevel="1" thickBot="1">
      <c r="A43" s="120" t="s">
        <v>793</v>
      </c>
      <c r="B43" s="40">
        <f>B30-B41</f>
        <v>2.4226316473750966</v>
      </c>
      <c r="C43" s="91" t="s">
        <v>770</v>
      </c>
      <c r="D43" s="427"/>
      <c r="E43" s="427"/>
      <c r="F43" s="427"/>
      <c r="G43" s="427"/>
      <c r="H43" s="427"/>
      <c r="I43" s="427"/>
      <c r="J43" s="427"/>
      <c r="K43" s="91"/>
      <c r="L43" s="91"/>
      <c r="M43" s="91"/>
      <c r="N43" s="91"/>
      <c r="O43" s="91"/>
      <c r="P43" s="91"/>
      <c r="Q43" s="91"/>
      <c r="R43" s="91"/>
    </row>
    <row r="44" spans="1:19" ht="13" outlineLevel="1">
      <c r="A44" s="91"/>
      <c r="B44" s="91"/>
      <c r="C44" s="91"/>
      <c r="D44" s="427"/>
      <c r="E44" s="427"/>
      <c r="F44" s="427"/>
      <c r="G44" s="427"/>
      <c r="H44" s="427"/>
      <c r="I44" s="427"/>
      <c r="J44" s="427"/>
      <c r="K44" s="453"/>
      <c r="L44" s="91"/>
      <c r="M44" s="91"/>
      <c r="N44" s="91"/>
      <c r="O44" s="91"/>
      <c r="P44" s="91"/>
      <c r="Q44" s="91"/>
      <c r="R44" s="91"/>
    </row>
    <row r="45" spans="1:19" outlineLevel="1">
      <c r="A45" s="98"/>
      <c r="B45" s="98"/>
      <c r="C45" s="98"/>
      <c r="D45" s="141" t="s">
        <v>728</v>
      </c>
      <c r="E45" s="141"/>
      <c r="F45" s="141"/>
      <c r="G45" s="141"/>
      <c r="H45" s="141"/>
      <c r="I45" s="141"/>
      <c r="J45" s="141"/>
      <c r="K45" s="98"/>
      <c r="L45" s="98"/>
      <c r="M45" s="98"/>
      <c r="N45" s="98"/>
      <c r="O45" s="98"/>
      <c r="P45" s="98"/>
      <c r="Q45" s="98"/>
      <c r="R45" s="98"/>
      <c r="S45" s="426"/>
    </row>
    <row r="46" spans="1:19" ht="13">
      <c r="A46" s="451" t="s">
        <v>808</v>
      </c>
      <c r="B46" s="42"/>
      <c r="C46" s="42"/>
      <c r="D46" s="42"/>
      <c r="E46" s="42"/>
      <c r="F46" s="23"/>
      <c r="G46" s="23"/>
      <c r="H46" s="23"/>
      <c r="I46" s="23"/>
      <c r="J46" s="23"/>
      <c r="K46" s="23"/>
      <c r="L46" s="23"/>
      <c r="M46" s="23"/>
      <c r="N46" s="23"/>
      <c r="O46" s="23"/>
      <c r="P46" s="23"/>
      <c r="Q46" s="23"/>
      <c r="R46" s="23"/>
    </row>
    <row r="47" spans="1:19" ht="13" outlineLevel="1">
      <c r="A47" s="36" t="s">
        <v>849</v>
      </c>
      <c r="B47" s="42"/>
      <c r="C47" s="42"/>
      <c r="D47" s="42"/>
      <c r="E47" s="42"/>
      <c r="F47" s="23"/>
      <c r="G47" s="23"/>
      <c r="H47" s="23"/>
      <c r="I47" s="23"/>
      <c r="J47" s="23"/>
      <c r="K47" s="23"/>
      <c r="L47" s="23"/>
      <c r="M47" s="23"/>
      <c r="N47" s="23"/>
      <c r="O47" s="23"/>
      <c r="P47" s="23"/>
      <c r="Q47" s="23"/>
      <c r="R47" s="23"/>
    </row>
    <row r="48" spans="1:19" outlineLevel="1">
      <c r="A48" s="91" t="s">
        <v>807</v>
      </c>
      <c r="B48" s="437">
        <f>'Antenna Pointing Losses'!K102</f>
        <v>0.31396976431536944</v>
      </c>
      <c r="C48" s="91" t="s">
        <v>770</v>
      </c>
      <c r="D48" s="427" t="s">
        <v>669</v>
      </c>
      <c r="E48" s="427"/>
      <c r="F48" s="427"/>
      <c r="G48" s="427"/>
      <c r="H48" s="427"/>
      <c r="I48" s="427"/>
      <c r="J48" s="427"/>
      <c r="K48" s="91"/>
      <c r="L48" s="91"/>
      <c r="M48" s="91"/>
      <c r="N48" s="91"/>
      <c r="O48" s="91"/>
      <c r="P48" s="91"/>
      <c r="Q48" s="91"/>
      <c r="R48" s="91"/>
    </row>
    <row r="49" spans="1:18" outlineLevel="1">
      <c r="A49" s="91" t="s">
        <v>787</v>
      </c>
      <c r="B49" s="437">
        <f>INDEX('Antenna Gain'!N60:N63,'Antenna Gain'!E58,1)</f>
        <v>15.5</v>
      </c>
      <c r="C49" s="91" t="s">
        <v>36</v>
      </c>
      <c r="D49" s="427" t="s">
        <v>670</v>
      </c>
      <c r="E49" s="427"/>
      <c r="F49" s="427"/>
      <c r="G49" s="427"/>
      <c r="H49" s="427"/>
      <c r="I49" s="427"/>
      <c r="J49" s="427"/>
      <c r="K49" s="91"/>
      <c r="L49" s="91"/>
      <c r="M49" s="91"/>
      <c r="N49" s="91"/>
      <c r="O49" s="91"/>
      <c r="P49" s="91"/>
      <c r="Q49" s="91"/>
      <c r="R49" s="91"/>
    </row>
    <row r="50" spans="1:18" outlineLevel="1">
      <c r="A50" s="91" t="s">
        <v>303</v>
      </c>
      <c r="B50" s="437">
        <f>Receivers!J126</f>
        <v>0.1759</v>
      </c>
      <c r="C50" s="91" t="s">
        <v>770</v>
      </c>
      <c r="D50" s="427" t="s">
        <v>304</v>
      </c>
      <c r="E50" s="427"/>
      <c r="F50" s="427"/>
      <c r="G50" s="427"/>
      <c r="H50" s="427"/>
      <c r="I50" s="427"/>
      <c r="J50" s="427"/>
      <c r="K50" s="91"/>
      <c r="L50" s="91"/>
      <c r="M50" s="91"/>
      <c r="N50" s="91"/>
      <c r="O50" s="91"/>
      <c r="P50" s="91"/>
      <c r="Q50" s="91"/>
      <c r="R50" s="91"/>
    </row>
    <row r="51" spans="1:18" outlineLevel="1">
      <c r="A51" s="91" t="s">
        <v>788</v>
      </c>
      <c r="B51" s="440">
        <f>Receivers!J149</f>
        <v>560.43703405741689</v>
      </c>
      <c r="C51" s="91" t="s">
        <v>798</v>
      </c>
      <c r="D51" s="427" t="s">
        <v>302</v>
      </c>
      <c r="E51" s="427"/>
      <c r="F51" s="427"/>
      <c r="G51" s="427"/>
      <c r="H51" s="427"/>
      <c r="I51" s="427"/>
      <c r="J51" s="427"/>
      <c r="K51" s="91"/>
      <c r="L51" s="91"/>
      <c r="M51" s="91"/>
      <c r="N51" s="91"/>
      <c r="O51" s="91"/>
      <c r="P51" s="91"/>
      <c r="Q51" s="91"/>
      <c r="R51" s="91"/>
    </row>
    <row r="52" spans="1:18" outlineLevel="1">
      <c r="A52" s="91" t="s">
        <v>789</v>
      </c>
      <c r="B52" s="437">
        <f>B49-B50-10*LOG10(B51)</f>
        <v>-12.161168260344303</v>
      </c>
      <c r="C52" s="91" t="s">
        <v>799</v>
      </c>
      <c r="D52" s="427" t="s">
        <v>378</v>
      </c>
      <c r="E52" s="427"/>
      <c r="F52" s="427"/>
      <c r="G52" s="427"/>
      <c r="H52" s="427"/>
      <c r="I52" s="427"/>
      <c r="J52" s="427"/>
      <c r="K52" s="91"/>
      <c r="L52" s="91"/>
      <c r="M52" s="91"/>
      <c r="N52" s="91"/>
      <c r="O52" s="91"/>
      <c r="P52" s="91"/>
      <c r="Q52" s="91"/>
      <c r="R52" s="91"/>
    </row>
    <row r="53" spans="1:18" outlineLevel="1">
      <c r="A53" s="91"/>
      <c r="B53" s="437"/>
      <c r="C53" s="91"/>
      <c r="D53" s="427"/>
      <c r="E53" s="427"/>
      <c r="F53" s="427"/>
      <c r="G53" s="427"/>
      <c r="H53" s="427"/>
      <c r="I53" s="427"/>
      <c r="J53" s="427"/>
      <c r="K53" s="91"/>
      <c r="L53" s="91"/>
      <c r="M53" s="91"/>
      <c r="N53" s="91"/>
      <c r="O53" s="91"/>
      <c r="P53" s="91"/>
      <c r="Q53" s="91"/>
      <c r="R53" s="91"/>
    </row>
    <row r="54" spans="1:18" outlineLevel="1">
      <c r="A54" s="91" t="s">
        <v>809</v>
      </c>
      <c r="B54" s="351">
        <f>B19+B49-B48-B50</f>
        <v>-140.80240004892042</v>
      </c>
      <c r="C54" s="91" t="s">
        <v>795</v>
      </c>
      <c r="D54" s="427" t="s">
        <v>379</v>
      </c>
      <c r="E54" s="427"/>
      <c r="F54" s="427"/>
      <c r="G54" s="427"/>
      <c r="H54" s="427"/>
      <c r="I54" s="427"/>
      <c r="J54" s="427"/>
      <c r="K54" s="91"/>
      <c r="L54" s="91"/>
      <c r="M54" s="91"/>
      <c r="N54" s="91"/>
      <c r="O54" s="91"/>
      <c r="P54" s="91"/>
      <c r="Q54" s="91"/>
      <c r="R54" s="91"/>
    </row>
    <row r="55" spans="1:18" outlineLevel="1">
      <c r="A55" s="91"/>
      <c r="B55" s="450"/>
      <c r="C55" s="91"/>
      <c r="D55" s="427"/>
      <c r="E55" s="427"/>
      <c r="F55" s="427"/>
      <c r="G55" s="427"/>
      <c r="H55" s="427"/>
      <c r="I55" s="427"/>
      <c r="J55" s="427"/>
      <c r="K55" s="91"/>
      <c r="L55" s="91"/>
      <c r="M55" s="91"/>
      <c r="N55" s="91"/>
      <c r="O55" s="91"/>
      <c r="P55" s="91"/>
      <c r="Q55" s="91"/>
      <c r="R55" s="91"/>
    </row>
    <row r="56" spans="1:18" ht="13" outlineLevel="1">
      <c r="A56" s="91" t="s">
        <v>380</v>
      </c>
      <c r="B56" s="386">
        <v>50000</v>
      </c>
      <c r="C56" s="91" t="s">
        <v>810</v>
      </c>
      <c r="D56" s="427" t="s">
        <v>354</v>
      </c>
      <c r="E56" s="427"/>
      <c r="F56" s="427"/>
      <c r="G56" s="427"/>
      <c r="H56" s="393" t="s">
        <v>140</v>
      </c>
      <c r="I56" s="427"/>
      <c r="J56" s="427"/>
      <c r="K56" s="91"/>
      <c r="L56" s="91"/>
      <c r="M56" s="91"/>
      <c r="N56" s="91"/>
      <c r="O56" s="91"/>
      <c r="P56" s="91"/>
      <c r="Q56" s="91"/>
      <c r="R56" s="91"/>
    </row>
    <row r="57" spans="1:18" outlineLevel="1">
      <c r="A57" s="91"/>
      <c r="B57" s="449"/>
      <c r="C57" s="91"/>
      <c r="D57" s="427"/>
      <c r="E57" s="427"/>
      <c r="F57" s="427"/>
      <c r="G57" s="427"/>
      <c r="H57" s="427"/>
      <c r="I57" s="427"/>
      <c r="J57" s="427"/>
      <c r="K57" s="91"/>
      <c r="L57" s="91"/>
      <c r="M57" s="91"/>
      <c r="N57" s="91"/>
      <c r="O57" s="91"/>
      <c r="P57" s="91"/>
      <c r="Q57" s="91"/>
      <c r="R57" s="91"/>
    </row>
    <row r="58" spans="1:18" outlineLevel="1">
      <c r="A58" s="91" t="s">
        <v>811</v>
      </c>
      <c r="B58" s="351">
        <f>F27+10*LOG10(B51)+10*LOG10(B56)</f>
        <v>-154.12503169629551</v>
      </c>
      <c r="C58" s="91" t="s">
        <v>795</v>
      </c>
      <c r="D58" s="427" t="s">
        <v>419</v>
      </c>
      <c r="E58" s="427"/>
      <c r="F58" s="427"/>
      <c r="G58" s="427"/>
      <c r="H58" s="427"/>
      <c r="I58" s="427"/>
      <c r="J58" s="427"/>
      <c r="K58" s="91"/>
      <c r="L58" s="91"/>
      <c r="M58" s="91"/>
      <c r="N58" s="91"/>
      <c r="O58" s="91"/>
      <c r="P58" s="91"/>
      <c r="Q58" s="91"/>
      <c r="R58" s="91"/>
    </row>
    <row r="59" spans="1:18" outlineLevel="1">
      <c r="A59" s="91"/>
      <c r="B59" s="450"/>
      <c r="C59" s="91"/>
      <c r="D59" s="427"/>
      <c r="E59" s="427"/>
      <c r="F59" s="427"/>
      <c r="G59" s="427"/>
      <c r="H59" s="427"/>
      <c r="I59" s="427"/>
      <c r="J59" s="427"/>
      <c r="K59" s="91"/>
      <c r="L59" s="91"/>
      <c r="M59" s="91"/>
      <c r="N59" s="91"/>
      <c r="O59" s="91"/>
      <c r="P59" s="91"/>
      <c r="Q59" s="91"/>
      <c r="R59" s="91"/>
    </row>
    <row r="60" spans="1:18" outlineLevel="1">
      <c r="A60" s="91" t="s">
        <v>812</v>
      </c>
      <c r="B60" s="423">
        <f>B54-B58</f>
        <v>13.32263164737509</v>
      </c>
      <c r="C60" s="91" t="s">
        <v>770</v>
      </c>
      <c r="D60" s="427" t="s">
        <v>381</v>
      </c>
      <c r="E60" s="427"/>
      <c r="F60" s="427"/>
      <c r="G60" s="427"/>
      <c r="H60" s="427"/>
      <c r="I60" s="427"/>
      <c r="J60" s="427"/>
      <c r="K60" s="91"/>
      <c r="L60" s="91"/>
      <c r="M60" s="91"/>
      <c r="N60" s="91"/>
      <c r="O60" s="91"/>
      <c r="P60" s="91"/>
      <c r="Q60" s="91"/>
      <c r="R60" s="91"/>
    </row>
    <row r="61" spans="1:18" outlineLevel="1">
      <c r="A61" s="91"/>
      <c r="B61" s="301"/>
      <c r="C61" s="91"/>
      <c r="D61" s="427"/>
      <c r="E61" s="427"/>
      <c r="F61" s="427"/>
      <c r="G61" s="427"/>
      <c r="H61" s="427"/>
      <c r="I61" s="427"/>
      <c r="J61" s="427"/>
      <c r="K61" s="91"/>
      <c r="L61" s="91"/>
      <c r="M61" s="91"/>
      <c r="N61" s="91"/>
      <c r="O61" s="91"/>
      <c r="P61" s="91"/>
      <c r="Q61" s="91"/>
      <c r="R61" s="91"/>
    </row>
    <row r="62" spans="1:18" outlineLevel="1">
      <c r="A62" s="91" t="s">
        <v>355</v>
      </c>
      <c r="B62" s="425">
        <f>'Modulation-Demodulation Method'!H33</f>
        <v>10.9</v>
      </c>
      <c r="C62" s="91" t="s">
        <v>770</v>
      </c>
      <c r="D62" s="427" t="s">
        <v>382</v>
      </c>
      <c r="E62" s="427"/>
      <c r="F62" s="427"/>
      <c r="G62" s="427"/>
      <c r="H62" s="427"/>
      <c r="I62" s="427"/>
      <c r="J62" s="427"/>
      <c r="K62" s="91"/>
      <c r="L62" s="91"/>
      <c r="M62" s="91"/>
      <c r="N62" s="91"/>
      <c r="O62" s="91"/>
      <c r="P62" s="91"/>
      <c r="Q62" s="91"/>
      <c r="R62" s="91"/>
    </row>
    <row r="63" spans="1:18" ht="13" outlineLevel="1" thickBot="1">
      <c r="A63" s="91"/>
      <c r="B63" s="301"/>
      <c r="C63" s="91"/>
      <c r="D63" s="427"/>
      <c r="E63" s="427"/>
      <c r="F63" s="427"/>
      <c r="G63" s="427"/>
      <c r="H63" s="427"/>
      <c r="I63" s="427"/>
      <c r="J63" s="427"/>
      <c r="K63" s="91"/>
      <c r="L63" s="91"/>
      <c r="M63" s="91"/>
      <c r="N63" s="91"/>
      <c r="O63" s="91"/>
      <c r="P63" s="91"/>
      <c r="Q63" s="91"/>
      <c r="R63" s="91"/>
    </row>
    <row r="64" spans="1:18" ht="13.5" outlineLevel="1" thickBot="1">
      <c r="A64" s="91" t="s">
        <v>376</v>
      </c>
      <c r="B64" s="40">
        <f>B60-B62</f>
        <v>2.4226316473750895</v>
      </c>
      <c r="C64" s="91" t="s">
        <v>770</v>
      </c>
      <c r="D64" s="427"/>
      <c r="E64" s="427"/>
      <c r="F64" s="427"/>
      <c r="G64" s="427"/>
      <c r="H64" s="427"/>
      <c r="I64" s="427"/>
      <c r="J64" s="427"/>
      <c r="K64" s="91"/>
      <c r="L64" s="91"/>
      <c r="M64" s="91"/>
      <c r="N64" s="91"/>
      <c r="O64" s="91"/>
      <c r="P64" s="91"/>
      <c r="Q64" s="91"/>
      <c r="R64" s="91"/>
    </row>
    <row r="65" spans="1:18" outlineLevel="1">
      <c r="A65" s="98"/>
      <c r="B65" s="98"/>
      <c r="C65" s="98"/>
      <c r="D65" s="427"/>
      <c r="E65" s="427"/>
      <c r="F65" s="427"/>
      <c r="G65" s="427"/>
      <c r="H65" s="427"/>
      <c r="I65" s="427"/>
      <c r="J65" s="427"/>
      <c r="K65" s="91"/>
      <c r="L65" s="91"/>
      <c r="M65" s="91"/>
      <c r="N65" s="91"/>
      <c r="O65" s="91"/>
      <c r="P65" s="91"/>
      <c r="Q65" s="91"/>
      <c r="R65" s="91"/>
    </row>
    <row r="66" spans="1:18" outlineLevel="1">
      <c r="A66" s="91"/>
      <c r="B66" s="91"/>
      <c r="C66" s="91"/>
      <c r="D66" s="427"/>
      <c r="E66" s="427"/>
      <c r="F66" s="427"/>
      <c r="G66" s="427"/>
      <c r="H66" s="427"/>
      <c r="I66" s="427"/>
      <c r="J66" s="427"/>
      <c r="K66" s="91"/>
      <c r="L66" s="91"/>
      <c r="M66" s="91"/>
      <c r="N66" s="91"/>
      <c r="O66" s="91"/>
      <c r="P66" s="91"/>
      <c r="Q66" s="91"/>
      <c r="R66" s="91"/>
    </row>
    <row r="67" spans="1:18">
      <c r="D67" t="s">
        <v>728</v>
      </c>
    </row>
    <row r="69" spans="1:18">
      <c r="D69" s="426"/>
      <c r="E69" s="426"/>
      <c r="F69" s="426"/>
    </row>
    <row r="78" spans="1:18">
      <c r="G78" s="426"/>
      <c r="H78" s="426"/>
      <c r="I78" s="426"/>
    </row>
    <row r="92" spans="2:2">
      <c r="B92" t="s">
        <v>728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E1" sqref="E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423</v>
      </c>
      <c r="B1" s="127"/>
      <c r="C1" s="127"/>
      <c r="D1" s="127"/>
      <c r="E1" s="127"/>
      <c r="F1" s="127"/>
      <c r="G1" s="645" t="str">
        <f>'Title Page'!F3</f>
        <v>OreSat - CS0</v>
      </c>
      <c r="H1" s="127"/>
      <c r="I1" s="390"/>
      <c r="J1" s="390"/>
      <c r="K1" s="390"/>
      <c r="L1" s="650" t="str">
        <f>'Title Page'!F23</f>
        <v>2019 May 6</v>
      </c>
      <c r="M1" s="390"/>
      <c r="N1" s="390"/>
      <c r="O1" s="390"/>
      <c r="P1" s="390"/>
      <c r="Q1" s="390"/>
    </row>
    <row r="2" spans="1:17" ht="13">
      <c r="A2" s="463"/>
      <c r="B2" s="1029" t="s">
        <v>1046</v>
      </c>
      <c r="C2" s="1029"/>
      <c r="D2" s="464"/>
      <c r="E2" s="464"/>
      <c r="F2" s="464"/>
      <c r="G2" s="464" t="s">
        <v>728</v>
      </c>
      <c r="H2" s="465"/>
      <c r="I2" s="480"/>
      <c r="J2" s="1029" t="s">
        <v>1047</v>
      </c>
      <c r="K2" s="1029"/>
      <c r="L2" s="464"/>
      <c r="M2" s="464"/>
      <c r="N2" s="464"/>
      <c r="O2" s="464"/>
      <c r="P2" s="464"/>
      <c r="Q2" s="465"/>
    </row>
    <row r="3" spans="1:17" ht="15" customHeight="1">
      <c r="A3" s="100"/>
      <c r="B3" s="1027" t="s">
        <v>1045</v>
      </c>
      <c r="C3" s="1028"/>
      <c r="D3" s="101"/>
      <c r="E3" s="468" t="s">
        <v>766</v>
      </c>
      <c r="F3" s="475">
        <f>Frequency!M10</f>
        <v>1265</v>
      </c>
      <c r="G3" s="101"/>
      <c r="H3" s="105"/>
      <c r="I3" s="100"/>
      <c r="J3" s="1027" t="s">
        <v>434</v>
      </c>
      <c r="K3" s="1030"/>
      <c r="L3" s="101"/>
      <c r="M3" s="468" t="s">
        <v>766</v>
      </c>
      <c r="N3" s="475">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13" t="s">
        <v>432</v>
      </c>
      <c r="B5" s="1001" t="s">
        <v>1044</v>
      </c>
      <c r="C5" s="471">
        <f>'Uplink Budget'!B30</f>
        <v>13.842074347941534</v>
      </c>
      <c r="D5" s="101"/>
      <c r="E5" s="467" t="s">
        <v>427</v>
      </c>
      <c r="F5" s="561">
        <f>'Uplink Budget'!B43</f>
        <v>2.9420743479415332</v>
      </c>
      <c r="G5" s="562" t="str">
        <f>IF(F5&lt;0,"NO LINK !",IF(F5&lt;6,"MARGINAL LINK",IF(F5&gt;6,"LINK CLOSES")))</f>
        <v>MARGINAL LINK</v>
      </c>
      <c r="H5" s="105"/>
      <c r="I5" s="100"/>
      <c r="J5" s="101"/>
      <c r="K5" s="1001" t="s">
        <v>1042</v>
      </c>
      <c r="L5" s="1000">
        <f>'Downlink Budget'!B28</f>
        <v>50000</v>
      </c>
      <c r="M5" s="101"/>
      <c r="N5" s="101"/>
      <c r="O5" s="101"/>
      <c r="P5" s="101"/>
      <c r="Q5" s="105"/>
    </row>
    <row r="6" spans="1:17" ht="13" thickBot="1">
      <c r="A6" s="100"/>
      <c r="B6" s="101"/>
      <c r="C6" s="101"/>
      <c r="D6" s="101"/>
      <c r="E6" s="101"/>
      <c r="F6" s="101"/>
      <c r="G6" s="31" t="s">
        <v>728</v>
      </c>
      <c r="H6" s="105"/>
      <c r="I6" s="100"/>
      <c r="J6" s="101"/>
      <c r="K6" s="101"/>
      <c r="L6" s="101"/>
      <c r="M6" s="101"/>
      <c r="N6" s="1023" t="s">
        <v>1031</v>
      </c>
      <c r="O6" s="1024"/>
      <c r="P6" s="101"/>
      <c r="Q6" s="105"/>
    </row>
    <row r="7" spans="1:17" ht="13.5" thickBot="1">
      <c r="A7" s="1013" t="s">
        <v>431</v>
      </c>
      <c r="B7" s="1001" t="s">
        <v>1043</v>
      </c>
      <c r="C7" s="471">
        <f>'Uplink Budget'!B61</f>
        <v>13.842074347941519</v>
      </c>
      <c r="D7" s="101"/>
      <c r="E7" s="467" t="s">
        <v>427</v>
      </c>
      <c r="F7" s="561">
        <f>'Uplink Budget'!B65</f>
        <v>2.942074347941519</v>
      </c>
      <c r="G7" s="562" t="str">
        <f>IF(F7&lt;0,"NO LINK !",IF(F7&lt;6,"MARGINAL LINK",IF(F7&gt;6,"LINK CLOSES")))</f>
        <v>MARGINAL LINK</v>
      </c>
      <c r="H7" s="105"/>
      <c r="I7" s="100"/>
      <c r="J7" s="101"/>
      <c r="K7" s="481"/>
      <c r="L7" s="101"/>
      <c r="M7" s="101"/>
      <c r="N7" s="1025" t="str">
        <f>'Downlink Budget'!B32</f>
        <v>GMSK w/ BT=0.3</v>
      </c>
      <c r="O7" s="1026"/>
      <c r="P7" s="101"/>
      <c r="Q7" s="105"/>
    </row>
    <row r="8" spans="1:17" ht="13">
      <c r="A8" s="100"/>
      <c r="B8" s="101"/>
      <c r="C8" s="478"/>
      <c r="D8" s="101"/>
      <c r="E8" s="101"/>
      <c r="F8" s="479"/>
      <c r="G8" s="101"/>
      <c r="H8" s="105"/>
      <c r="I8" s="100"/>
      <c r="J8" s="101"/>
      <c r="K8" s="481"/>
      <c r="L8" s="101"/>
      <c r="M8" s="101"/>
      <c r="N8" s="101"/>
      <c r="O8" s="101"/>
      <c r="P8" s="101"/>
      <c r="Q8" s="105"/>
    </row>
    <row r="9" spans="1:17" ht="13">
      <c r="A9" s="720" t="s">
        <v>140</v>
      </c>
      <c r="B9" s="101"/>
      <c r="C9" s="478"/>
      <c r="D9" s="101"/>
      <c r="E9" s="101"/>
      <c r="F9" s="479"/>
      <c r="G9" s="101"/>
      <c r="H9" s="105"/>
      <c r="I9" s="100"/>
      <c r="J9" s="101"/>
      <c r="K9" s="481"/>
      <c r="L9" s="101"/>
      <c r="M9" s="101"/>
      <c r="N9" s="1023" t="s">
        <v>1030</v>
      </c>
      <c r="O9" s="1024"/>
      <c r="P9" s="101"/>
      <c r="Q9" s="105"/>
    </row>
    <row r="10" spans="1:17">
      <c r="A10" s="100"/>
      <c r="B10" s="101"/>
      <c r="C10" s="1001" t="s">
        <v>1042</v>
      </c>
      <c r="D10" s="1000">
        <f>'Uplink Budget'!B28</f>
        <v>100000</v>
      </c>
      <c r="E10" s="101"/>
      <c r="F10" s="101"/>
      <c r="G10" s="101"/>
      <c r="H10" s="105"/>
      <c r="I10" s="100"/>
      <c r="J10" s="101"/>
      <c r="K10" s="101"/>
      <c r="L10" s="101"/>
      <c r="M10" s="101"/>
      <c r="N10" s="1025" t="str">
        <f>'Downlink Budget'!B33</f>
        <v>None</v>
      </c>
      <c r="O10" s="1026"/>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728</v>
      </c>
      <c r="E13" s="101"/>
      <c r="F13" s="1023" t="s">
        <v>1041</v>
      </c>
      <c r="G13" s="1024"/>
      <c r="H13" s="105"/>
      <c r="I13" s="100"/>
      <c r="J13" s="101"/>
      <c r="K13" s="101"/>
      <c r="L13" s="101"/>
      <c r="M13" s="101"/>
      <c r="N13" s="1037" t="s">
        <v>1062</v>
      </c>
      <c r="O13" s="485">
        <v>0.25</v>
      </c>
      <c r="P13" s="101"/>
      <c r="Q13" s="105"/>
    </row>
    <row r="14" spans="1:17">
      <c r="A14" s="100"/>
      <c r="B14" s="101"/>
      <c r="C14" s="101"/>
      <c r="D14" s="101"/>
      <c r="E14" s="101"/>
      <c r="F14" s="1025" t="str">
        <f>'Uplink Budget'!B33</f>
        <v>None</v>
      </c>
      <c r="G14" s="1026"/>
      <c r="H14" s="105"/>
      <c r="I14" s="100"/>
      <c r="J14" s="101"/>
      <c r="K14" s="101"/>
      <c r="L14" s="101"/>
      <c r="M14" s="101"/>
      <c r="N14" s="101"/>
      <c r="O14" s="101"/>
      <c r="P14" s="101"/>
      <c r="Q14" s="105"/>
    </row>
    <row r="15" spans="1:17" ht="13">
      <c r="A15" s="100"/>
      <c r="B15" s="101"/>
      <c r="C15" s="101"/>
      <c r="D15" s="101"/>
      <c r="E15" s="101"/>
      <c r="F15" s="101"/>
      <c r="G15" s="101"/>
      <c r="H15" s="105"/>
      <c r="I15" s="100"/>
      <c r="J15" s="101"/>
      <c r="K15" s="101"/>
      <c r="L15" s="101"/>
      <c r="M15" s="101"/>
      <c r="N15" s="1059" t="s">
        <v>1063</v>
      </c>
      <c r="O15" s="1036">
        <f>O19/O13</f>
        <v>1</v>
      </c>
      <c r="P15" s="101"/>
      <c r="Q15" s="105"/>
    </row>
    <row r="16" spans="1:17">
      <c r="A16" s="100"/>
      <c r="B16" s="101"/>
      <c r="C16" s="101"/>
      <c r="D16" s="101"/>
      <c r="E16" s="101"/>
      <c r="F16" s="101"/>
      <c r="G16" s="101"/>
      <c r="H16" s="105"/>
      <c r="I16" s="100"/>
      <c r="J16" s="101"/>
      <c r="K16" s="101"/>
      <c r="L16" s="101"/>
      <c r="M16" s="101"/>
      <c r="N16" s="1060"/>
      <c r="O16" s="101"/>
      <c r="P16" s="101"/>
      <c r="Q16" s="105"/>
    </row>
    <row r="17" spans="1:17" ht="13">
      <c r="A17" s="100"/>
      <c r="B17" s="101"/>
      <c r="C17" s="101"/>
      <c r="D17" s="101"/>
      <c r="E17" s="101"/>
      <c r="F17" s="101"/>
      <c r="G17" s="101"/>
      <c r="H17" s="105"/>
      <c r="I17" s="100"/>
      <c r="J17" s="102" t="s">
        <v>728</v>
      </c>
      <c r="K17" s="101"/>
      <c r="L17" s="101"/>
      <c r="M17" s="101"/>
      <c r="N17" s="1061" t="s">
        <v>1064</v>
      </c>
      <c r="O17" s="1036">
        <f>O15-O19</f>
        <v>0.75</v>
      </c>
      <c r="P17" s="101"/>
      <c r="Q17" s="105"/>
    </row>
    <row r="18" spans="1:17">
      <c r="A18" s="100"/>
      <c r="B18" s="101"/>
      <c r="C18" s="101"/>
      <c r="D18" s="101"/>
      <c r="E18" s="101"/>
      <c r="F18" s="1003" t="s">
        <v>433</v>
      </c>
      <c r="G18" s="477">
        <f>'Uplink Budget'!B35</f>
        <v>1.0000000000000001E-5</v>
      </c>
      <c r="H18" s="105"/>
      <c r="I18" s="100"/>
      <c r="J18" s="101"/>
      <c r="K18" s="101"/>
      <c r="L18" s="101"/>
      <c r="M18" s="101"/>
      <c r="N18" s="101"/>
      <c r="O18" s="484"/>
      <c r="P18" s="101"/>
      <c r="Q18" s="105"/>
    </row>
    <row r="19" spans="1:17">
      <c r="A19" s="100"/>
      <c r="B19" s="101"/>
      <c r="C19" s="101"/>
      <c r="D19" s="101"/>
      <c r="E19" s="101"/>
      <c r="F19" s="1023" t="s">
        <v>1040</v>
      </c>
      <c r="G19" s="1024"/>
      <c r="H19" s="105"/>
      <c r="I19" s="100"/>
      <c r="J19" s="101"/>
      <c r="K19" s="101"/>
      <c r="L19" s="101"/>
      <c r="M19" s="101"/>
      <c r="N19" s="1001" t="s">
        <v>1048</v>
      </c>
      <c r="O19" s="1035">
        <f>Transmitters!E60</f>
        <v>0.25</v>
      </c>
      <c r="P19" s="101"/>
      <c r="Q19" s="105"/>
    </row>
    <row r="20" spans="1:17">
      <c r="A20" s="100"/>
      <c r="B20" s="101"/>
      <c r="C20" s="101"/>
      <c r="D20" s="101"/>
      <c r="E20" s="101"/>
      <c r="F20" s="1025" t="str">
        <f>'Uplink Budget'!B32</f>
        <v>GMSK w/ BT=0.3</v>
      </c>
      <c r="G20" s="1026"/>
      <c r="H20" s="105"/>
      <c r="I20" s="100"/>
      <c r="J20" s="101"/>
      <c r="K20" s="101"/>
      <c r="L20" s="101"/>
      <c r="M20" s="101"/>
      <c r="N20" s="101"/>
      <c r="O20" s="101"/>
      <c r="P20" s="101"/>
      <c r="Q20" s="105"/>
    </row>
    <row r="21" spans="1:17">
      <c r="A21" s="100"/>
      <c r="B21" s="101"/>
      <c r="C21" s="101"/>
      <c r="D21" s="101"/>
      <c r="E21" s="101"/>
      <c r="F21" s="1012" t="s">
        <v>341</v>
      </c>
      <c r="G21" s="476">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728</v>
      </c>
      <c r="K23" s="101"/>
      <c r="L23" s="101"/>
      <c r="M23" s="101"/>
      <c r="N23" s="1001" t="s">
        <v>1028</v>
      </c>
      <c r="O23" s="1005">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01" t="s">
        <v>1039</v>
      </c>
      <c r="G25" s="1011">
        <f>'Uplink Budget'!B57</f>
        <v>100000</v>
      </c>
      <c r="H25" s="105"/>
      <c r="I25" s="100"/>
      <c r="J25" s="101"/>
      <c r="K25" s="101"/>
      <c r="L25" s="101"/>
      <c r="M25" s="101"/>
      <c r="N25" s="1001" t="s">
        <v>1027</v>
      </c>
      <c r="O25" s="488">
        <f>Transmitters!I78</f>
        <v>0.05</v>
      </c>
      <c r="P25" s="101"/>
      <c r="Q25" s="105"/>
    </row>
    <row r="26" spans="1:17">
      <c r="A26" s="100"/>
      <c r="B26" s="101"/>
      <c r="C26" s="101"/>
      <c r="D26" s="101"/>
      <c r="E26" s="101"/>
      <c r="F26" s="1033" t="s">
        <v>430</v>
      </c>
      <c r="G26" s="1034"/>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1001" t="s">
        <v>1026</v>
      </c>
      <c r="O27" s="488">
        <f>SUM(Transmitters!I79:I81)</f>
        <v>0.48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1001" t="s">
        <v>1025</v>
      </c>
      <c r="O29" s="488">
        <f>Transmitters!I83</f>
        <v>0.18</v>
      </c>
      <c r="P29" s="101"/>
      <c r="Q29" s="105"/>
    </row>
    <row r="30" spans="1:17">
      <c r="A30" s="100"/>
      <c r="B30" s="101"/>
      <c r="C30" s="101"/>
      <c r="D30" s="101"/>
      <c r="E30" s="101"/>
      <c r="F30" s="101"/>
      <c r="G30" s="101"/>
      <c r="H30" s="105"/>
      <c r="I30" s="100"/>
      <c r="J30" s="102" t="s">
        <v>728</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1001" t="s">
        <v>1037</v>
      </c>
      <c r="O32" s="472">
        <f>Transmitters!I85</f>
        <v>0.71755999999999998</v>
      </c>
      <c r="P32" s="101"/>
      <c r="Q32" s="105"/>
    </row>
    <row r="33" spans="1:17" ht="13">
      <c r="A33" s="100"/>
      <c r="B33" s="101"/>
      <c r="C33" s="101"/>
      <c r="D33" s="101"/>
      <c r="E33" s="101"/>
      <c r="F33" s="1006" t="s">
        <v>429</v>
      </c>
      <c r="G33" s="1010">
        <f>'Uplink Budget'!B26</f>
        <v>-23.561873179963513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7" t="s">
        <v>1032</v>
      </c>
      <c r="O34" s="1052">
        <f>Transmitters!I87+30</f>
        <v>23.261840086720376</v>
      </c>
      <c r="P34" s="101"/>
      <c r="Q34" s="105"/>
    </row>
    <row r="35" spans="1:17">
      <c r="A35" s="100"/>
      <c r="B35" s="101"/>
      <c r="C35" s="101"/>
      <c r="D35" s="101"/>
      <c r="E35" s="101"/>
      <c r="F35" s="1006" t="s">
        <v>428</v>
      </c>
      <c r="G35" s="1008">
        <f>'Uplink Budget'!B25</f>
        <v>226.02335545202456</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6" t="s">
        <v>889</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1002" t="s">
        <v>1049</v>
      </c>
      <c r="O38" s="487">
        <f>'Downlink Budget'!B10</f>
        <v>1</v>
      </c>
      <c r="P38" s="101"/>
      <c r="Q38" s="105"/>
    </row>
    <row r="39" spans="1:17">
      <c r="A39" s="100"/>
      <c r="B39" s="101"/>
      <c r="C39" s="101"/>
      <c r="D39" s="101"/>
      <c r="E39" s="101"/>
      <c r="F39" s="101"/>
      <c r="G39" s="101"/>
      <c r="H39" s="105"/>
      <c r="I39" s="100"/>
      <c r="J39" s="101"/>
      <c r="K39" s="101"/>
      <c r="L39" s="101"/>
      <c r="M39" s="101"/>
      <c r="N39" s="1003" t="s">
        <v>60</v>
      </c>
      <c r="O39" s="377" t="str">
        <f>'Antenna Gain'!K41</f>
        <v>RHCP</v>
      </c>
      <c r="P39" s="101"/>
      <c r="Q39" s="105"/>
    </row>
    <row r="40" spans="1:17">
      <c r="A40" s="100"/>
      <c r="B40" s="101"/>
      <c r="C40" s="101"/>
      <c r="D40" s="101"/>
      <c r="E40" s="101"/>
      <c r="F40" s="1001" t="s">
        <v>682</v>
      </c>
      <c r="G40" s="473">
        <f>Receivers!J67</f>
        <v>1183.5970014408329</v>
      </c>
      <c r="H40" s="105"/>
      <c r="I40" s="100"/>
      <c r="J40" s="1055" t="str">
        <f>'Antenna Gain'!F41</f>
        <v>Canted Turnstyle</v>
      </c>
      <c r="K40" s="1055"/>
      <c r="L40" s="101"/>
      <c r="M40" s="101"/>
      <c r="N40" s="1003" t="s">
        <v>1061</v>
      </c>
      <c r="O40" s="1058">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39" t="s">
        <v>435</v>
      </c>
      <c r="O42" s="1057">
        <f>'Downlink Budget'!B11+30</f>
        <v>24.261840086720376</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23" t="s">
        <v>1034</v>
      </c>
      <c r="O44" s="1045"/>
      <c r="P44" s="101"/>
      <c r="Q44" s="105"/>
    </row>
    <row r="45" spans="1:17" ht="13">
      <c r="A45" s="100"/>
      <c r="B45" s="101"/>
      <c r="C45" s="101"/>
      <c r="D45" s="101"/>
      <c r="E45" s="101"/>
      <c r="F45" s="428" t="s">
        <v>426</v>
      </c>
      <c r="G45" s="471">
        <f>Receivers!F65</f>
        <v>17</v>
      </c>
      <c r="H45" s="105"/>
      <c r="I45" s="100"/>
      <c r="J45" s="101"/>
      <c r="K45" s="101"/>
      <c r="L45" s="101"/>
      <c r="M45" s="101"/>
      <c r="N45" s="1040">
        <f>SUM('Downlink Budget'!B13:B18)+'Downlink Budget'!B22</f>
        <v>150.38834013564079</v>
      </c>
      <c r="O45" s="1041"/>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8" t="s">
        <v>425</v>
      </c>
      <c r="G47" s="473">
        <f>Receivers!J63</f>
        <v>31</v>
      </c>
      <c r="H47" s="105"/>
      <c r="I47" s="100"/>
      <c r="J47" s="101"/>
      <c r="K47" s="101"/>
      <c r="L47" s="101"/>
      <c r="M47" s="101"/>
      <c r="N47" s="1001" t="s">
        <v>1059</v>
      </c>
      <c r="O47" s="1053">
        <f>'Downlink Budget'!B19+30</f>
        <v>-125.81253028460503</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55" t="str">
        <f>'Antenna Gain'!F58</f>
        <v>Crossed Yagi</v>
      </c>
      <c r="K49" s="1055"/>
      <c r="L49" s="101"/>
      <c r="M49" s="101"/>
      <c r="N49" s="1001" t="s">
        <v>1035</v>
      </c>
      <c r="O49" s="470">
        <f>'Downlink Budget'!B23</f>
        <v>15.5</v>
      </c>
      <c r="P49" s="101"/>
      <c r="Q49" s="105"/>
    </row>
    <row r="50" spans="1:17">
      <c r="A50" s="100"/>
      <c r="B50" s="101"/>
      <c r="C50" s="101"/>
      <c r="D50" s="101"/>
      <c r="E50" s="101"/>
      <c r="F50" s="101"/>
      <c r="G50" s="101"/>
      <c r="H50" s="105"/>
      <c r="I50" s="100"/>
      <c r="J50" s="101"/>
      <c r="K50" s="101"/>
      <c r="L50" s="101"/>
      <c r="M50" s="101"/>
      <c r="N50" s="1003" t="s">
        <v>60</v>
      </c>
      <c r="O50" s="377" t="str">
        <f>'Antenna Gain'!K58</f>
        <v>RHCP</v>
      </c>
      <c r="P50" s="101"/>
      <c r="Q50" s="105"/>
    </row>
    <row r="51" spans="1:17">
      <c r="A51" s="100"/>
      <c r="B51" s="101"/>
      <c r="C51" s="101"/>
      <c r="D51" s="101"/>
      <c r="E51" s="101"/>
      <c r="F51" s="1001" t="s">
        <v>1038</v>
      </c>
      <c r="G51" s="1009">
        <f>Receivers!J55</f>
        <v>1.02034</v>
      </c>
      <c r="H51" s="105"/>
      <c r="I51" s="100"/>
      <c r="J51" s="101"/>
      <c r="K51" s="101"/>
      <c r="L51" s="101"/>
      <c r="M51" s="101"/>
      <c r="N51" s="1003" t="s">
        <v>1061</v>
      </c>
      <c r="O51" s="1058">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6" t="s">
        <v>894</v>
      </c>
      <c r="N53" s="101"/>
      <c r="O53" s="101"/>
      <c r="P53" s="101"/>
      <c r="Q53" s="105"/>
    </row>
    <row r="54" spans="1:17">
      <c r="A54" s="100"/>
      <c r="B54" s="101"/>
      <c r="C54" s="101"/>
      <c r="D54" s="101"/>
      <c r="E54" s="101"/>
      <c r="F54" s="1001" t="s">
        <v>1026</v>
      </c>
      <c r="G54" s="488">
        <f>SUM(Receivers!J50:J52)</f>
        <v>0.95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01" t="s">
        <v>1036</v>
      </c>
      <c r="O55" s="473">
        <f>Receivers!J130</f>
        <v>500</v>
      </c>
      <c r="P55" s="101"/>
      <c r="Q55" s="105"/>
    </row>
    <row r="56" spans="1:17">
      <c r="A56" s="100"/>
      <c r="B56" s="101"/>
      <c r="C56" s="101"/>
      <c r="D56" s="101"/>
      <c r="E56" s="101"/>
      <c r="F56" s="1001" t="s">
        <v>1027</v>
      </c>
      <c r="G56" s="488">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01" t="s">
        <v>1028</v>
      </c>
      <c r="G58" s="1005">
        <f>SUM(Receivers!J47:J49)</f>
        <v>2.034E-2</v>
      </c>
      <c r="H58" s="105"/>
      <c r="I58" s="100"/>
      <c r="J58" s="101"/>
      <c r="K58" s="101"/>
      <c r="L58" s="101"/>
      <c r="M58" s="101"/>
      <c r="N58" s="1001" t="s">
        <v>1028</v>
      </c>
      <c r="O58" s="1005">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01" t="s">
        <v>1027</v>
      </c>
      <c r="O60" s="488">
        <f>Receivers!J123</f>
        <v>0.1</v>
      </c>
      <c r="P60" s="101"/>
      <c r="Q60" s="105"/>
    </row>
    <row r="61" spans="1:17">
      <c r="A61" s="100"/>
      <c r="B61" s="101"/>
      <c r="C61" s="101"/>
      <c r="D61" s="101"/>
      <c r="E61" s="101"/>
      <c r="F61" s="1001" t="s">
        <v>1036</v>
      </c>
      <c r="G61" s="473">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01" t="s">
        <v>1026</v>
      </c>
      <c r="O62" s="488">
        <f>SUM(Receivers!J121:J122)</f>
        <v>0</v>
      </c>
      <c r="P62" s="101"/>
      <c r="Q62" s="105"/>
    </row>
    <row r="63" spans="1:17" ht="13">
      <c r="A63" s="100"/>
      <c r="B63" s="101"/>
      <c r="C63" s="101"/>
      <c r="D63" s="101"/>
      <c r="E63" s="466" t="s">
        <v>894</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1001" t="s">
        <v>1035</v>
      </c>
      <c r="G65" s="470">
        <f>'Uplink Budget'!B23</f>
        <v>1</v>
      </c>
      <c r="H65" s="105"/>
      <c r="I65" s="100"/>
      <c r="J65" s="101"/>
      <c r="K65" s="101"/>
      <c r="L65" s="101"/>
      <c r="M65" s="101"/>
      <c r="N65" s="1001" t="s">
        <v>1038</v>
      </c>
      <c r="O65" s="1009">
        <f>Receivers!J126</f>
        <v>0.1759</v>
      </c>
      <c r="P65" s="101"/>
      <c r="Q65" s="105"/>
    </row>
    <row r="66" spans="1:17">
      <c r="A66" s="100"/>
      <c r="B66" s="101"/>
      <c r="C66" s="101"/>
      <c r="D66" s="101"/>
      <c r="E66" s="101"/>
      <c r="F66" s="1003" t="s">
        <v>60</v>
      </c>
      <c r="G66" s="482" t="str">
        <f>'Antenna Gain'!K11</f>
        <v>RHCP</v>
      </c>
      <c r="H66" s="105"/>
      <c r="I66" s="100"/>
      <c r="J66" s="101"/>
      <c r="K66" s="101"/>
      <c r="L66" s="101"/>
      <c r="M66" s="101"/>
      <c r="N66" s="101"/>
      <c r="O66" s="101"/>
      <c r="P66" s="101"/>
      <c r="Q66" s="105"/>
    </row>
    <row r="67" spans="1:17">
      <c r="A67" s="100"/>
      <c r="B67" s="1054" t="str">
        <f>'Antenna Gain'!F24</f>
        <v>Canted Turnstyle</v>
      </c>
      <c r="C67" s="1054"/>
      <c r="D67" s="101"/>
      <c r="E67" s="101"/>
      <c r="F67" s="1003" t="s">
        <v>1061</v>
      </c>
      <c r="G67" s="1058">
        <f>'Antenna Pointing Losses'!G63</f>
        <v>20</v>
      </c>
      <c r="H67" s="105"/>
      <c r="I67" s="100"/>
      <c r="J67" s="101"/>
      <c r="K67" s="101"/>
      <c r="L67" s="101"/>
      <c r="M67" s="101"/>
      <c r="N67" s="101"/>
      <c r="O67" s="101"/>
      <c r="P67" s="101"/>
      <c r="Q67" s="105"/>
    </row>
    <row r="68" spans="1:17">
      <c r="A68" s="100"/>
      <c r="B68" s="101"/>
      <c r="C68" s="101"/>
      <c r="D68" s="101"/>
      <c r="E68" s="101"/>
      <c r="F68" s="101" t="s">
        <v>728</v>
      </c>
      <c r="G68" s="101"/>
      <c r="H68" s="105"/>
      <c r="I68" s="100"/>
      <c r="J68" s="101"/>
      <c r="K68" s="101"/>
      <c r="L68" s="101"/>
      <c r="M68" s="101"/>
      <c r="N68" s="101"/>
      <c r="O68" s="101"/>
      <c r="P68" s="101"/>
      <c r="Q68" s="105"/>
    </row>
    <row r="69" spans="1:17" ht="15.5">
      <c r="A69" s="100"/>
      <c r="B69" s="101"/>
      <c r="C69" s="101"/>
      <c r="D69" s="101"/>
      <c r="E69" s="101"/>
      <c r="F69" s="1001" t="s">
        <v>1058</v>
      </c>
      <c r="G69" s="1053">
        <f>'Uplink Budget'!B19+30</f>
        <v>-111.19605247209495</v>
      </c>
      <c r="H69" s="105"/>
      <c r="I69" s="100"/>
      <c r="J69" s="101"/>
      <c r="K69" s="101"/>
      <c r="L69" s="101"/>
      <c r="M69" s="101"/>
      <c r="N69" s="428" t="s">
        <v>425</v>
      </c>
      <c r="O69" s="473">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23" t="s">
        <v>1034</v>
      </c>
      <c r="G71" s="1024"/>
      <c r="H71" s="105"/>
      <c r="I71" s="100"/>
      <c r="J71" s="101"/>
      <c r="K71" s="101"/>
      <c r="L71" s="101"/>
      <c r="M71" s="101"/>
      <c r="N71" s="428" t="s">
        <v>426</v>
      </c>
      <c r="O71" s="471">
        <f>Receivers!F136</f>
        <v>18</v>
      </c>
      <c r="P71" s="101"/>
      <c r="Q71" s="105"/>
    </row>
    <row r="72" spans="1:17" ht="13">
      <c r="A72" s="100"/>
      <c r="B72" s="101"/>
      <c r="C72" s="101"/>
      <c r="D72" s="101"/>
      <c r="E72" s="101"/>
      <c r="F72" s="1031">
        <f>SUM('Uplink Budget'!B13:B18)+'Uplink Budget'!B22</f>
        <v>159.47731255881533</v>
      </c>
      <c r="G72" s="1032"/>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7" t="s">
        <v>1060</v>
      </c>
      <c r="G74" s="1051">
        <f>'Uplink Budget'!B11+30</f>
        <v>48.28126008672038</v>
      </c>
      <c r="H74" s="105"/>
      <c r="I74" s="100"/>
      <c r="J74" s="101"/>
      <c r="K74" s="101"/>
      <c r="L74" s="101"/>
      <c r="M74" s="101"/>
      <c r="N74" s="101"/>
      <c r="O74" s="101"/>
      <c r="P74" s="101"/>
      <c r="Q74" s="105"/>
    </row>
    <row r="75" spans="1:17">
      <c r="A75" s="100"/>
      <c r="B75" s="1056" t="str">
        <f>'Antenna Gain'!F11</f>
        <v>Quad Helix</v>
      </c>
      <c r="C75" s="1056"/>
      <c r="D75" s="101"/>
      <c r="E75" s="101"/>
      <c r="F75" s="101"/>
      <c r="G75" s="101"/>
      <c r="H75" s="105"/>
      <c r="I75" s="100"/>
      <c r="J75" s="101"/>
      <c r="K75" s="101"/>
      <c r="L75" s="101"/>
      <c r="M75" s="101"/>
      <c r="N75" s="101"/>
      <c r="O75" s="101"/>
      <c r="P75" s="101"/>
      <c r="Q75" s="105"/>
    </row>
    <row r="76" spans="1:17">
      <c r="A76" s="100"/>
      <c r="B76" s="101"/>
      <c r="C76" s="101"/>
      <c r="D76" s="101"/>
      <c r="E76" s="101"/>
      <c r="F76" s="1001" t="s">
        <v>1033</v>
      </c>
      <c r="G76" s="470">
        <f>'Uplink Budget'!B10</f>
        <v>16</v>
      </c>
      <c r="H76" s="105"/>
      <c r="I76" s="100"/>
      <c r="J76" s="101"/>
      <c r="K76" s="101"/>
      <c r="L76" s="101"/>
      <c r="M76" s="101"/>
      <c r="N76" s="1001" t="s">
        <v>682</v>
      </c>
      <c r="O76" s="473">
        <f>Receivers!J146</f>
        <v>1626.0109992220289</v>
      </c>
      <c r="P76" s="101"/>
      <c r="Q76" s="105"/>
    </row>
    <row r="77" spans="1:17">
      <c r="A77" s="100"/>
      <c r="B77" s="101"/>
      <c r="C77" s="101"/>
      <c r="D77" s="101"/>
      <c r="E77" s="101"/>
      <c r="F77" s="1003" t="s">
        <v>60</v>
      </c>
      <c r="G77" s="482" t="str">
        <f>'Antenna Gain'!K11</f>
        <v>RHCP</v>
      </c>
      <c r="H77" s="105"/>
      <c r="I77" s="100"/>
      <c r="J77" s="101"/>
      <c r="K77" s="101"/>
      <c r="L77" s="101"/>
      <c r="M77" s="101"/>
      <c r="N77" s="101"/>
      <c r="O77" s="101"/>
      <c r="P77" s="101"/>
      <c r="Q77" s="105"/>
    </row>
    <row r="78" spans="1:17">
      <c r="A78" s="100"/>
      <c r="B78" s="101"/>
      <c r="C78" s="101"/>
      <c r="D78" s="101"/>
      <c r="E78" s="101"/>
      <c r="F78" s="1003" t="s">
        <v>1061</v>
      </c>
      <c r="G78" s="1058">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6" t="s">
        <v>889</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06" t="s">
        <v>428</v>
      </c>
      <c r="O81" s="1008">
        <f>Receivers!J149</f>
        <v>560.43703405741689</v>
      </c>
      <c r="P81" s="101"/>
      <c r="Q81" s="105"/>
    </row>
    <row r="82" spans="1:17" ht="15.5">
      <c r="A82" s="100"/>
      <c r="B82" s="101"/>
      <c r="C82" s="101"/>
      <c r="D82" s="101"/>
      <c r="E82" s="101"/>
      <c r="F82" s="1007" t="s">
        <v>1032</v>
      </c>
      <c r="G82" s="1052">
        <f>Transmitters!I45+30</f>
        <v>32.281260086720373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06" t="s">
        <v>429</v>
      </c>
      <c r="O83" s="1010">
        <f>'Downlink Budget'!B26</f>
        <v>-12.161168260344303</v>
      </c>
      <c r="P83" s="101"/>
      <c r="Q83" s="105"/>
    </row>
    <row r="84" spans="1:17">
      <c r="A84" s="100"/>
      <c r="B84" s="101"/>
      <c r="C84" s="101"/>
      <c r="D84" s="101"/>
      <c r="E84" s="101"/>
      <c r="F84" s="1001" t="s">
        <v>1037</v>
      </c>
      <c r="G84" s="472">
        <f>Transmitters!I43</f>
        <v>1.69814</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01" t="s">
        <v>1025</v>
      </c>
      <c r="G87" s="488">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01" t="s">
        <v>1052</v>
      </c>
      <c r="O88" s="1042">
        <f>'Downlink Budget'!B56</f>
        <v>50000</v>
      </c>
      <c r="P88" s="101"/>
      <c r="Q88" s="105"/>
    </row>
    <row r="89" spans="1:17">
      <c r="A89" s="100"/>
      <c r="B89" s="101"/>
      <c r="C89" s="101"/>
      <c r="D89" s="101"/>
      <c r="E89" s="101"/>
      <c r="F89" s="1001" t="s">
        <v>1026</v>
      </c>
      <c r="G89" s="488">
        <f>SUM(Transmitters!I37:I39)</f>
        <v>0.1</v>
      </c>
      <c r="H89" s="105"/>
      <c r="I89" s="100"/>
      <c r="J89" s="101"/>
      <c r="K89" s="101"/>
      <c r="L89" s="101"/>
      <c r="M89" s="101"/>
      <c r="N89" s="1034" t="s">
        <v>439</v>
      </c>
      <c r="O89" s="1034"/>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01" t="s">
        <v>1027</v>
      </c>
      <c r="G91" s="488">
        <f>Transmitters!I36</f>
        <v>0.2</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01" t="s">
        <v>1028</v>
      </c>
      <c r="G93" s="1005">
        <f>Transmitters!I32</f>
        <v>1.21814</v>
      </c>
      <c r="H93" s="105"/>
      <c r="I93" s="100"/>
      <c r="J93" s="101"/>
      <c r="K93" s="101"/>
      <c r="L93" s="101"/>
      <c r="M93" s="101"/>
      <c r="N93" s="1038" t="s">
        <v>433</v>
      </c>
      <c r="O93" s="477">
        <f>'Downlink Budget'!B35</f>
        <v>1.0000000000000001E-5</v>
      </c>
      <c r="P93" s="101"/>
      <c r="Q93" s="105"/>
    </row>
    <row r="94" spans="1:17">
      <c r="A94" s="100"/>
      <c r="B94" s="101"/>
      <c r="C94" s="101"/>
      <c r="D94" s="101"/>
      <c r="E94" s="101"/>
      <c r="F94" s="101" t="s">
        <v>728</v>
      </c>
      <c r="G94" s="101"/>
      <c r="H94" s="105"/>
      <c r="I94" s="100"/>
      <c r="J94" s="101"/>
      <c r="K94" s="101"/>
      <c r="L94" s="101"/>
      <c r="M94" s="101"/>
      <c r="N94" s="1023" t="s">
        <v>1040</v>
      </c>
      <c r="O94" s="1024"/>
      <c r="P94" s="101"/>
      <c r="Q94" s="105"/>
    </row>
    <row r="95" spans="1:17">
      <c r="A95" s="100"/>
      <c r="B95" s="101"/>
      <c r="C95" s="101"/>
      <c r="D95" s="101"/>
      <c r="E95" s="101"/>
      <c r="F95" s="101" t="s">
        <v>728</v>
      </c>
      <c r="G95" s="101"/>
      <c r="H95" s="105"/>
      <c r="I95" s="100"/>
      <c r="J95" s="101"/>
      <c r="K95" s="101"/>
      <c r="L95" s="101"/>
      <c r="M95" s="101"/>
      <c r="N95" s="1025" t="str">
        <f>'Downlink Budget'!B32</f>
        <v>GMSK w/ BT=0.3</v>
      </c>
      <c r="O95" s="1026"/>
      <c r="P95" s="101"/>
      <c r="Q95" s="105"/>
    </row>
    <row r="96" spans="1:17">
      <c r="A96" s="100"/>
      <c r="B96" s="101"/>
      <c r="C96" s="101"/>
      <c r="D96" s="101"/>
      <c r="E96" s="101"/>
      <c r="F96" s="101" t="s">
        <v>728</v>
      </c>
      <c r="G96" s="101"/>
      <c r="H96" s="105"/>
      <c r="I96" s="100"/>
      <c r="J96" s="101"/>
      <c r="K96" s="101"/>
      <c r="L96" s="101"/>
      <c r="M96" s="101"/>
      <c r="N96" s="486" t="s">
        <v>341</v>
      </c>
      <c r="O96" s="476">
        <f>'Downlink Budget'!B41</f>
        <v>10.9</v>
      </c>
      <c r="P96" s="101"/>
      <c r="Q96" s="105"/>
    </row>
    <row r="97" spans="1:17">
      <c r="A97" s="100"/>
      <c r="B97" s="101"/>
      <c r="C97" s="101"/>
      <c r="D97" s="101"/>
      <c r="E97" s="101"/>
      <c r="F97" s="1001" t="s">
        <v>1029</v>
      </c>
      <c r="G97" s="483">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23" t="s">
        <v>1041</v>
      </c>
      <c r="O100" s="1024"/>
      <c r="P100" s="101"/>
      <c r="Q100" s="105"/>
    </row>
    <row r="101" spans="1:17">
      <c r="A101" s="100"/>
      <c r="B101" s="101"/>
      <c r="C101" s="101"/>
      <c r="D101" s="101"/>
      <c r="E101" s="101"/>
      <c r="F101" s="101"/>
      <c r="G101" s="101"/>
      <c r="H101" s="105"/>
      <c r="I101" s="100"/>
      <c r="J101" s="101"/>
      <c r="K101" s="101"/>
      <c r="L101" s="101"/>
      <c r="M101" s="101"/>
      <c r="N101" s="1025" t="str">
        <f>'Downlink Budget'!B33</f>
        <v>None</v>
      </c>
      <c r="O101" s="1026"/>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23" t="s">
        <v>1031</v>
      </c>
      <c r="G103" s="1024"/>
      <c r="H103" s="105"/>
      <c r="I103" s="100"/>
      <c r="J103" s="101"/>
      <c r="K103" s="101"/>
      <c r="L103" s="101"/>
      <c r="M103" s="101"/>
      <c r="N103" s="101"/>
      <c r="O103" s="101"/>
      <c r="P103" s="101"/>
      <c r="Q103" s="105"/>
    </row>
    <row r="104" spans="1:17">
      <c r="A104" s="100"/>
      <c r="B104" s="101"/>
      <c r="C104" s="101"/>
      <c r="D104" s="101"/>
      <c r="E104" s="101"/>
      <c r="F104" s="1025" t="str">
        <f>'Uplink Budget'!B32</f>
        <v>GMSK w/ BT=0.3</v>
      </c>
      <c r="G104" s="1026"/>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01" t="s">
        <v>1042</v>
      </c>
      <c r="L105" s="1042">
        <f>'Downlink Budget'!B28</f>
        <v>50000</v>
      </c>
      <c r="M105" s="101"/>
      <c r="N105" s="101"/>
      <c r="O105" s="101" t="s">
        <v>728</v>
      </c>
      <c r="P105" s="101" t="s">
        <v>728</v>
      </c>
      <c r="Q105" s="105"/>
    </row>
    <row r="106" spans="1:17" ht="13" thickBot="1">
      <c r="A106" s="100"/>
      <c r="B106" s="101"/>
      <c r="C106" s="101"/>
      <c r="D106" s="101"/>
      <c r="E106" s="101"/>
      <c r="F106" s="1023" t="s">
        <v>1030</v>
      </c>
      <c r="G106" s="1024"/>
      <c r="H106" s="105"/>
      <c r="I106" s="100"/>
      <c r="J106" s="101"/>
      <c r="K106" s="101"/>
      <c r="L106" s="101"/>
      <c r="M106" s="101"/>
      <c r="N106" s="101"/>
      <c r="O106" s="101"/>
      <c r="P106" s="101"/>
      <c r="Q106" s="105"/>
    </row>
    <row r="107" spans="1:17" ht="13.5" thickBot="1">
      <c r="A107" s="100"/>
      <c r="B107" s="101"/>
      <c r="C107" s="101"/>
      <c r="D107" s="101"/>
      <c r="E107" s="101"/>
      <c r="F107" s="1025" t="str">
        <f>'Uplink Budget'!B33</f>
        <v>None</v>
      </c>
      <c r="G107" s="1026"/>
      <c r="H107" s="105"/>
      <c r="I107" s="1043" t="s">
        <v>1051</v>
      </c>
      <c r="J107" s="1044"/>
      <c r="K107" s="1001" t="s">
        <v>1050</v>
      </c>
      <c r="L107" s="471">
        <f>'Downlink Budget'!B30</f>
        <v>13.322631647375097</v>
      </c>
      <c r="M107" s="101"/>
      <c r="N107" s="474" t="s">
        <v>427</v>
      </c>
      <c r="O107" s="561">
        <f>'Downlink Budget'!B43</f>
        <v>2.4226316473750966</v>
      </c>
      <c r="P107" s="562"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8" t="s">
        <v>424</v>
      </c>
      <c r="D109" s="1000">
        <f>'Uplink Budget'!B28</f>
        <v>100000</v>
      </c>
      <c r="E109" s="101"/>
      <c r="F109" s="101"/>
      <c r="G109" s="101"/>
      <c r="H109" s="105"/>
      <c r="I109" s="1043" t="s">
        <v>431</v>
      </c>
      <c r="J109" s="1044"/>
      <c r="K109" s="1001" t="s">
        <v>1043</v>
      </c>
      <c r="L109" s="471">
        <f>'Downlink Budget'!B60</f>
        <v>13.32263164737509</v>
      </c>
      <c r="M109" s="101"/>
      <c r="N109" s="474" t="s">
        <v>441</v>
      </c>
      <c r="O109" s="561">
        <f>'Downlink Budget'!B64</f>
        <v>2.4226316473750895</v>
      </c>
      <c r="P109" s="562"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728</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J40:K40"/>
    <mergeCell ref="J49:K49"/>
    <mergeCell ref="B67:C67"/>
    <mergeCell ref="B75:C75"/>
    <mergeCell ref="I109:J109"/>
    <mergeCell ref="I107:J107"/>
    <mergeCell ref="N100:O100"/>
    <mergeCell ref="N101:O101"/>
    <mergeCell ref="N94:O94"/>
    <mergeCell ref="N95:O95"/>
    <mergeCell ref="N89:O89"/>
    <mergeCell ref="N44:O44"/>
    <mergeCell ref="N45:O45"/>
    <mergeCell ref="N9:O9"/>
    <mergeCell ref="N10:O10"/>
    <mergeCell ref="N6:O6"/>
    <mergeCell ref="N7:O7"/>
    <mergeCell ref="F104:G104"/>
    <mergeCell ref="F103:G103"/>
    <mergeCell ref="F106:G106"/>
    <mergeCell ref="F107:G107"/>
    <mergeCell ref="F71:G71"/>
    <mergeCell ref="F72:G72"/>
    <mergeCell ref="F26:G26"/>
    <mergeCell ref="F19:G19"/>
    <mergeCell ref="F20:G20"/>
    <mergeCell ref="F13:G13"/>
    <mergeCell ref="F14:G14"/>
    <mergeCell ref="B3:C3"/>
    <mergeCell ref="B2:C2"/>
    <mergeCell ref="J2:K2"/>
    <mergeCell ref="J3:K3"/>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575</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6" t="s">
        <v>156</v>
      </c>
      <c r="B4" s="4"/>
      <c r="C4" s="3"/>
      <c r="D4" s="3" t="s">
        <v>728</v>
      </c>
      <c r="E4" s="3"/>
      <c r="F4" s="3"/>
      <c r="G4" s="3"/>
      <c r="H4" s="3"/>
      <c r="I4" s="3"/>
      <c r="J4" s="3"/>
      <c r="K4" s="3"/>
      <c r="L4" s="3"/>
      <c r="M4" s="3"/>
      <c r="N4" s="3"/>
      <c r="O4" s="3"/>
      <c r="P4" s="3"/>
      <c r="Q4" s="3"/>
      <c r="R4" s="3"/>
      <c r="S4" s="3"/>
      <c r="T4" s="3"/>
      <c r="U4" s="3"/>
      <c r="V4" s="3"/>
      <c r="W4" s="3"/>
      <c r="X4" s="3"/>
      <c r="Y4" s="3"/>
      <c r="Z4" s="3"/>
      <c r="AA4" s="3"/>
      <c r="AB4" s="3"/>
      <c r="AC4" s="3"/>
    </row>
    <row r="5" spans="1:29" ht="13">
      <c r="A5" s="466"/>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4" t="s">
        <v>609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4" t="s">
        <v>576</v>
      </c>
      <c r="C8" s="924" t="s">
        <v>957</v>
      </c>
      <c r="D8" s="578" t="s">
        <v>155</v>
      </c>
      <c r="E8" s="371" t="s">
        <v>728</v>
      </c>
      <c r="F8" s="426"/>
      <c r="G8" s="426"/>
      <c r="H8" s="426"/>
      <c r="I8" s="426"/>
      <c r="J8" s="426"/>
      <c r="K8" s="426"/>
      <c r="L8" s="426"/>
      <c r="M8" s="426"/>
      <c r="N8" s="3"/>
      <c r="O8" s="3"/>
      <c r="P8" s="3"/>
      <c r="Q8" s="3"/>
      <c r="R8" s="3"/>
      <c r="S8" s="3"/>
      <c r="T8" s="3"/>
      <c r="U8" s="3"/>
      <c r="V8" s="3"/>
      <c r="W8" s="3"/>
      <c r="X8" s="3"/>
      <c r="Y8" s="3"/>
      <c r="Z8" s="3"/>
      <c r="AA8" s="3"/>
      <c r="AB8" s="3"/>
      <c r="AC8" s="3"/>
    </row>
    <row r="9" spans="1:29">
      <c r="A9" s="3"/>
      <c r="B9" s="3"/>
      <c r="C9" s="31">
        <v>0</v>
      </c>
      <c r="D9" s="682">
        <f t="shared" ref="D9:D27" si="0">IF(C9&lt;100,5.15+10*LOG10(COS(RADIANS(90-C9))),"No Signal")</f>
        <v>-156.97841279011377</v>
      </c>
      <c r="E9" s="3"/>
      <c r="F9" s="426"/>
      <c r="G9" s="426"/>
      <c r="H9" s="426"/>
      <c r="I9" s="426"/>
      <c r="J9" s="426"/>
      <c r="K9" s="426"/>
      <c r="L9" s="426"/>
      <c r="M9" s="426"/>
      <c r="N9" s="3"/>
      <c r="O9" s="3"/>
      <c r="P9" s="3"/>
      <c r="Q9" s="3"/>
      <c r="R9" s="3"/>
      <c r="S9" s="3"/>
      <c r="T9" s="3"/>
      <c r="U9" s="3"/>
      <c r="V9" s="3"/>
      <c r="W9" s="3"/>
      <c r="X9" s="3"/>
      <c r="Y9" s="3"/>
      <c r="Z9" s="3"/>
      <c r="AA9" s="3"/>
      <c r="AB9" s="3"/>
      <c r="AC9" s="3"/>
    </row>
    <row r="10" spans="1:29">
      <c r="A10" s="3"/>
      <c r="B10" s="3"/>
      <c r="C10" s="31">
        <v>5</v>
      </c>
      <c r="D10" s="682">
        <f t="shared" si="0"/>
        <v>-5.4470399166987971</v>
      </c>
      <c r="E10" s="3"/>
      <c r="F10" s="426"/>
      <c r="G10" s="426"/>
      <c r="H10" s="426"/>
      <c r="I10" s="426"/>
      <c r="J10" s="426"/>
      <c r="K10" s="426"/>
      <c r="L10" s="426"/>
      <c r="M10" s="426"/>
      <c r="N10" s="3"/>
      <c r="O10" s="3"/>
      <c r="P10" s="3"/>
      <c r="Q10" s="3"/>
      <c r="R10" s="3"/>
      <c r="S10" s="3"/>
      <c r="T10" s="3"/>
      <c r="U10" s="3"/>
      <c r="V10" s="3"/>
      <c r="W10" s="3"/>
      <c r="X10" s="3"/>
      <c r="Y10" s="3"/>
      <c r="Z10" s="3"/>
      <c r="AA10" s="3"/>
      <c r="AB10" s="3"/>
      <c r="AC10" s="3"/>
    </row>
    <row r="11" spans="1:29">
      <c r="A11" s="3"/>
      <c r="B11" s="3"/>
      <c r="C11" s="31">
        <v>10</v>
      </c>
      <c r="D11" s="682">
        <f t="shared" si="0"/>
        <v>-2.4532976998839926</v>
      </c>
      <c r="E11" s="3"/>
      <c r="F11" s="426"/>
      <c r="G11" s="426"/>
      <c r="H11" s="426"/>
      <c r="I11" s="426"/>
      <c r="J11" s="426"/>
      <c r="K11" s="426"/>
      <c r="L11" s="426"/>
      <c r="M11" s="426"/>
      <c r="N11" s="3"/>
      <c r="O11" s="3"/>
      <c r="P11" s="3"/>
      <c r="Q11" s="3"/>
      <c r="R11" s="3"/>
      <c r="S11" s="3"/>
      <c r="T11" s="3"/>
      <c r="U11" s="3"/>
      <c r="V11" s="3"/>
      <c r="W11" s="3"/>
      <c r="X11" s="3"/>
      <c r="Y11" s="3"/>
      <c r="Z11" s="3"/>
      <c r="AA11" s="3"/>
      <c r="AB11" s="3"/>
      <c r="AC11" s="3"/>
    </row>
    <row r="12" spans="1:29">
      <c r="A12" s="3"/>
      <c r="B12" s="3"/>
      <c r="C12" s="31">
        <v>15</v>
      </c>
      <c r="D12" s="682">
        <f t="shared" si="0"/>
        <v>-0.72003769430660824</v>
      </c>
      <c r="E12" s="3"/>
      <c r="F12" s="426"/>
      <c r="G12" s="426"/>
      <c r="H12" s="426"/>
      <c r="I12" s="426"/>
      <c r="J12" s="426"/>
      <c r="K12" s="426"/>
      <c r="L12" s="426"/>
      <c r="M12" s="426"/>
      <c r="N12" s="3"/>
      <c r="O12" s="3"/>
      <c r="P12" s="3"/>
      <c r="Q12" s="3"/>
      <c r="R12" s="3"/>
      <c r="S12" s="3"/>
      <c r="T12" s="3"/>
      <c r="U12" s="3"/>
      <c r="V12" s="3"/>
      <c r="W12" s="3"/>
      <c r="X12" s="3"/>
      <c r="Y12" s="3"/>
      <c r="Z12" s="3"/>
      <c r="AA12" s="3"/>
      <c r="AB12" s="3"/>
      <c r="AC12" s="3"/>
    </row>
    <row r="13" spans="1:29">
      <c r="A13" s="3"/>
      <c r="B13" s="3"/>
      <c r="C13" s="31">
        <v>20</v>
      </c>
      <c r="D13" s="682">
        <f t="shared" si="0"/>
        <v>0.4905168464551739</v>
      </c>
      <c r="E13" s="3"/>
      <c r="F13" s="426"/>
      <c r="G13" s="426"/>
      <c r="H13" s="426"/>
      <c r="I13" s="426"/>
      <c r="J13" s="426"/>
      <c r="K13" s="426"/>
      <c r="L13" s="426"/>
      <c r="M13" s="426"/>
      <c r="N13" s="3"/>
      <c r="O13" s="3"/>
      <c r="P13" s="3"/>
      <c r="Q13" s="3"/>
      <c r="R13" s="3"/>
      <c r="S13" s="3"/>
      <c r="T13" s="3"/>
      <c r="U13" s="3"/>
      <c r="V13" s="3"/>
      <c r="W13" s="3"/>
      <c r="X13" s="3"/>
      <c r="Y13" s="3"/>
      <c r="Z13" s="3"/>
      <c r="AA13" s="3"/>
      <c r="AB13" s="3"/>
      <c r="AC13" s="3"/>
    </row>
    <row r="14" spans="1:29">
      <c r="A14" s="3"/>
      <c r="B14" s="3"/>
      <c r="C14" s="31">
        <v>25</v>
      </c>
      <c r="D14" s="682">
        <f t="shared" si="0"/>
        <v>1.409482594031398</v>
      </c>
      <c r="E14" s="3"/>
      <c r="F14" s="426"/>
      <c r="G14" s="426"/>
      <c r="H14" s="426"/>
      <c r="I14" s="426"/>
      <c r="J14" s="426"/>
      <c r="K14" s="426"/>
      <c r="L14" s="426"/>
      <c r="M14" s="426"/>
      <c r="N14" s="3"/>
      <c r="O14" s="3"/>
      <c r="P14" s="3"/>
      <c r="Q14" s="3"/>
      <c r="R14" s="3"/>
      <c r="S14" s="3"/>
      <c r="T14" s="3"/>
      <c r="U14" s="3"/>
      <c r="V14" s="3"/>
      <c r="W14" s="3"/>
      <c r="X14" s="3"/>
      <c r="Y14" s="3"/>
      <c r="Z14" s="3"/>
      <c r="AA14" s="3"/>
      <c r="AB14" s="3"/>
      <c r="AC14" s="3"/>
    </row>
    <row r="15" spans="1:29">
      <c r="A15" s="3"/>
      <c r="B15" s="3"/>
      <c r="C15" s="31">
        <v>30</v>
      </c>
      <c r="D15" s="682">
        <f t="shared" si="0"/>
        <v>2.1397000433601896</v>
      </c>
      <c r="E15" s="3"/>
      <c r="F15" s="426"/>
      <c r="G15" s="426"/>
      <c r="H15" s="426"/>
      <c r="I15" s="426"/>
      <c r="J15" s="426"/>
      <c r="K15" s="426"/>
      <c r="L15" s="426"/>
      <c r="M15" s="426"/>
      <c r="N15" s="3"/>
      <c r="O15" s="3"/>
      <c r="P15" s="3"/>
      <c r="Q15" s="3"/>
      <c r="R15" s="3"/>
      <c r="S15" s="3"/>
      <c r="T15" s="3"/>
      <c r="U15" s="3"/>
      <c r="V15" s="3"/>
      <c r="W15" s="3"/>
      <c r="X15" s="3"/>
      <c r="Y15" s="3"/>
      <c r="Z15" s="3"/>
      <c r="AA15" s="3"/>
      <c r="AB15" s="3"/>
      <c r="AC15" s="3"/>
    </row>
    <row r="16" spans="1:29">
      <c r="A16" s="3"/>
      <c r="B16" s="3"/>
      <c r="C16" s="31">
        <v>35</v>
      </c>
      <c r="D16" s="682">
        <f t="shared" si="0"/>
        <v>2.7359130135409742</v>
      </c>
      <c r="E16" s="3"/>
      <c r="F16" s="426"/>
      <c r="G16" s="426"/>
      <c r="H16" s="426"/>
      <c r="I16" s="426"/>
      <c r="J16" s="426"/>
      <c r="K16" s="426"/>
      <c r="L16" s="426"/>
      <c r="M16" s="426"/>
      <c r="N16" s="3"/>
      <c r="O16" s="3"/>
      <c r="P16" s="3"/>
      <c r="Q16" s="3"/>
      <c r="R16" s="3"/>
      <c r="S16" s="3"/>
      <c r="T16" s="3"/>
      <c r="U16" s="3"/>
      <c r="V16" s="3"/>
      <c r="W16" s="3"/>
      <c r="X16" s="3"/>
      <c r="Y16" s="3"/>
      <c r="Z16" s="3"/>
      <c r="AA16" s="3"/>
      <c r="AB16" s="3"/>
      <c r="AC16" s="3"/>
    </row>
    <row r="17" spans="1:29">
      <c r="A17" s="3"/>
      <c r="B17" s="3"/>
      <c r="C17" s="31">
        <v>40</v>
      </c>
      <c r="D17" s="682">
        <f t="shared" si="0"/>
        <v>3.2306749675243496</v>
      </c>
      <c r="E17" s="3"/>
      <c r="F17" s="426"/>
      <c r="G17" s="426"/>
      <c r="H17" s="426"/>
      <c r="I17" s="426"/>
      <c r="J17" s="426"/>
      <c r="K17" s="426"/>
      <c r="L17" s="426"/>
      <c r="M17" s="426"/>
      <c r="N17" s="3"/>
      <c r="O17" s="3"/>
      <c r="P17" s="3"/>
      <c r="Q17" s="3"/>
      <c r="R17" s="3"/>
      <c r="S17" s="3"/>
      <c r="T17" s="3"/>
      <c r="U17" s="3"/>
      <c r="V17" s="3"/>
      <c r="W17" s="3"/>
      <c r="X17" s="3"/>
      <c r="Y17" s="3"/>
      <c r="Z17" s="3"/>
      <c r="AA17" s="3"/>
      <c r="AB17" s="3"/>
      <c r="AC17" s="3"/>
    </row>
    <row r="18" spans="1:29">
      <c r="A18" s="3"/>
      <c r="B18" s="3"/>
      <c r="C18" s="31">
        <v>45</v>
      </c>
      <c r="D18" s="682">
        <f t="shared" si="0"/>
        <v>3.6448500216800945</v>
      </c>
      <c r="E18" s="3"/>
      <c r="F18" s="426"/>
      <c r="G18" s="426"/>
      <c r="H18" s="426"/>
      <c r="I18" s="426" t="s">
        <v>582</v>
      </c>
      <c r="J18" s="426"/>
      <c r="K18" s="426"/>
      <c r="L18" s="426"/>
      <c r="M18" s="426"/>
      <c r="N18" s="3"/>
      <c r="O18" s="3"/>
      <c r="P18" s="3"/>
      <c r="Q18" s="3"/>
      <c r="R18" s="3"/>
      <c r="S18" s="3"/>
      <c r="T18" s="3"/>
      <c r="U18" s="3"/>
      <c r="V18" s="3"/>
      <c r="W18" s="3"/>
      <c r="X18" s="3"/>
      <c r="Y18" s="3"/>
      <c r="Z18" s="3"/>
      <c r="AA18" s="3"/>
      <c r="AB18" s="3"/>
      <c r="AC18" s="3"/>
    </row>
    <row r="19" spans="1:29">
      <c r="A19" s="3"/>
      <c r="B19" s="3"/>
      <c r="C19" s="31">
        <v>50</v>
      </c>
      <c r="D19" s="682">
        <f t="shared" si="0"/>
        <v>3.9925396655351948</v>
      </c>
      <c r="E19" s="3"/>
      <c r="F19" s="426"/>
      <c r="G19" s="426"/>
      <c r="H19" s="426"/>
      <c r="I19" s="426"/>
      <c r="J19" s="426" t="s">
        <v>583</v>
      </c>
      <c r="K19" s="426"/>
      <c r="L19" s="426"/>
      <c r="M19" s="426"/>
      <c r="N19" s="3"/>
      <c r="O19" s="3"/>
      <c r="P19" s="3"/>
      <c r="Q19" s="3"/>
      <c r="R19" s="3"/>
      <c r="S19" s="3"/>
      <c r="T19" s="3"/>
      <c r="U19" s="3"/>
      <c r="V19" s="3"/>
      <c r="W19" s="3"/>
      <c r="X19" s="3"/>
      <c r="Y19" s="3"/>
      <c r="Z19" s="3"/>
      <c r="AA19" s="3"/>
      <c r="AB19" s="3"/>
      <c r="AC19" s="3"/>
    </row>
    <row r="20" spans="1:29">
      <c r="A20" s="3"/>
      <c r="B20" s="3"/>
      <c r="C20" s="31">
        <v>55</v>
      </c>
      <c r="D20" s="682">
        <f t="shared" si="0"/>
        <v>4.2836451942485798</v>
      </c>
      <c r="E20" s="3"/>
      <c r="F20" s="426"/>
      <c r="G20" s="426"/>
      <c r="H20" s="426"/>
      <c r="I20" s="426"/>
      <c r="J20" s="426"/>
      <c r="K20" s="426"/>
      <c r="L20" s="426"/>
      <c r="M20" s="426"/>
      <c r="N20" s="3"/>
      <c r="O20" s="3"/>
      <c r="P20" s="3"/>
      <c r="Q20" s="3"/>
      <c r="R20" s="3"/>
      <c r="S20" s="3"/>
      <c r="T20" s="3"/>
      <c r="U20" s="3"/>
      <c r="V20" s="3"/>
      <c r="W20" s="3"/>
      <c r="X20" s="3"/>
      <c r="Y20" s="3"/>
      <c r="Z20" s="3"/>
      <c r="AA20" s="3"/>
      <c r="AB20" s="3"/>
      <c r="AC20" s="3"/>
    </row>
    <row r="21" spans="1:29">
      <c r="A21" s="3"/>
      <c r="B21" s="3"/>
      <c r="C21" s="31">
        <v>60</v>
      </c>
      <c r="D21" s="682">
        <f t="shared" si="0"/>
        <v>4.5253063169585008</v>
      </c>
      <c r="E21" s="3" t="s">
        <v>728</v>
      </c>
      <c r="F21" s="426"/>
      <c r="G21" s="426"/>
      <c r="H21" s="426"/>
      <c r="I21" s="426"/>
      <c r="J21" s="426"/>
      <c r="K21" s="426"/>
      <c r="L21" s="426"/>
      <c r="M21" s="426"/>
      <c r="N21" s="3"/>
      <c r="O21" s="3"/>
      <c r="P21" s="3"/>
      <c r="Q21" s="3"/>
      <c r="R21" s="3"/>
      <c r="S21" s="3"/>
      <c r="T21" s="3"/>
      <c r="U21" s="3"/>
      <c r="V21" s="3"/>
      <c r="W21" s="3"/>
      <c r="X21" s="3"/>
      <c r="Y21" s="3"/>
      <c r="Z21" s="3"/>
      <c r="AA21" s="3"/>
      <c r="AB21" s="3"/>
      <c r="AC21" s="3"/>
    </row>
    <row r="22" spans="1:29">
      <c r="A22" s="3"/>
      <c r="B22" s="3"/>
      <c r="C22" s="31">
        <v>65</v>
      </c>
      <c r="D22" s="682">
        <f t="shared" si="0"/>
        <v>4.7227571148639855</v>
      </c>
      <c r="E22" s="3"/>
      <c r="F22" s="426"/>
      <c r="G22" s="426"/>
      <c r="H22" s="426"/>
      <c r="I22" s="426"/>
      <c r="J22" s="426"/>
      <c r="K22" s="426"/>
      <c r="L22" s="426"/>
      <c r="M22" s="426"/>
      <c r="N22" s="3"/>
      <c r="O22" s="3"/>
      <c r="P22" s="3"/>
      <c r="Q22" s="3"/>
      <c r="R22" s="3"/>
      <c r="S22" s="3"/>
      <c r="T22" s="3"/>
      <c r="U22" s="3"/>
      <c r="V22" s="3"/>
      <c r="W22" s="3"/>
      <c r="X22" s="3"/>
      <c r="Y22" s="3"/>
      <c r="Z22" s="3"/>
      <c r="AA22" s="3"/>
      <c r="AB22" s="3"/>
      <c r="AC22" s="3"/>
    </row>
    <row r="23" spans="1:29">
      <c r="A23" s="3"/>
      <c r="B23" s="3"/>
      <c r="C23" s="31">
        <v>70</v>
      </c>
      <c r="D23" s="682">
        <f t="shared" si="0"/>
        <v>4.8798581644293648</v>
      </c>
      <c r="E23" s="3"/>
      <c r="F23" s="426"/>
      <c r="G23" s="426"/>
      <c r="H23" s="426"/>
      <c r="I23" s="426"/>
      <c r="J23" s="426"/>
      <c r="K23" s="426"/>
      <c r="L23" s="426"/>
      <c r="M23" s="426"/>
      <c r="N23" s="3"/>
      <c r="O23" s="3"/>
      <c r="P23" s="3"/>
      <c r="Q23" s="3"/>
      <c r="R23" s="3"/>
      <c r="S23" s="3"/>
      <c r="T23" s="3"/>
      <c r="U23" s="3"/>
      <c r="V23" s="3"/>
      <c r="W23" s="3"/>
      <c r="X23" s="3"/>
      <c r="Y23" s="3"/>
      <c r="Z23" s="3"/>
      <c r="AA23" s="3"/>
      <c r="AB23" s="3"/>
      <c r="AC23" s="3"/>
    </row>
    <row r="24" spans="1:29">
      <c r="A24" s="3"/>
      <c r="B24" s="3"/>
      <c r="C24" s="31">
        <v>75</v>
      </c>
      <c r="D24" s="682">
        <f t="shared" si="0"/>
        <v>4.9994377810269857</v>
      </c>
      <c r="E24" s="3"/>
      <c r="F24" s="426"/>
      <c r="G24" s="426"/>
      <c r="H24" s="426"/>
      <c r="I24" s="426"/>
      <c r="J24" s="426"/>
      <c r="K24" s="426"/>
      <c r="L24" s="426"/>
      <c r="M24" s="426"/>
      <c r="N24" s="3"/>
      <c r="O24" s="3"/>
      <c r="P24" s="3"/>
      <c r="Q24" s="3"/>
      <c r="R24" s="3"/>
      <c r="S24" s="3"/>
      <c r="T24" s="3"/>
      <c r="U24" s="3"/>
      <c r="V24" s="3"/>
      <c r="W24" s="3"/>
      <c r="X24" s="3"/>
      <c r="Y24" s="3"/>
      <c r="Z24" s="3"/>
      <c r="AA24" s="3"/>
      <c r="AB24" s="3"/>
      <c r="AC24" s="3"/>
    </row>
    <row r="25" spans="1:29">
      <c r="A25" s="3"/>
      <c r="B25" s="3"/>
      <c r="C25" s="31">
        <v>80</v>
      </c>
      <c r="D25" s="682">
        <f t="shared" si="0"/>
        <v>5.0835145896993552</v>
      </c>
      <c r="E25" s="3"/>
      <c r="F25" s="426"/>
      <c r="G25" s="426"/>
      <c r="H25" s="426"/>
      <c r="I25" s="426"/>
      <c r="J25" s="426"/>
      <c r="K25" s="426"/>
      <c r="L25" s="426"/>
      <c r="M25" s="426"/>
      <c r="N25" s="3"/>
      <c r="O25" s="3"/>
      <c r="P25" s="3"/>
      <c r="Q25" s="3"/>
      <c r="R25" s="3"/>
      <c r="S25" s="3"/>
      <c r="T25" s="3"/>
      <c r="U25" s="3"/>
      <c r="V25" s="3"/>
      <c r="W25" s="3"/>
      <c r="X25" s="3"/>
      <c r="Y25" s="3"/>
      <c r="Z25" s="3"/>
      <c r="AA25" s="3"/>
      <c r="AB25" s="3"/>
      <c r="AC25" s="3"/>
    </row>
    <row r="26" spans="1:29">
      <c r="A26" s="3"/>
      <c r="B26" s="3"/>
      <c r="C26" s="31">
        <v>85</v>
      </c>
      <c r="D26" s="682">
        <f t="shared" si="0"/>
        <v>5.1334422601749914</v>
      </c>
      <c r="E26" s="3"/>
      <c r="F26" s="426"/>
      <c r="G26" s="426"/>
      <c r="H26" s="426"/>
      <c r="I26" s="426"/>
      <c r="J26" s="426"/>
      <c r="K26" s="426"/>
      <c r="L26" s="426"/>
      <c r="M26" s="426"/>
      <c r="N26" s="3"/>
      <c r="O26" s="3"/>
      <c r="P26" s="3"/>
      <c r="Q26" s="3"/>
      <c r="R26" s="3"/>
      <c r="S26" s="3"/>
      <c r="T26" s="3"/>
      <c r="U26" s="3"/>
      <c r="V26" s="3"/>
      <c r="W26" s="3"/>
      <c r="X26" s="3"/>
      <c r="Y26" s="3"/>
      <c r="Z26" s="3"/>
      <c r="AA26" s="3"/>
      <c r="AB26" s="3"/>
      <c r="AC26" s="3"/>
    </row>
    <row r="27" spans="1:29">
      <c r="A27" s="3"/>
      <c r="B27" s="3"/>
      <c r="C27" s="31">
        <v>90</v>
      </c>
      <c r="D27" s="682">
        <f t="shared" si="0"/>
        <v>5.15</v>
      </c>
      <c r="E27" s="3"/>
      <c r="F27" s="426"/>
      <c r="G27" s="426"/>
      <c r="H27" s="426"/>
      <c r="I27" s="426"/>
      <c r="J27" s="426"/>
      <c r="K27" s="426"/>
      <c r="L27" s="426"/>
      <c r="M27" s="426"/>
      <c r="N27" s="3"/>
      <c r="O27" s="3"/>
      <c r="P27" s="3"/>
      <c r="Q27" s="3"/>
      <c r="R27" s="3"/>
      <c r="S27" s="3"/>
      <c r="T27" s="3"/>
      <c r="U27" s="3"/>
      <c r="V27" s="3"/>
      <c r="W27" s="3"/>
      <c r="X27" s="3"/>
      <c r="Y27" s="3"/>
      <c r="Z27" s="3"/>
      <c r="AA27" s="3"/>
      <c r="AB27" s="3"/>
      <c r="AC27" s="3"/>
    </row>
    <row r="28" spans="1:29">
      <c r="A28" s="3"/>
      <c r="B28" s="3"/>
      <c r="C28" s="31">
        <v>92.5</v>
      </c>
      <c r="D28" s="682">
        <v>0</v>
      </c>
      <c r="E28" s="3"/>
      <c r="F28" s="426"/>
      <c r="G28" s="426"/>
      <c r="H28" s="426"/>
      <c r="I28" s="426"/>
      <c r="J28" s="426"/>
      <c r="K28" s="426"/>
      <c r="L28" s="426"/>
      <c r="M28" s="426"/>
      <c r="N28" s="3"/>
      <c r="O28" s="3"/>
      <c r="P28" s="3"/>
      <c r="Q28" s="3"/>
      <c r="R28" s="3"/>
      <c r="S28" s="3"/>
      <c r="T28" s="3"/>
      <c r="U28" s="3"/>
      <c r="V28" s="3"/>
      <c r="W28" s="3"/>
      <c r="X28" s="3"/>
      <c r="Y28" s="3"/>
      <c r="Z28" s="3"/>
      <c r="AA28" s="3"/>
      <c r="AB28" s="3"/>
      <c r="AC28" s="3"/>
    </row>
    <row r="29" spans="1:29">
      <c r="A29" s="3"/>
      <c r="B29" s="3"/>
      <c r="C29" s="31">
        <v>95</v>
      </c>
      <c r="D29" s="682">
        <v>-20</v>
      </c>
      <c r="E29" s="3"/>
      <c r="F29" s="426"/>
      <c r="G29" s="426"/>
      <c r="H29" s="426"/>
      <c r="I29" s="426"/>
      <c r="J29" s="426"/>
      <c r="K29" s="426"/>
      <c r="L29" s="426"/>
      <c r="M29" s="426"/>
      <c r="N29" s="3"/>
      <c r="O29" s="3"/>
      <c r="P29" s="3"/>
      <c r="Q29" s="3"/>
      <c r="R29" s="3"/>
      <c r="S29" s="3"/>
      <c r="T29" s="3"/>
      <c r="U29" s="3"/>
      <c r="V29" s="3"/>
      <c r="W29" s="3"/>
      <c r="X29" s="3"/>
      <c r="Y29" s="3"/>
      <c r="Z29" s="3"/>
      <c r="AA29" s="3"/>
      <c r="AB29" s="3"/>
      <c r="AC29" s="3"/>
    </row>
    <row r="30" spans="1:29">
      <c r="A30" s="3"/>
      <c r="B30" s="3"/>
      <c r="C30" s="31">
        <v>97.5</v>
      </c>
      <c r="D30" s="682">
        <v>-60</v>
      </c>
      <c r="E30" s="3"/>
      <c r="F30" s="426"/>
      <c r="G30" s="426"/>
      <c r="H30" s="426"/>
      <c r="I30" s="426"/>
      <c r="J30" s="426"/>
      <c r="K30" s="426"/>
      <c r="L30" s="426"/>
      <c r="M30" s="426"/>
      <c r="N30" s="3"/>
      <c r="O30" s="3"/>
      <c r="P30" s="3"/>
      <c r="Q30" s="3"/>
      <c r="R30" s="3"/>
      <c r="S30" s="3"/>
      <c r="T30" s="3"/>
      <c r="U30" s="3"/>
      <c r="V30" s="3"/>
      <c r="W30" s="3"/>
      <c r="X30" s="3"/>
      <c r="Y30" s="3"/>
      <c r="Z30" s="3"/>
      <c r="AA30" s="3"/>
      <c r="AB30" s="3"/>
      <c r="AC30" s="3"/>
    </row>
    <row r="31" spans="1:29">
      <c r="A31" s="3"/>
      <c r="B31" s="3"/>
      <c r="C31" s="31">
        <v>100</v>
      </c>
      <c r="D31" s="682">
        <v>-160</v>
      </c>
      <c r="E31" s="3"/>
      <c r="F31" s="426"/>
      <c r="G31" s="426"/>
      <c r="H31" s="426"/>
      <c r="I31" s="426"/>
      <c r="J31" s="426"/>
      <c r="K31" s="426"/>
      <c r="L31" s="426"/>
      <c r="M31" s="426"/>
      <c r="N31" s="3"/>
      <c r="O31" s="3"/>
      <c r="P31" s="3"/>
      <c r="Q31" s="3"/>
      <c r="R31" s="3"/>
      <c r="S31" s="3"/>
      <c r="T31" s="3"/>
      <c r="U31" s="3"/>
      <c r="V31" s="3"/>
      <c r="W31" s="3"/>
      <c r="X31" s="3"/>
      <c r="Y31" s="3"/>
      <c r="Z31" s="3"/>
      <c r="AA31" s="3"/>
      <c r="AB31" s="3"/>
      <c r="AC31" s="3"/>
    </row>
    <row r="32" spans="1:29">
      <c r="A32" s="3"/>
      <c r="B32" s="3"/>
      <c r="C32" s="31">
        <v>110</v>
      </c>
      <c r="D32" s="682" t="s">
        <v>259</v>
      </c>
      <c r="E32" s="3"/>
      <c r="F32" s="426"/>
      <c r="G32" s="426"/>
      <c r="H32" s="426"/>
      <c r="I32" s="426"/>
      <c r="J32" s="426"/>
      <c r="K32" s="426"/>
      <c r="L32" s="426"/>
      <c r="M32" s="426"/>
      <c r="N32" s="3"/>
      <c r="O32" s="3"/>
      <c r="P32" s="3"/>
      <c r="Q32" s="3"/>
      <c r="R32" s="3"/>
      <c r="S32" s="3"/>
      <c r="T32" s="3"/>
      <c r="U32" s="3"/>
      <c r="V32" s="3"/>
      <c r="W32" s="3"/>
      <c r="X32" s="3"/>
      <c r="Y32" s="3"/>
      <c r="Z32" s="3"/>
      <c r="AA32" s="3"/>
      <c r="AB32" s="3"/>
      <c r="AC32" s="3"/>
    </row>
    <row r="33" spans="1:29">
      <c r="A33" s="3"/>
      <c r="B33" s="3"/>
      <c r="C33" s="31"/>
      <c r="D33" s="682"/>
      <c r="E33" s="3"/>
      <c r="F33" s="426"/>
      <c r="G33" s="426"/>
      <c r="H33" s="426"/>
      <c r="I33" s="426"/>
      <c r="J33" s="426"/>
      <c r="K33" s="426"/>
      <c r="L33" s="426"/>
      <c r="M33" s="426"/>
      <c r="N33" s="3"/>
      <c r="O33" s="3"/>
      <c r="P33" s="3"/>
      <c r="Q33" s="3"/>
      <c r="R33" s="3"/>
      <c r="S33" s="3"/>
      <c r="T33" s="3"/>
      <c r="U33" s="3"/>
      <c r="V33" s="3"/>
      <c r="W33" s="3"/>
      <c r="X33" s="3"/>
      <c r="Y33" s="3"/>
      <c r="Z33" s="3"/>
      <c r="AA33" s="3"/>
      <c r="AB33" s="3"/>
      <c r="AC33" s="3"/>
    </row>
    <row r="34" spans="1:29">
      <c r="A34" s="3"/>
      <c r="B34" s="3"/>
      <c r="C34" s="31"/>
      <c r="D34" s="682"/>
      <c r="E34" s="3"/>
      <c r="F34" s="426"/>
      <c r="G34" s="426"/>
      <c r="H34" s="426"/>
      <c r="I34" s="426"/>
      <c r="J34" s="426"/>
      <c r="K34" s="426"/>
      <c r="L34" s="426"/>
      <c r="M34" s="426"/>
      <c r="N34" s="3"/>
      <c r="O34" s="3"/>
      <c r="P34" s="3"/>
      <c r="Q34" s="3"/>
      <c r="R34" s="3"/>
      <c r="S34" s="3"/>
      <c r="T34" s="3"/>
      <c r="U34" s="3"/>
      <c r="V34" s="3"/>
      <c r="W34" s="3"/>
      <c r="X34" s="3"/>
      <c r="Y34" s="3"/>
      <c r="Z34" s="3"/>
      <c r="AA34" s="3"/>
      <c r="AB34" s="3"/>
      <c r="AC34" s="3"/>
    </row>
    <row r="35" spans="1:29">
      <c r="A35" s="3"/>
      <c r="B35" s="3"/>
      <c r="C35" s="31"/>
      <c r="D35" s="682"/>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82"/>
      <c r="E36" s="3"/>
      <c r="F36" s="101"/>
      <c r="G36" s="101"/>
      <c r="H36" s="101"/>
      <c r="I36" s="101"/>
      <c r="J36" s="101"/>
      <c r="K36" s="101"/>
      <c r="L36" s="466" t="s">
        <v>260</v>
      </c>
      <c r="M36" s="466"/>
      <c r="N36" s="3"/>
      <c r="O36" s="3"/>
      <c r="P36" s="3"/>
      <c r="Q36" s="3"/>
      <c r="R36" s="3"/>
      <c r="S36" s="3"/>
      <c r="T36" s="3"/>
      <c r="U36" s="3"/>
      <c r="V36" s="3"/>
      <c r="W36" s="3"/>
      <c r="X36" s="3"/>
      <c r="Y36" s="3"/>
      <c r="Z36" s="3"/>
      <c r="AA36" s="3"/>
      <c r="AB36" s="3"/>
      <c r="AC36" s="3"/>
    </row>
    <row r="37" spans="1:29">
      <c r="A37" s="3"/>
      <c r="B37" s="3"/>
      <c r="C37" s="31"/>
      <c r="D37" s="682"/>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82"/>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82"/>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82"/>
      <c r="E40" s="3"/>
      <c r="F40" s="3" t="s">
        <v>61</v>
      </c>
      <c r="G40" s="3"/>
      <c r="H40" s="3">
        <v>38.6</v>
      </c>
      <c r="I40" s="3" t="s">
        <v>737</v>
      </c>
      <c r="J40" s="3" t="s">
        <v>397</v>
      </c>
      <c r="K40" s="3"/>
      <c r="L40" s="3"/>
      <c r="M40" s="101"/>
      <c r="N40" s="3"/>
      <c r="O40" s="3"/>
      <c r="P40" s="3"/>
      <c r="Q40" s="3"/>
      <c r="R40" s="3"/>
      <c r="S40" s="3"/>
      <c r="T40" s="3"/>
      <c r="U40" s="3"/>
      <c r="V40" s="3"/>
      <c r="W40" s="3"/>
      <c r="X40" s="3"/>
      <c r="Y40" s="3"/>
      <c r="Z40" s="3"/>
      <c r="AA40" s="3"/>
      <c r="AB40" s="3"/>
      <c r="AC40" s="3"/>
    </row>
    <row r="41" spans="1:29">
      <c r="A41" s="3"/>
      <c r="B41" s="3"/>
      <c r="C41" s="31"/>
      <c r="D41" s="682"/>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82"/>
      <c r="E42" s="3"/>
      <c r="F42" s="3" t="s">
        <v>395</v>
      </c>
      <c r="G42" s="3"/>
      <c r="H42" s="522">
        <v>0</v>
      </c>
      <c r="I42" s="3" t="s">
        <v>737</v>
      </c>
      <c r="J42" s="3" t="s">
        <v>396</v>
      </c>
      <c r="K42" s="3"/>
      <c r="L42" s="3"/>
      <c r="M42" s="101"/>
      <c r="N42" s="3"/>
      <c r="O42" s="3"/>
      <c r="P42" s="3"/>
      <c r="Q42" s="3"/>
      <c r="R42" s="3"/>
      <c r="S42" s="3"/>
      <c r="T42" s="3"/>
      <c r="U42" s="3"/>
      <c r="V42" s="3"/>
      <c r="W42" s="3"/>
      <c r="X42" s="3"/>
      <c r="Y42" s="3"/>
      <c r="Z42" s="3"/>
      <c r="AA42" s="3"/>
      <c r="AB42" s="3"/>
      <c r="AC42" s="3"/>
    </row>
    <row r="43" spans="1:29">
      <c r="A43" s="3"/>
      <c r="B43" s="3"/>
      <c r="C43" s="31"/>
      <c r="D43" s="682"/>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728</v>
      </c>
      <c r="D44" s="414" t="s">
        <v>728</v>
      </c>
      <c r="E44" s="3"/>
      <c r="F44" s="3" t="s">
        <v>398</v>
      </c>
      <c r="G44" s="3"/>
      <c r="H44" s="3">
        <v>5.15</v>
      </c>
      <c r="I44" s="3" t="s">
        <v>36</v>
      </c>
      <c r="J44" s="3" t="s">
        <v>399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728</v>
      </c>
      <c r="C46" s="3"/>
      <c r="D46" s="3"/>
      <c r="E46" s="3"/>
      <c r="F46" s="3" t="s">
        <v>400</v>
      </c>
      <c r="G46" s="3"/>
      <c r="H46" s="522">
        <v>0</v>
      </c>
      <c r="I46" s="3" t="s">
        <v>737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728</v>
      </c>
      <c r="G47" s="3"/>
      <c r="H47" s="52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22"/>
      <c r="I48" s="3"/>
      <c r="J48" s="3"/>
      <c r="K48" s="3"/>
      <c r="L48" s="3"/>
      <c r="M48" s="3"/>
      <c r="N48" s="3"/>
      <c r="O48" s="3"/>
      <c r="P48" s="3"/>
      <c r="Q48" s="3"/>
      <c r="R48" s="3"/>
      <c r="S48" s="3"/>
      <c r="T48" s="3"/>
      <c r="U48" s="3"/>
      <c r="V48" s="3"/>
      <c r="W48" s="3"/>
      <c r="X48" s="3"/>
      <c r="Y48" s="3"/>
      <c r="Z48" s="3"/>
      <c r="AA48" s="3"/>
      <c r="AB48" s="3"/>
      <c r="AC48" s="3"/>
    </row>
    <row r="49" spans="1:29">
      <c r="A49" s="3"/>
      <c r="B49" s="574" t="s">
        <v>577</v>
      </c>
      <c r="C49" s="924" t="s">
        <v>957</v>
      </c>
      <c r="D49" s="578" t="s">
        <v>155</v>
      </c>
      <c r="E49" s="371"/>
      <c r="F49" t="s">
        <v>728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728</v>
      </c>
      <c r="F81" s="3"/>
      <c r="G81" s="3"/>
      <c r="H81" s="3"/>
      <c r="I81" s="3"/>
      <c r="J81" s="3"/>
      <c r="K81" s="3"/>
      <c r="L81" s="3"/>
      <c r="M81" s="4" t="s">
        <v>401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737</v>
      </c>
      <c r="K85" s="3" t="s">
        <v>397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395</v>
      </c>
      <c r="H87" s="3"/>
      <c r="I87" s="522">
        <v>0</v>
      </c>
      <c r="J87" s="3" t="s">
        <v>737</v>
      </c>
      <c r="K87" s="3" t="s">
        <v>396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398</v>
      </c>
      <c r="H89" s="3"/>
      <c r="I89" s="3">
        <v>2.15</v>
      </c>
      <c r="J89" s="3" t="s">
        <v>36</v>
      </c>
      <c r="K89" s="3" t="s">
        <v>399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400</v>
      </c>
      <c r="H91" s="3"/>
      <c r="I91" s="522">
        <v>0</v>
      </c>
      <c r="J91" s="3" t="s">
        <v>737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728</v>
      </c>
      <c r="C97" s="3"/>
      <c r="D97" s="580" t="s">
        <v>62</v>
      </c>
      <c r="E97" s="581"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4" t="s">
        <v>584</v>
      </c>
      <c r="C98" s="924" t="s">
        <v>957</v>
      </c>
      <c r="D98" s="579" t="s">
        <v>155</v>
      </c>
      <c r="E98" s="582" t="s">
        <v>155</v>
      </c>
      <c r="F98" s="3"/>
      <c r="G98" s="3"/>
      <c r="H98" s="3"/>
      <c r="I98" s="3"/>
      <c r="J98" s="3"/>
      <c r="K98" s="3"/>
      <c r="L98" s="3"/>
      <c r="M98" s="3"/>
      <c r="N98" s="3"/>
      <c r="O98" s="3"/>
      <c r="U98" s="3"/>
      <c r="V98" s="3"/>
      <c r="W98" s="3"/>
      <c r="X98" s="3"/>
      <c r="Y98" s="3"/>
      <c r="Z98" s="3"/>
      <c r="AA98" s="3"/>
      <c r="AB98" s="3"/>
      <c r="AC98" s="3"/>
    </row>
    <row r="99" spans="1:29" ht="25">
      <c r="A99" s="3"/>
      <c r="B99" s="686" t="s">
        <v>261</v>
      </c>
      <c r="C99" s="79">
        <v>0</v>
      </c>
      <c r="D99" s="33">
        <f>2-0.00075*(C99)^2</f>
        <v>2</v>
      </c>
      <c r="E99" s="33">
        <f>0.5-0.00075*(180-C99)^2</f>
        <v>-23.8</v>
      </c>
      <c r="F99" t="s">
        <v>728</v>
      </c>
      <c r="G99" t="s">
        <v>728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728</v>
      </c>
      <c r="C174" s="3"/>
      <c r="D174" s="580" t="s">
        <v>62</v>
      </c>
      <c r="E174" s="581"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4" t="s">
        <v>585</v>
      </c>
      <c r="C175" s="454" t="s">
        <v>153</v>
      </c>
      <c r="D175" s="579" t="s">
        <v>155</v>
      </c>
      <c r="E175" s="579" t="s">
        <v>155</v>
      </c>
      <c r="F175" s="895"/>
      <c r="G175" s="426"/>
      <c r="H175" s="426"/>
      <c r="I175" s="426"/>
      <c r="J175" s="426"/>
      <c r="K175" s="426"/>
      <c r="L175" s="426"/>
      <c r="M175" s="101"/>
      <c r="N175" s="101"/>
      <c r="O175" s="3"/>
      <c r="P175" s="3"/>
      <c r="Q175" s="3"/>
      <c r="R175" s="3"/>
      <c r="S175" s="3"/>
      <c r="T175" s="3"/>
      <c r="U175" s="3"/>
      <c r="V175" s="3"/>
      <c r="W175" s="3"/>
      <c r="X175" s="3"/>
      <c r="Y175" s="3"/>
      <c r="Z175" s="3"/>
      <c r="AA175" s="3"/>
      <c r="AB175" s="3"/>
      <c r="AC175" s="3"/>
    </row>
    <row r="176" spans="1:29">
      <c r="A176" s="3"/>
      <c r="B176" s="31"/>
      <c r="C176" s="79">
        <v>0</v>
      </c>
      <c r="D176" s="414">
        <f>4-1.5*((4-10*LOG10(1.256*(1+COS(RADIANS(C176))))))</f>
        <v>4.0002945259773774</v>
      </c>
      <c r="E176" s="79"/>
      <c r="F176" s="895"/>
      <c r="G176" s="426"/>
      <c r="H176" s="426"/>
      <c r="I176" s="426"/>
      <c r="J176" s="426"/>
      <c r="K176" s="426"/>
      <c r="L176" s="426"/>
      <c r="M176" s="101"/>
      <c r="N176" s="101"/>
      <c r="O176" s="3"/>
      <c r="P176" s="3"/>
      <c r="Q176" s="3"/>
      <c r="R176" s="3"/>
      <c r="S176" s="3"/>
      <c r="T176" s="3"/>
      <c r="U176" s="3"/>
      <c r="V176" s="3"/>
      <c r="W176" s="3"/>
      <c r="X176" s="3"/>
      <c r="Y176" s="3"/>
      <c r="Z176" s="3"/>
      <c r="AA176" s="3"/>
      <c r="AB176" s="3"/>
      <c r="AC176" s="3"/>
    </row>
    <row r="177" spans="1:29">
      <c r="A177" s="3"/>
      <c r="B177" s="31"/>
      <c r="C177" s="79">
        <f>C176+5</f>
        <v>5</v>
      </c>
      <c r="D177" s="414">
        <f t="shared" ref="D177:D211" si="11">4-1.5*((4-10*LOG10(1.256*(1+COS(RADIANS(C177))))))</f>
        <v>3.9878880574860744</v>
      </c>
      <c r="E177" s="79"/>
      <c r="F177" s="895"/>
      <c r="G177" s="426"/>
      <c r="H177" s="426"/>
      <c r="I177" s="426"/>
      <c r="J177" s="426"/>
      <c r="K177" s="426"/>
      <c r="L177" s="426"/>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4">
        <f t="shared" si="11"/>
        <v>3.9506213065023497</v>
      </c>
      <c r="E178" s="79"/>
      <c r="F178" s="895"/>
      <c r="G178" s="426"/>
      <c r="H178" s="426"/>
      <c r="I178" s="426"/>
      <c r="J178" s="426"/>
      <c r="K178" s="426"/>
      <c r="L178" s="426"/>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4">
        <f t="shared" si="11"/>
        <v>3.8883515113557801</v>
      </c>
      <c r="E179" s="79"/>
      <c r="F179" s="895"/>
      <c r="G179" s="426"/>
      <c r="H179" s="426"/>
      <c r="I179" s="426"/>
      <c r="J179" s="426"/>
      <c r="K179" s="426"/>
      <c r="L179" s="426"/>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4">
        <f t="shared" si="11"/>
        <v>3.8008382950754434</v>
      </c>
      <c r="E180" s="79"/>
      <c r="F180" s="895"/>
      <c r="G180" s="426"/>
      <c r="H180" s="426"/>
      <c r="I180" s="426"/>
      <c r="J180" s="426"/>
      <c r="K180" s="426"/>
      <c r="L180" s="426"/>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4">
        <f t="shared" si="11"/>
        <v>3.6877399197602871</v>
      </c>
      <c r="E181" s="79" t="s">
        <v>728</v>
      </c>
      <c r="F181" s="895"/>
      <c r="G181" s="426"/>
      <c r="H181" s="426"/>
      <c r="I181" s="426"/>
      <c r="J181" s="426"/>
      <c r="K181" s="426"/>
      <c r="L181" s="426"/>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4">
        <f t="shared" si="11"/>
        <v>3.5486078690583334</v>
      </c>
      <c r="E182" s="79"/>
      <c r="F182" s="895"/>
      <c r="G182" s="426"/>
      <c r="H182" s="426"/>
      <c r="I182" s="426"/>
      <c r="J182" s="426"/>
      <c r="K182" s="426"/>
      <c r="L182" s="426"/>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4">
        <f t="shared" si="11"/>
        <v>3.3828795731450212</v>
      </c>
      <c r="E183" s="79"/>
      <c r="F183" s="895"/>
      <c r="G183" s="426"/>
      <c r="H183" s="426"/>
      <c r="I183" s="426"/>
      <c r="J183" s="426"/>
      <c r="K183" s="426"/>
      <c r="L183" s="426"/>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4">
        <f t="shared" si="11"/>
        <v>3.1898690192654722</v>
      </c>
      <c r="E184" s="79"/>
      <c r="F184" s="895"/>
      <c r="G184" s="426"/>
      <c r="H184" s="426"/>
      <c r="I184" s="426"/>
      <c r="J184" s="426"/>
      <c r="K184" s="426"/>
      <c r="L184" s="426"/>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4">
        <f t="shared" si="11"/>
        <v>2.9687549036057468</v>
      </c>
      <c r="E185" s="79"/>
      <c r="F185" s="895"/>
      <c r="G185" s="426"/>
      <c r="H185" s="426" t="s">
        <v>728</v>
      </c>
      <c r="I185" s="426" t="s">
        <v>587</v>
      </c>
      <c r="J185" s="426"/>
      <c r="K185" s="426"/>
      <c r="L185" s="426"/>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4">
        <f t="shared" si="11"/>
        <v>2.7185658705693321</v>
      </c>
      <c r="E186" s="79"/>
      <c r="F186" s="895"/>
      <c r="G186" s="426"/>
      <c r="H186" s="426"/>
      <c r="I186" s="426"/>
      <c r="J186" s="426" t="s">
        <v>583</v>
      </c>
      <c r="K186" s="426"/>
      <c r="L186" s="426"/>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4">
        <f t="shared" si="11"/>
        <v>2.4381622447440372</v>
      </c>
      <c r="E187" s="79"/>
      <c r="F187" s="895"/>
      <c r="G187" s="426"/>
      <c r="H187" s="426"/>
      <c r="I187" s="426"/>
      <c r="J187" s="426"/>
      <c r="K187" s="426"/>
      <c r="L187" s="426"/>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4">
        <f t="shared" si="11"/>
        <v>2.1262134768528775</v>
      </c>
      <c r="E188" s="79"/>
      <c r="F188" s="895"/>
      <c r="G188" s="426"/>
      <c r="H188" s="426"/>
      <c r="I188" s="426"/>
      <c r="J188" s="426"/>
      <c r="K188" s="426"/>
      <c r="L188" s="426"/>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4">
        <f t="shared" si="11"/>
        <v>1.7811702806787064</v>
      </c>
      <c r="E189" s="79"/>
      <c r="F189" s="895"/>
      <c r="G189" s="426"/>
      <c r="H189" s="426"/>
      <c r="I189" s="426"/>
      <c r="J189" s="426"/>
      <c r="K189" s="426"/>
      <c r="L189" s="426"/>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4">
        <f t="shared" si="11"/>
        <v>1.4012301087231167</v>
      </c>
      <c r="E190" s="79"/>
      <c r="F190" s="895"/>
      <c r="G190" s="426"/>
      <c r="H190" s="426"/>
      <c r="I190" s="426"/>
      <c r="J190" s="426"/>
      <c r="K190" s="426"/>
      <c r="L190" s="426"/>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4">
        <f t="shared" si="11"/>
        <v>0.98429416422027893</v>
      </c>
      <c r="E191" s="79"/>
      <c r="F191" s="895"/>
      <c r="G191" s="426"/>
      <c r="H191" s="426"/>
      <c r="I191" s="426"/>
      <c r="J191" s="426"/>
      <c r="K191" s="426"/>
      <c r="L191" s="426"/>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4">
        <f t="shared" si="11"/>
        <v>0.52791352258296209</v>
      </c>
      <c r="E192" s="79"/>
      <c r="F192" s="895"/>
      <c r="G192" s="426"/>
      <c r="H192" s="426"/>
      <c r="I192" s="426"/>
      <c r="J192" s="426"/>
      <c r="K192" s="426"/>
      <c r="L192" s="426"/>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4">
        <f t="shared" si="11"/>
        <v>2.9221055497633763E-2</v>
      </c>
      <c r="E193" s="79"/>
      <c r="F193" s="895"/>
      <c r="G193" s="426"/>
      <c r="H193" s="426"/>
      <c r="I193" s="426"/>
      <c r="J193" s="426"/>
      <c r="K193" s="426"/>
      <c r="L193" s="426"/>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4">
        <f t="shared" si="11"/>
        <v>-0.51515540898233958</v>
      </c>
      <c r="E194" s="79"/>
      <c r="F194" s="895"/>
      <c r="G194" s="426"/>
      <c r="H194" s="426"/>
      <c r="I194" s="426"/>
      <c r="J194" s="426"/>
      <c r="K194" s="426"/>
      <c r="L194" s="426"/>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4">
        <f t="shared" si="11"/>
        <v>-1.1092050929373443</v>
      </c>
      <c r="E195" s="79"/>
      <c r="F195" s="895"/>
      <c r="G195" s="426"/>
      <c r="H195" s="426"/>
      <c r="I195" s="426"/>
      <c r="J195" s="426"/>
      <c r="K195" s="426"/>
      <c r="L195" s="426"/>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4">
        <f t="shared" si="11"/>
        <v>-1.7576805714495745</v>
      </c>
      <c r="E196" s="79"/>
      <c r="F196" s="895"/>
      <c r="G196" s="426"/>
      <c r="H196" s="426"/>
      <c r="I196" s="426"/>
      <c r="J196" s="426"/>
      <c r="K196" s="426"/>
      <c r="L196" s="426"/>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4">
        <f t="shared" si="11"/>
        <v>-2.4662916391040044</v>
      </c>
      <c r="E197" s="79"/>
      <c r="F197" s="895"/>
      <c r="G197" s="426"/>
      <c r="H197" s="426"/>
      <c r="I197" s="426"/>
      <c r="J197" s="426"/>
      <c r="K197" s="426"/>
      <c r="L197" s="426"/>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4">
        <f t="shared" si="11"/>
        <v>-3.2419664333997016</v>
      </c>
      <c r="E198" s="79"/>
      <c r="F198" s="895"/>
      <c r="G198" s="426"/>
      <c r="H198" s="426"/>
      <c r="I198" s="426"/>
      <c r="J198" s="426"/>
      <c r="K198" s="426"/>
      <c r="L198" s="426"/>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4">
        <f t="shared" si="11"/>
        <v>-4.0932097540514292</v>
      </c>
      <c r="E199" s="79"/>
      <c r="F199" s="895"/>
      <c r="G199" s="426"/>
      <c r="H199" s="426"/>
      <c r="I199" s="426"/>
      <c r="J199" s="426"/>
      <c r="K199" s="426"/>
      <c r="L199" s="426"/>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4">
        <f t="shared" si="11"/>
        <v>-5.0306053439420548</v>
      </c>
      <c r="E200" s="79"/>
      <c r="F200" s="3"/>
      <c r="G200" s="3"/>
      <c r="H200" s="3"/>
      <c r="I200" s="3"/>
      <c r="J200" s="3"/>
      <c r="K200" s="3"/>
      <c r="L200" s="3"/>
      <c r="M200" s="3"/>
      <c r="N200" s="3"/>
      <c r="O200" s="3"/>
      <c r="P200" s="3" t="s">
        <v>728</v>
      </c>
      <c r="Q200" s="3"/>
      <c r="R200" s="3"/>
      <c r="S200" s="3"/>
      <c r="T200" s="3"/>
      <c r="U200" s="3"/>
      <c r="V200" s="3"/>
      <c r="W200" s="3"/>
      <c r="X200" s="3"/>
      <c r="Y200" s="3"/>
      <c r="Z200" s="3"/>
      <c r="AA200" s="3"/>
      <c r="AB200" s="3"/>
      <c r="AC200" s="3"/>
    </row>
    <row r="201" spans="1:29">
      <c r="A201" s="3"/>
      <c r="B201" s="31"/>
      <c r="C201" s="79">
        <f t="shared" si="12"/>
        <v>125</v>
      </c>
      <c r="D201" s="414">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4">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4">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4">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4">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4">
        <f t="shared" si="11"/>
        <v>-13.60981855694245</v>
      </c>
      <c r="E206" s="79" t="s">
        <v>728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4">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4">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4">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4">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4">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4">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728</v>
      </c>
      <c r="C214" s="3"/>
      <c r="D214" s="580" t="s">
        <v>62</v>
      </c>
      <c r="E214" s="581"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4" t="s">
        <v>586</v>
      </c>
      <c r="C215" s="896" t="s">
        <v>943</v>
      </c>
      <c r="D215" s="579" t="s">
        <v>155</v>
      </c>
      <c r="E215" s="582" t="s">
        <v>155</v>
      </c>
      <c r="F215" s="426"/>
      <c r="G215" s="426" t="s">
        <v>728</v>
      </c>
      <c r="H215" s="426"/>
      <c r="I215" s="426"/>
      <c r="J215" s="426"/>
      <c r="K215" s="426"/>
      <c r="L215" s="426"/>
      <c r="M215" s="426"/>
      <c r="N215" s="571"/>
      <c r="O215" s="3"/>
      <c r="P215" s="3"/>
      <c r="Q215" s="3"/>
      <c r="R215" s="3"/>
      <c r="S215" s="3"/>
      <c r="T215" s="3"/>
      <c r="U215" s="3"/>
      <c r="V215" s="3"/>
      <c r="W215" s="3"/>
      <c r="X215" s="3"/>
      <c r="Y215" s="3"/>
      <c r="Z215" s="3"/>
      <c r="AA215" s="3"/>
      <c r="AB215" s="3"/>
      <c r="AC215" s="3"/>
    </row>
    <row r="216" spans="1:29">
      <c r="A216" s="3"/>
      <c r="B216" s="3"/>
      <c r="C216" s="565">
        <v>1.0000000000000001E-5</v>
      </c>
      <c r="D216" s="894">
        <f>6-(-10*LOG10(3282.81*((SIN(RADIANS(C216*1.7724))^2)/((C216*1.7724)^2))))</f>
        <v>6.0000048287003951</v>
      </c>
      <c r="E216" s="79" t="s">
        <v>728</v>
      </c>
      <c r="F216" s="426"/>
      <c r="G216" s="426"/>
      <c r="H216" s="426"/>
      <c r="I216" s="426"/>
      <c r="J216" s="426"/>
      <c r="K216" s="426"/>
      <c r="L216" s="426"/>
      <c r="M216" s="426"/>
      <c r="N216" s="572"/>
      <c r="O216" s="3"/>
      <c r="P216" s="3"/>
      <c r="Q216" s="3"/>
      <c r="R216" s="3"/>
      <c r="S216" s="3"/>
      <c r="T216" s="3"/>
      <c r="U216" s="3"/>
      <c r="V216" s="3"/>
      <c r="W216" s="3"/>
      <c r="X216" s="3"/>
      <c r="Y216" s="3"/>
      <c r="Z216" s="3"/>
      <c r="AA216" s="3"/>
      <c r="AB216" s="3"/>
      <c r="AC216" s="3"/>
    </row>
    <row r="217" spans="1:29">
      <c r="A217" s="3"/>
      <c r="B217" s="3"/>
      <c r="C217" s="565">
        <f>C216+5</f>
        <v>5.0000099999999996</v>
      </c>
      <c r="D217" s="894">
        <f t="shared" ref="D217:D252" si="13">6-(-10*LOG10(3282.81*((SIN(RADIANS(C217*1.7724))^2)/((C217*1.7724)^2))))</f>
        <v>5.9653447349382374</v>
      </c>
      <c r="E217" s="79" t="s">
        <v>728</v>
      </c>
      <c r="F217" s="426"/>
      <c r="G217" s="426"/>
      <c r="H217" s="426"/>
      <c r="I217" s="426"/>
      <c r="J217" s="426"/>
      <c r="K217" s="426"/>
      <c r="L217" s="426"/>
      <c r="M217" s="426"/>
      <c r="N217" s="572"/>
      <c r="O217" s="3"/>
      <c r="P217" s="3"/>
      <c r="Q217" s="3"/>
      <c r="R217" s="3"/>
      <c r="S217" s="3"/>
      <c r="T217" s="3"/>
      <c r="U217" s="3"/>
      <c r="V217" s="3"/>
      <c r="W217" s="3"/>
      <c r="X217" s="3"/>
      <c r="Y217" s="3"/>
      <c r="Z217" s="3"/>
      <c r="AA217" s="3"/>
      <c r="AB217" s="3"/>
      <c r="AC217" s="3"/>
    </row>
    <row r="218" spans="1:29">
      <c r="A218" s="3"/>
      <c r="B218" s="3"/>
      <c r="C218" s="565">
        <f t="shared" ref="C218:C283" si="14">C217+5</f>
        <v>10.00001</v>
      </c>
      <c r="D218" s="894">
        <f t="shared" si="13"/>
        <v>5.8610307884493329</v>
      </c>
      <c r="E218" s="79"/>
      <c r="F218" s="426"/>
      <c r="G218" s="426"/>
      <c r="H218" s="426"/>
      <c r="I218" s="426"/>
      <c r="J218" s="426"/>
      <c r="K218" s="426"/>
      <c r="L218" s="426"/>
      <c r="M218" s="426"/>
      <c r="N218" s="572"/>
      <c r="O218" s="3"/>
      <c r="P218" s="3"/>
      <c r="Q218" s="3"/>
      <c r="R218" s="3"/>
      <c r="S218" s="3"/>
      <c r="T218" s="3"/>
      <c r="U218" s="3"/>
      <c r="V218" s="3"/>
      <c r="W218" s="3"/>
      <c r="X218" s="3"/>
      <c r="Y218" s="3"/>
      <c r="Z218" s="3"/>
      <c r="AA218" s="3"/>
      <c r="AB218" s="3"/>
      <c r="AC218" s="3"/>
    </row>
    <row r="219" spans="1:29">
      <c r="A219" s="3"/>
      <c r="B219" s="3"/>
      <c r="C219" s="565">
        <f t="shared" si="14"/>
        <v>15.00001</v>
      </c>
      <c r="D219" s="894">
        <f t="shared" si="13"/>
        <v>5.6860456751103436</v>
      </c>
      <c r="E219" s="79"/>
      <c r="F219" s="426"/>
      <c r="G219" s="426"/>
      <c r="H219" s="426"/>
      <c r="I219" s="426"/>
      <c r="J219" s="426"/>
      <c r="K219" s="426"/>
      <c r="L219" s="426"/>
      <c r="M219" s="426"/>
      <c r="N219" s="572"/>
      <c r="O219" s="3"/>
      <c r="P219" s="3"/>
      <c r="Q219" s="3"/>
      <c r="R219" s="3"/>
      <c r="S219" s="3"/>
      <c r="T219" s="3"/>
      <c r="U219" s="3"/>
      <c r="V219" s="3"/>
      <c r="W219" s="3"/>
      <c r="X219" s="3"/>
      <c r="Y219" s="3"/>
      <c r="Z219" s="3"/>
      <c r="AA219" s="3"/>
      <c r="AB219" s="3"/>
      <c r="AC219" s="3"/>
    </row>
    <row r="220" spans="1:29">
      <c r="A220" s="3"/>
      <c r="B220" s="3"/>
      <c r="C220" s="565">
        <f t="shared" si="14"/>
        <v>20.00001</v>
      </c>
      <c r="D220" s="894">
        <f t="shared" si="13"/>
        <v>5.4386406342061937</v>
      </c>
      <c r="E220" s="79"/>
      <c r="F220" s="426"/>
      <c r="G220" s="426"/>
      <c r="H220" s="426"/>
      <c r="I220" s="426"/>
      <c r="J220" s="426"/>
      <c r="K220" s="426"/>
      <c r="L220" s="426"/>
      <c r="M220" s="426"/>
      <c r="N220" s="572"/>
      <c r="O220" s="3"/>
      <c r="P220" s="3"/>
      <c r="Q220" s="3"/>
      <c r="R220" s="3"/>
      <c r="S220" s="3"/>
      <c r="T220" s="3"/>
      <c r="U220" s="3"/>
      <c r="V220" s="3"/>
      <c r="W220" s="3"/>
      <c r="X220" s="3"/>
      <c r="Y220" s="3"/>
      <c r="Z220" s="3"/>
      <c r="AA220" s="3"/>
      <c r="AB220" s="3"/>
      <c r="AC220" s="3"/>
    </row>
    <row r="221" spans="1:29">
      <c r="A221" s="3"/>
      <c r="B221" s="3"/>
      <c r="C221" s="565">
        <f t="shared" si="14"/>
        <v>25.00001</v>
      </c>
      <c r="D221" s="894">
        <f t="shared" si="13"/>
        <v>5.1162496734715912</v>
      </c>
      <c r="E221" s="79"/>
      <c r="F221" s="426"/>
      <c r="G221" s="426"/>
      <c r="H221" s="426"/>
      <c r="I221" s="426"/>
      <c r="J221" s="426"/>
      <c r="K221" s="426"/>
      <c r="L221" s="426"/>
      <c r="M221" s="426"/>
      <c r="N221" s="572"/>
      <c r="O221" s="3"/>
      <c r="P221" s="3"/>
      <c r="Q221" s="3"/>
      <c r="R221" s="3"/>
      <c r="S221" s="3"/>
      <c r="T221" s="3"/>
      <c r="U221" s="3"/>
      <c r="V221" s="3"/>
      <c r="W221" s="3"/>
      <c r="X221" s="3"/>
      <c r="Y221" s="3"/>
      <c r="Z221" s="3"/>
      <c r="AA221" s="3"/>
      <c r="AB221" s="3"/>
      <c r="AC221" s="3"/>
    </row>
    <row r="222" spans="1:29">
      <c r="A222" s="3"/>
      <c r="B222" s="3"/>
      <c r="C222" s="565">
        <f t="shared" si="14"/>
        <v>30.00001</v>
      </c>
      <c r="D222" s="894">
        <f t="shared" si="13"/>
        <v>4.7153564644619106</v>
      </c>
      <c r="E222" s="79"/>
      <c r="F222" s="426"/>
      <c r="G222" s="426"/>
      <c r="H222" s="426"/>
      <c r="I222" s="426"/>
      <c r="J222" s="426"/>
      <c r="K222" s="426"/>
      <c r="L222" s="426"/>
      <c r="M222" s="426"/>
      <c r="N222" s="572"/>
      <c r="O222" s="3"/>
      <c r="P222" s="3"/>
      <c r="Q222" s="3"/>
      <c r="R222" s="3"/>
      <c r="S222" s="3"/>
      <c r="T222" s="3"/>
      <c r="U222" s="3"/>
      <c r="V222" s="3"/>
      <c r="W222" s="3"/>
      <c r="X222" s="3"/>
      <c r="Y222" s="3"/>
      <c r="Z222" s="3"/>
      <c r="AA222" s="3"/>
      <c r="AB222" s="3"/>
      <c r="AC222" s="3"/>
    </row>
    <row r="223" spans="1:29">
      <c r="A223" s="3"/>
      <c r="B223" s="3"/>
      <c r="C223" s="565">
        <f t="shared" si="14"/>
        <v>35.000010000000003</v>
      </c>
      <c r="D223" s="894">
        <f t="shared" si="13"/>
        <v>4.2312978799201479</v>
      </c>
      <c r="E223" s="79"/>
      <c r="F223" s="426"/>
      <c r="G223" s="426"/>
      <c r="H223" s="426"/>
      <c r="I223" s="426"/>
      <c r="J223" s="426"/>
      <c r="K223" s="426"/>
      <c r="L223" s="426"/>
      <c r="M223" s="426"/>
      <c r="N223" s="572"/>
      <c r="O223" s="3"/>
      <c r="P223" s="3"/>
      <c r="Q223" s="3"/>
      <c r="R223" s="3"/>
      <c r="S223" s="3"/>
      <c r="T223" s="3"/>
      <c r="U223" s="3"/>
      <c r="V223" s="3"/>
      <c r="W223" s="3"/>
      <c r="X223" s="3"/>
      <c r="Y223" s="3"/>
      <c r="Z223" s="3"/>
      <c r="AA223" s="3"/>
      <c r="AB223" s="3"/>
      <c r="AC223" s="3"/>
    </row>
    <row r="224" spans="1:29">
      <c r="A224" s="3"/>
      <c r="B224" s="3"/>
      <c r="C224" s="565">
        <f t="shared" si="14"/>
        <v>40.000010000000003</v>
      </c>
      <c r="D224" s="894">
        <f t="shared" si="13"/>
        <v>3.6579781652012575</v>
      </c>
      <c r="E224" s="79"/>
      <c r="F224" s="426"/>
      <c r="G224" s="426"/>
      <c r="H224" s="426"/>
      <c r="I224" s="426"/>
      <c r="J224" s="426"/>
      <c r="K224" s="426"/>
      <c r="L224" s="426"/>
      <c r="M224" s="426"/>
      <c r="N224" s="572"/>
      <c r="O224" s="3"/>
      <c r="P224" s="3"/>
      <c r="Q224" s="3"/>
      <c r="R224" s="3"/>
      <c r="S224" s="3"/>
      <c r="T224" s="3"/>
      <c r="U224" s="3"/>
      <c r="V224" s="3"/>
      <c r="W224" s="3"/>
      <c r="X224" s="3"/>
      <c r="Y224" s="3"/>
      <c r="Z224" s="3"/>
      <c r="AA224" s="3"/>
      <c r="AB224" s="3"/>
      <c r="AC224" s="3"/>
    </row>
    <row r="225" spans="1:29">
      <c r="A225" s="3"/>
      <c r="B225" s="3"/>
      <c r="C225" s="565">
        <f t="shared" si="14"/>
        <v>45.000010000000003</v>
      </c>
      <c r="D225" s="894">
        <f t="shared" si="13"/>
        <v>2.9874513525559072</v>
      </c>
      <c r="E225" s="79"/>
      <c r="F225" s="426"/>
      <c r="G225" s="426"/>
      <c r="H225" s="426" t="s">
        <v>728</v>
      </c>
      <c r="I225" s="426" t="s">
        <v>588</v>
      </c>
      <c r="J225" s="426"/>
      <c r="K225" s="426"/>
      <c r="L225" s="426"/>
      <c r="M225" s="426"/>
      <c r="N225" s="572"/>
      <c r="O225" s="3"/>
      <c r="P225" s="3"/>
      <c r="Q225" s="3"/>
      <c r="R225" s="3"/>
      <c r="S225" s="3"/>
      <c r="T225" s="3"/>
      <c r="U225" s="3"/>
      <c r="V225" s="3"/>
      <c r="W225" s="3"/>
      <c r="X225" s="3"/>
      <c r="Y225" s="3"/>
      <c r="Z225" s="3"/>
      <c r="AA225" s="3"/>
      <c r="AB225" s="3"/>
      <c r="AC225" s="3"/>
    </row>
    <row r="226" spans="1:29">
      <c r="A226" s="3"/>
      <c r="B226" s="3"/>
      <c r="C226" s="565">
        <f t="shared" si="14"/>
        <v>50.000010000000003</v>
      </c>
      <c r="D226" s="894">
        <f t="shared" si="13"/>
        <v>2.2093012463479962</v>
      </c>
      <c r="E226" s="79"/>
      <c r="F226" s="426"/>
      <c r="G226" s="426"/>
      <c r="H226" s="426"/>
      <c r="I226" s="426"/>
      <c r="J226" s="575" t="s">
        <v>583</v>
      </c>
      <c r="K226" s="426"/>
      <c r="L226" s="426"/>
      <c r="M226" s="426"/>
      <c r="N226" s="572"/>
      <c r="O226" s="3"/>
      <c r="P226" s="3"/>
      <c r="Q226" s="3"/>
      <c r="R226" s="3"/>
      <c r="S226" s="3"/>
      <c r="T226" s="3"/>
      <c r="U226" s="3"/>
      <c r="V226" s="3"/>
      <c r="W226" s="3"/>
      <c r="X226" s="3"/>
      <c r="Y226" s="3"/>
      <c r="Z226" s="3"/>
      <c r="AA226" s="3"/>
      <c r="AB226" s="3"/>
      <c r="AC226" s="3"/>
    </row>
    <row r="227" spans="1:29">
      <c r="A227" s="3"/>
      <c r="B227" s="3"/>
      <c r="C227" s="565">
        <f t="shared" si="14"/>
        <v>55.000010000000003</v>
      </c>
      <c r="D227" s="894">
        <f t="shared" si="13"/>
        <v>1.3096970623209385</v>
      </c>
      <c r="E227" s="79"/>
      <c r="F227" s="426"/>
      <c r="G227" s="426"/>
      <c r="H227" s="426"/>
      <c r="I227" s="426"/>
      <c r="J227" s="426"/>
      <c r="K227" s="426"/>
      <c r="L227" s="426"/>
      <c r="M227" s="426"/>
      <c r="N227" s="572"/>
      <c r="O227" s="3"/>
      <c r="P227" s="3"/>
      <c r="Q227" s="3"/>
      <c r="R227" s="3"/>
      <c r="S227" s="3"/>
      <c r="T227" s="3"/>
      <c r="U227" s="3"/>
      <c r="V227" s="3"/>
      <c r="W227" s="3"/>
      <c r="X227" s="3"/>
      <c r="Y227" s="3"/>
      <c r="Z227" s="3"/>
      <c r="AA227" s="3"/>
      <c r="AB227" s="3"/>
      <c r="AC227" s="3"/>
    </row>
    <row r="228" spans="1:29">
      <c r="A228" s="3"/>
      <c r="B228" s="3"/>
      <c r="C228" s="565">
        <f t="shared" si="14"/>
        <v>60.000010000000003</v>
      </c>
      <c r="D228" s="894">
        <f t="shared" si="13"/>
        <v>0.26990490064927641</v>
      </c>
      <c r="E228" s="79"/>
      <c r="F228" s="426"/>
      <c r="G228" s="426"/>
      <c r="H228" s="426"/>
      <c r="I228" s="426"/>
      <c r="J228" s="426"/>
      <c r="K228" s="426"/>
      <c r="L228" s="426"/>
      <c r="M228" s="426"/>
      <c r="N228" s="572"/>
      <c r="O228" s="3"/>
      <c r="P228" s="3"/>
      <c r="Q228" s="3"/>
      <c r="R228" s="3"/>
      <c r="S228" s="3"/>
      <c r="T228" s="3"/>
      <c r="U228" s="3"/>
      <c r="V228" s="3"/>
      <c r="W228" s="3"/>
      <c r="X228" s="3"/>
      <c r="Y228" s="3"/>
      <c r="Z228" s="3"/>
      <c r="AA228" s="3"/>
      <c r="AB228" s="3"/>
      <c r="AC228" s="3"/>
    </row>
    <row r="229" spans="1:29">
      <c r="A229" s="3"/>
      <c r="B229" s="3"/>
      <c r="C229" s="565">
        <f t="shared" si="14"/>
        <v>65.000010000000003</v>
      </c>
      <c r="D229" s="894">
        <f t="shared" si="13"/>
        <v>-0.93616362774185458</v>
      </c>
      <c r="E229" s="79"/>
      <c r="F229" s="426"/>
      <c r="G229" s="426"/>
      <c r="H229" s="426"/>
      <c r="I229" s="426"/>
      <c r="J229" s="426"/>
      <c r="K229" s="426"/>
      <c r="L229" s="426"/>
      <c r="M229" s="426"/>
      <c r="N229" s="572"/>
      <c r="O229" s="3"/>
      <c r="P229" s="3"/>
      <c r="Q229" s="3"/>
      <c r="R229" s="3"/>
      <c r="S229" s="3"/>
      <c r="T229" s="3"/>
      <c r="U229" s="3"/>
      <c r="V229" s="3"/>
      <c r="W229" s="3"/>
      <c r="X229" s="3"/>
      <c r="Y229" s="3"/>
      <c r="Z229" s="3"/>
      <c r="AA229" s="3"/>
      <c r="AB229" s="3"/>
      <c r="AC229" s="3"/>
    </row>
    <row r="230" spans="1:29">
      <c r="A230" s="3"/>
      <c r="B230" s="3"/>
      <c r="C230" s="565">
        <f t="shared" si="14"/>
        <v>70.000010000000003</v>
      </c>
      <c r="D230" s="894">
        <f t="shared" si="13"/>
        <v>-2.346219096006557</v>
      </c>
      <c r="E230" s="79"/>
      <c r="F230" s="426"/>
      <c r="G230" s="426"/>
      <c r="H230" s="426"/>
      <c r="I230" s="426"/>
      <c r="J230" s="426"/>
      <c r="K230" s="426"/>
      <c r="L230" s="426"/>
      <c r="M230" s="426"/>
      <c r="N230" s="572"/>
      <c r="O230" s="3"/>
      <c r="P230" s="3"/>
      <c r="Q230" s="3"/>
      <c r="R230" s="3"/>
      <c r="S230" s="3"/>
      <c r="T230" s="3"/>
      <c r="U230" s="3"/>
      <c r="V230" s="3"/>
      <c r="W230" s="3"/>
      <c r="X230" s="3"/>
      <c r="Y230" s="3"/>
      <c r="Z230" s="3"/>
      <c r="AA230" s="3"/>
      <c r="AB230" s="3"/>
      <c r="AC230" s="3"/>
    </row>
    <row r="231" spans="1:29">
      <c r="A231" s="3"/>
      <c r="B231" s="3"/>
      <c r="C231" s="565">
        <f t="shared" si="14"/>
        <v>75.000010000000003</v>
      </c>
      <c r="D231" s="894">
        <f t="shared" si="13"/>
        <v>-4.0175734305176114</v>
      </c>
      <c r="E231" s="79"/>
      <c r="F231" s="426"/>
      <c r="G231" s="426"/>
      <c r="H231" s="426"/>
      <c r="I231" s="426"/>
      <c r="J231" s="426"/>
      <c r="K231" s="426"/>
      <c r="L231" s="426"/>
      <c r="M231" s="426"/>
      <c r="N231" s="572"/>
      <c r="O231" s="3"/>
      <c r="P231" s="3"/>
      <c r="Q231" s="3"/>
      <c r="R231" s="3"/>
      <c r="S231" s="3"/>
      <c r="T231" s="3"/>
      <c r="U231" s="3"/>
      <c r="V231" s="3"/>
      <c r="W231" s="3"/>
      <c r="X231" s="3"/>
      <c r="Y231" s="3"/>
      <c r="Z231" s="3"/>
      <c r="AA231" s="3"/>
      <c r="AB231" s="3"/>
      <c r="AC231" s="3"/>
    </row>
    <row r="232" spans="1:29">
      <c r="A232" s="3"/>
      <c r="B232" s="3"/>
      <c r="C232" s="565">
        <f t="shared" si="14"/>
        <v>80.000010000000003</v>
      </c>
      <c r="D232" s="894">
        <f t="shared" si="13"/>
        <v>-6.0435331070795471</v>
      </c>
      <c r="E232" s="79"/>
      <c r="F232" s="426"/>
      <c r="G232" s="426"/>
      <c r="H232" s="426"/>
      <c r="I232" s="426"/>
      <c r="J232" s="426"/>
      <c r="K232" s="426"/>
      <c r="L232" s="426"/>
      <c r="M232" s="426"/>
      <c r="N232" s="572"/>
      <c r="O232" s="3"/>
      <c r="P232" s="3"/>
      <c r="Q232" s="3"/>
      <c r="R232" s="3"/>
      <c r="S232" s="3"/>
      <c r="T232" s="3"/>
      <c r="U232" s="3"/>
      <c r="V232" s="3"/>
      <c r="W232" s="3"/>
      <c r="X232" s="3"/>
      <c r="Y232" s="3"/>
      <c r="Z232" s="3"/>
      <c r="AA232" s="3"/>
      <c r="AB232" s="3"/>
      <c r="AC232" s="3"/>
    </row>
    <row r="233" spans="1:29">
      <c r="A233" s="3"/>
      <c r="B233" s="3"/>
      <c r="C233" s="565">
        <f t="shared" si="14"/>
        <v>85.000010000000003</v>
      </c>
      <c r="D233" s="894">
        <f t="shared" si="13"/>
        <v>-8.5917789014445276</v>
      </c>
      <c r="E233" s="79"/>
      <c r="F233" s="426"/>
      <c r="G233" s="426"/>
      <c r="H233" s="426"/>
      <c r="I233" s="426"/>
      <c r="J233" s="426"/>
      <c r="K233" s="426"/>
      <c r="L233" s="426"/>
      <c r="M233" s="426"/>
      <c r="N233" s="572"/>
      <c r="O233" s="3"/>
      <c r="P233" s="3"/>
      <c r="Q233" s="3"/>
      <c r="R233" s="3"/>
      <c r="S233" s="3"/>
      <c r="T233" s="3"/>
      <c r="U233" s="3"/>
      <c r="V233" s="3"/>
      <c r="W233" s="3"/>
      <c r="X233" s="3"/>
      <c r="Y233" s="3"/>
      <c r="Z233" s="3"/>
      <c r="AA233" s="3"/>
      <c r="AB233" s="3"/>
      <c r="AC233" s="3"/>
    </row>
    <row r="234" spans="1:29">
      <c r="A234" s="3"/>
      <c r="B234" s="3"/>
      <c r="C234" s="565">
        <f t="shared" si="14"/>
        <v>90.000010000000003</v>
      </c>
      <c r="D234" s="894">
        <f t="shared" si="13"/>
        <v>-12.013620001173564</v>
      </c>
      <c r="E234" s="79"/>
      <c r="F234" s="426"/>
      <c r="G234" s="426"/>
      <c r="H234" s="426"/>
      <c r="I234" s="426"/>
      <c r="J234" s="426"/>
      <c r="K234" s="426"/>
      <c r="L234" s="426"/>
      <c r="M234" s="426"/>
      <c r="N234" s="572"/>
      <c r="O234" s="3"/>
      <c r="P234" s="3"/>
      <c r="Q234" s="3"/>
      <c r="R234" s="3"/>
      <c r="S234" s="3"/>
      <c r="T234" s="3"/>
      <c r="U234" s="3"/>
      <c r="V234" s="3"/>
      <c r="W234" s="3"/>
      <c r="X234" s="3"/>
      <c r="Y234" s="3"/>
      <c r="Z234" s="3"/>
      <c r="AA234" s="3"/>
      <c r="AB234" s="3"/>
      <c r="AC234" s="3"/>
    </row>
    <row r="235" spans="1:29">
      <c r="A235" s="3"/>
      <c r="B235" s="3"/>
      <c r="C235" s="565">
        <f t="shared" si="14"/>
        <v>95.000010000000003</v>
      </c>
      <c r="D235" s="894">
        <f t="shared" si="13"/>
        <v>-17.279743973217315</v>
      </c>
      <c r="E235" s="79"/>
      <c r="F235" s="426"/>
      <c r="G235" s="426"/>
      <c r="H235" s="426"/>
      <c r="I235" s="426"/>
      <c r="J235" s="426"/>
      <c r="K235" s="426"/>
      <c r="L235" s="426"/>
      <c r="M235" s="426"/>
      <c r="N235" s="572"/>
      <c r="O235" s="3"/>
      <c r="P235" s="3"/>
      <c r="Q235" s="3"/>
      <c r="R235" s="3"/>
      <c r="S235" s="3"/>
      <c r="T235" s="3"/>
      <c r="U235" s="3"/>
      <c r="V235" s="3"/>
      <c r="W235" s="3"/>
      <c r="X235" s="3"/>
      <c r="Y235" s="3"/>
      <c r="Z235" s="3"/>
      <c r="AA235" s="3"/>
      <c r="AB235" s="3"/>
      <c r="AC235" s="3"/>
    </row>
    <row r="236" spans="1:29">
      <c r="A236" s="3"/>
      <c r="B236" s="3"/>
      <c r="C236" s="565">
        <f t="shared" si="14"/>
        <v>100.00001</v>
      </c>
      <c r="D236" s="894">
        <f t="shared" si="13"/>
        <v>-30.156464421918081</v>
      </c>
      <c r="E236" s="79" t="s">
        <v>909</v>
      </c>
      <c r="F236" s="426"/>
      <c r="G236" s="426"/>
      <c r="H236" s="426"/>
      <c r="I236" s="426"/>
      <c r="J236" s="426"/>
      <c r="K236" s="426"/>
      <c r="L236" s="426"/>
      <c r="M236" s="426"/>
      <c r="N236" s="572"/>
      <c r="O236" s="3"/>
      <c r="P236" s="3"/>
      <c r="Q236" s="3"/>
      <c r="R236" s="3"/>
      <c r="S236" s="3"/>
      <c r="T236" s="3"/>
      <c r="U236" s="3"/>
      <c r="V236" s="3"/>
      <c r="W236" s="3"/>
      <c r="X236" s="3"/>
      <c r="Y236" s="3"/>
      <c r="Z236" s="3"/>
      <c r="AA236" s="3"/>
      <c r="AB236" s="3"/>
      <c r="AC236" s="3"/>
    </row>
    <row r="237" spans="1:29">
      <c r="A237" s="3"/>
      <c r="B237" s="3"/>
      <c r="C237" s="565">
        <f t="shared" si="14"/>
        <v>105.00001</v>
      </c>
      <c r="D237" s="894">
        <f t="shared" si="13"/>
        <v>-23.701973405406868</v>
      </c>
      <c r="E237" s="79"/>
      <c r="F237" s="426"/>
      <c r="G237" s="426"/>
      <c r="H237" s="426"/>
      <c r="I237" s="426"/>
      <c r="J237" s="426"/>
      <c r="K237" s="426"/>
      <c r="L237" s="426"/>
      <c r="M237" s="426"/>
      <c r="N237" s="572"/>
      <c r="O237" s="3"/>
      <c r="P237" s="3"/>
      <c r="Q237" s="3"/>
      <c r="R237" s="3"/>
      <c r="S237" s="3"/>
      <c r="T237" s="3"/>
      <c r="U237" s="3"/>
      <c r="V237" s="3"/>
      <c r="W237" s="3"/>
      <c r="X237" s="3"/>
      <c r="Y237" s="3"/>
      <c r="Z237" s="3"/>
      <c r="AA237" s="3"/>
      <c r="AB237" s="3"/>
      <c r="AC237" s="3"/>
    </row>
    <row r="238" spans="1:29">
      <c r="A238" s="3"/>
      <c r="B238" s="3"/>
      <c r="C238" s="565">
        <f t="shared" si="14"/>
        <v>110.00001</v>
      </c>
      <c r="D238" s="894">
        <f t="shared" si="13"/>
        <v>-16.397090501132354</v>
      </c>
      <c r="E238" s="79"/>
      <c r="F238" s="426"/>
      <c r="G238" s="426"/>
      <c r="H238" s="426"/>
      <c r="I238" s="426"/>
      <c r="J238" s="426"/>
      <c r="K238" s="426"/>
      <c r="L238" s="426"/>
      <c r="M238" s="426"/>
      <c r="N238" s="572"/>
      <c r="O238" s="3"/>
      <c r="P238" s="3"/>
      <c r="Q238" s="3"/>
      <c r="R238" s="3"/>
      <c r="S238" s="3"/>
      <c r="T238" s="3"/>
      <c r="U238" s="3"/>
      <c r="V238" s="3"/>
      <c r="W238" s="3"/>
      <c r="X238" s="3"/>
      <c r="Y238" s="3"/>
      <c r="Z238" s="3"/>
      <c r="AA238" s="3"/>
      <c r="AB238" s="3"/>
      <c r="AC238" s="3"/>
    </row>
    <row r="239" spans="1:29" ht="13" thickBot="1">
      <c r="A239" s="3"/>
      <c r="B239" s="3"/>
      <c r="C239" s="565">
        <f t="shared" si="14"/>
        <v>115.00001</v>
      </c>
      <c r="D239" s="894">
        <f t="shared" si="13"/>
        <v>-12.895951874930702</v>
      </c>
      <c r="E239" s="79"/>
      <c r="F239" s="426"/>
      <c r="G239" s="426"/>
      <c r="H239" s="426"/>
      <c r="I239" s="426"/>
      <c r="J239" s="426"/>
      <c r="K239" s="426"/>
      <c r="L239" s="426"/>
      <c r="M239" s="426"/>
      <c r="N239" s="573"/>
      <c r="O239" s="3"/>
      <c r="P239" s="3"/>
      <c r="Q239" s="3"/>
      <c r="R239" s="3"/>
      <c r="S239" s="3"/>
      <c r="T239" s="3"/>
      <c r="U239" s="3"/>
      <c r="V239" s="3"/>
      <c r="W239" s="3"/>
      <c r="X239" s="3"/>
      <c r="Y239" s="3"/>
      <c r="Z239" s="3"/>
      <c r="AA239" s="3"/>
      <c r="AB239" s="3"/>
      <c r="AC239" s="3"/>
    </row>
    <row r="240" spans="1:29">
      <c r="A240" s="3"/>
      <c r="B240" s="3"/>
      <c r="C240" s="565">
        <f t="shared" si="14"/>
        <v>120.00001</v>
      </c>
      <c r="D240" s="894">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5">
        <f t="shared" si="14"/>
        <v>125.00001</v>
      </c>
      <c r="D241" s="894">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5">
        <f t="shared" si="14"/>
        <v>130.00001</v>
      </c>
      <c r="D242" s="894">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5">
        <f t="shared" si="14"/>
        <v>135.00001</v>
      </c>
      <c r="D243" s="894">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5">
        <f t="shared" si="14"/>
        <v>140.00001</v>
      </c>
      <c r="D244" s="894">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5">
        <f t="shared" si="14"/>
        <v>145.00001</v>
      </c>
      <c r="D245" s="894">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5">
        <f t="shared" si="14"/>
        <v>150.00001</v>
      </c>
      <c r="D246" s="894">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5">
        <f t="shared" si="14"/>
        <v>155.00001</v>
      </c>
      <c r="D247" s="894">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5">
        <f t="shared" si="14"/>
        <v>160.00001</v>
      </c>
      <c r="D248" s="894">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5">
        <f t="shared" si="14"/>
        <v>165.00001</v>
      </c>
      <c r="D249" s="894">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5">
        <f t="shared" si="14"/>
        <v>170.00001</v>
      </c>
      <c r="D250" s="894">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5">
        <f t="shared" si="14"/>
        <v>175.00001</v>
      </c>
      <c r="D251" s="894">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5">
        <f t="shared" si="14"/>
        <v>180.00001</v>
      </c>
      <c r="D252" s="894">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5">
        <f t="shared" si="14"/>
        <v>185.00001</v>
      </c>
      <c r="D253" s="89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5">
        <f t="shared" si="14"/>
        <v>190.00001</v>
      </c>
      <c r="D254" s="89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5">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5">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5">
        <f t="shared" si="14"/>
        <v>205.00001</v>
      </c>
      <c r="D257" s="79">
        <v>-7.6</v>
      </c>
      <c r="E257" s="3" t="s">
        <v>728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5">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5">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5">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5">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5">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5">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5">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5">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5">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5">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5">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5">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5">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5">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5">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5">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5">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5">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5">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5">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5">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5">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5">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5">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5">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5">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5">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5">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5">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5">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5" t="s">
        <v>728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5"/>
      <c r="B1" s="506"/>
      <c r="C1" s="507" t="s">
        <v>152</v>
      </c>
      <c r="D1" s="507"/>
      <c r="E1" s="506"/>
      <c r="F1" s="506"/>
      <c r="G1" s="508"/>
      <c r="H1" s="3"/>
      <c r="I1" s="3"/>
      <c r="J1" s="3"/>
      <c r="K1" s="3"/>
      <c r="L1" s="3"/>
      <c r="M1" s="3"/>
      <c r="N1" s="3"/>
      <c r="O1" s="3"/>
      <c r="P1" s="3"/>
      <c r="Q1" s="3"/>
      <c r="R1" s="3"/>
      <c r="S1" s="877"/>
      <c r="T1" s="877"/>
      <c r="U1" s="877"/>
    </row>
    <row r="2" spans="1:21" ht="18">
      <c r="A2" s="509" t="s">
        <v>54</v>
      </c>
      <c r="B2" s="510"/>
      <c r="C2" s="510"/>
      <c r="D2" s="510"/>
      <c r="E2" s="390"/>
      <c r="F2" s="390"/>
      <c r="G2" s="511"/>
      <c r="H2" s="3"/>
      <c r="I2" s="3"/>
      <c r="J2" s="3"/>
      <c r="K2" s="3"/>
      <c r="L2" s="3"/>
      <c r="M2" s="3"/>
      <c r="N2" s="3"/>
      <c r="O2" s="3"/>
      <c r="P2" s="3"/>
      <c r="Q2" s="3"/>
      <c r="R2" s="3"/>
      <c r="S2" s="877"/>
      <c r="T2" s="877"/>
      <c r="U2" s="877"/>
    </row>
    <row r="3" spans="1:21" ht="18" thickBot="1">
      <c r="A3" s="512" t="s">
        <v>349</v>
      </c>
      <c r="B3" s="513"/>
      <c r="C3" s="513"/>
      <c r="D3" s="513"/>
      <c r="E3" s="514"/>
      <c r="F3" s="127"/>
      <c r="G3" s="515"/>
      <c r="H3" s="3"/>
      <c r="I3" s="454" t="s">
        <v>38</v>
      </c>
      <c r="J3" s="490" t="str">
        <f>'Title Page'!F23</f>
        <v>2019 May 6</v>
      </c>
      <c r="K3" s="371"/>
      <c r="L3" s="4" t="s">
        <v>728</v>
      </c>
      <c r="M3" s="4" t="s">
        <v>728</v>
      </c>
      <c r="N3" s="3"/>
      <c r="O3" s="3"/>
      <c r="P3" s="3"/>
      <c r="Q3" s="3"/>
      <c r="R3" s="3"/>
      <c r="S3" s="877"/>
      <c r="T3" s="877"/>
      <c r="U3" s="877"/>
    </row>
    <row r="4" spans="1:21" ht="13.5" thickBot="1">
      <c r="A4" s="4"/>
      <c r="B4" s="3"/>
      <c r="C4" s="3"/>
      <c r="D4" s="3"/>
      <c r="E4" s="3"/>
      <c r="F4" s="3"/>
      <c r="G4" s="3"/>
      <c r="H4" s="3"/>
      <c r="I4" s="3"/>
      <c r="J4" s="3"/>
      <c r="K4" s="3"/>
      <c r="L4" s="3"/>
      <c r="M4" s="4"/>
      <c r="N4" s="3"/>
      <c r="O4" s="3"/>
      <c r="P4" s="3"/>
      <c r="Q4" s="3"/>
      <c r="R4" s="3"/>
      <c r="S4" s="877"/>
      <c r="T4" s="877"/>
      <c r="U4" s="877"/>
    </row>
    <row r="5" spans="1:21" ht="13.5" thickBot="1">
      <c r="A5" s="603" t="s">
        <v>766</v>
      </c>
      <c r="B5" s="602">
        <v>8.1999999999999993</v>
      </c>
      <c r="C5" s="3" t="s">
        <v>39</v>
      </c>
      <c r="D5" s="3"/>
      <c r="E5" s="521" t="s">
        <v>40</v>
      </c>
      <c r="F5" s="525">
        <f>20.4+20*LOG10(B6)+20*LOG10(B5)+10*LOG10(B7/100)</f>
        <v>58.686579312516898</v>
      </c>
      <c r="G5" s="3" t="s">
        <v>728</v>
      </c>
      <c r="H5" s="391" t="s">
        <v>615</v>
      </c>
      <c r="I5" s="315"/>
      <c r="J5" s="185"/>
      <c r="K5" s="3"/>
      <c r="L5" s="3"/>
      <c r="M5" s="3"/>
      <c r="N5" s="3"/>
      <c r="O5" s="3"/>
      <c r="P5" s="3"/>
      <c r="Q5" s="3"/>
      <c r="R5" s="3"/>
      <c r="S5" s="877"/>
      <c r="T5" s="877"/>
      <c r="U5" s="877"/>
    </row>
    <row r="6" spans="1:21" ht="13.5" thickBot="1">
      <c r="A6" s="603" t="s">
        <v>41</v>
      </c>
      <c r="B6" s="602">
        <v>13.5</v>
      </c>
      <c r="C6" s="3" t="s">
        <v>42</v>
      </c>
      <c r="D6" s="3"/>
      <c r="E6" s="3"/>
      <c r="F6" s="79"/>
      <c r="G6" s="3"/>
      <c r="H6" s="3"/>
      <c r="I6" s="3"/>
      <c r="J6" s="3"/>
      <c r="K6" s="3"/>
      <c r="L6" s="3"/>
      <c r="M6" s="3"/>
      <c r="N6" s="3"/>
      <c r="O6" s="3"/>
      <c r="P6" s="3"/>
      <c r="Q6" s="3"/>
      <c r="R6" s="3"/>
      <c r="S6" s="877"/>
      <c r="T6" s="877"/>
      <c r="U6" s="877"/>
    </row>
    <row r="7" spans="1:21" ht="13.5" thickBot="1">
      <c r="A7" s="604" t="s">
        <v>52</v>
      </c>
      <c r="B7" s="602">
        <v>55</v>
      </c>
      <c r="C7" s="3" t="s">
        <v>37</v>
      </c>
      <c r="D7" s="780" t="s">
        <v>150</v>
      </c>
      <c r="E7" s="4" t="s">
        <v>151</v>
      </c>
      <c r="F7" s="842">
        <f>21/(B5*B6)</f>
        <v>0.18970189701897022</v>
      </c>
      <c r="G7" s="3" t="s">
        <v>4</v>
      </c>
      <c r="H7" s="517" t="s">
        <v>162</v>
      </c>
      <c r="I7" s="3"/>
      <c r="J7" s="3"/>
      <c r="K7" s="3"/>
      <c r="L7" s="3"/>
      <c r="M7" s="3"/>
      <c r="N7" s="3"/>
      <c r="O7" s="3"/>
      <c r="P7" s="3"/>
      <c r="Q7" s="3"/>
      <c r="R7" s="28" t="s">
        <v>728</v>
      </c>
      <c r="S7" s="134">
        <f>F7/2</f>
        <v>9.4850948509485111E-2</v>
      </c>
      <c r="T7" s="877"/>
      <c r="U7" s="877"/>
    </row>
    <row r="8" spans="1:21" ht="13.5" thickBot="1">
      <c r="A8" s="884"/>
      <c r="B8" s="885"/>
      <c r="C8" s="886"/>
      <c r="D8" s="887"/>
      <c r="E8" s="888"/>
      <c r="F8" s="889"/>
      <c r="G8" s="3"/>
      <c r="H8" s="517"/>
      <c r="I8" s="3"/>
      <c r="J8" s="3"/>
      <c r="K8" s="3"/>
      <c r="L8" s="3"/>
      <c r="M8" s="3"/>
      <c r="N8" s="3"/>
      <c r="O8" s="3"/>
      <c r="P8" s="3"/>
      <c r="Q8" s="3"/>
      <c r="R8" s="28"/>
      <c r="S8" s="134"/>
      <c r="T8" s="877"/>
      <c r="U8" s="877"/>
    </row>
    <row r="9" spans="1:21" ht="13" customHeight="1" thickBot="1">
      <c r="A9" s="884"/>
      <c r="B9" s="885"/>
      <c r="C9" s="886"/>
      <c r="D9" s="887" t="s">
        <v>87</v>
      </c>
      <c r="E9" s="888"/>
      <c r="F9" s="890">
        <f>299.8/(B5*1000)</f>
        <v>3.6560975609756102E-2</v>
      </c>
      <c r="G9" s="3" t="s">
        <v>941</v>
      </c>
      <c r="H9" s="517"/>
      <c r="I9" s="3"/>
      <c r="J9" s="3"/>
      <c r="K9" s="3"/>
      <c r="L9" s="3"/>
      <c r="M9" s="3"/>
      <c r="N9" s="3"/>
      <c r="O9" s="3"/>
      <c r="P9" s="3"/>
      <c r="Q9" s="3"/>
      <c r="R9" s="28"/>
      <c r="S9" s="134"/>
      <c r="T9" s="877"/>
      <c r="U9" s="877"/>
    </row>
    <row r="10" spans="1:21" ht="13.5" thickBot="1">
      <c r="A10" s="884"/>
      <c r="B10" s="885"/>
      <c r="C10" s="886"/>
      <c r="D10" s="887"/>
      <c r="E10" s="888"/>
      <c r="F10" s="889"/>
      <c r="G10" s="3"/>
      <c r="H10" s="899" t="s">
        <v>954</v>
      </c>
      <c r="I10" s="3"/>
      <c r="J10" s="3"/>
      <c r="K10" s="3" t="s">
        <v>728</v>
      </c>
      <c r="L10" s="3"/>
      <c r="M10" s="3"/>
      <c r="N10" s="3"/>
      <c r="O10" s="3"/>
      <c r="P10" s="3"/>
      <c r="Q10" s="3"/>
      <c r="R10" s="28"/>
      <c r="S10" s="134"/>
      <c r="T10" s="877"/>
      <c r="U10" s="877"/>
    </row>
    <row r="11" spans="1:21" ht="13" customHeight="1" thickBot="1">
      <c r="A11" s="884"/>
      <c r="B11" s="885"/>
      <c r="C11" s="886"/>
      <c r="D11" s="891" t="s">
        <v>939</v>
      </c>
      <c r="E11" s="888"/>
      <c r="F11" s="892">
        <f>B6/F9</f>
        <v>369.24616410940621</v>
      </c>
      <c r="G11" s="3" t="s">
        <v>942</v>
      </c>
      <c r="H11" s="893" t="str">
        <f>IF(F11&gt;9.99, "OK", "Too Small")</f>
        <v>OK</v>
      </c>
      <c r="I11" s="3"/>
      <c r="J11" s="3"/>
      <c r="K11" s="3"/>
      <c r="L11" s="3"/>
      <c r="M11" s="3"/>
      <c r="N11" s="3"/>
      <c r="O11" s="3"/>
      <c r="P11" s="3"/>
      <c r="Q11" s="3"/>
      <c r="R11" s="28"/>
      <c r="S11" s="134"/>
      <c r="T11" s="877"/>
      <c r="U11" s="877"/>
    </row>
    <row r="12" spans="1:21" ht="13.5" thickBot="1">
      <c r="A12" s="516"/>
      <c r="B12" s="518"/>
      <c r="C12" s="94"/>
      <c r="D12" s="94"/>
      <c r="E12" s="4"/>
      <c r="F12" s="519"/>
      <c r="G12" s="94"/>
      <c r="H12" s="230"/>
      <c r="I12" s="94"/>
      <c r="J12" s="94"/>
      <c r="K12" s="94"/>
      <c r="L12" s="94"/>
      <c r="M12" s="94"/>
      <c r="N12" s="94"/>
      <c r="O12" s="94"/>
      <c r="P12" s="94"/>
      <c r="Q12" s="94"/>
      <c r="R12" s="520"/>
      <c r="S12" s="134"/>
      <c r="T12" s="877"/>
      <c r="U12" s="877"/>
    </row>
    <row r="13" spans="1:21">
      <c r="A13" s="721" t="s">
        <v>140</v>
      </c>
      <c r="B13" s="503" t="s">
        <v>129</v>
      </c>
      <c r="C13" s="504"/>
      <c r="D13" s="504"/>
      <c r="E13" s="504"/>
      <c r="F13" s="526"/>
      <c r="G13" s="80"/>
      <c r="H13" s="80"/>
      <c r="I13" s="80"/>
      <c r="J13" s="80"/>
      <c r="K13" s="96"/>
      <c r="L13" s="3"/>
      <c r="M13" s="3"/>
      <c r="N13" s="3"/>
      <c r="O13" s="3"/>
      <c r="P13" s="3"/>
      <c r="Q13" s="3"/>
      <c r="R13" s="877"/>
      <c r="S13" s="877"/>
      <c r="T13" s="877"/>
      <c r="U13" s="877"/>
    </row>
    <row r="14" spans="1:21" ht="13.5" thickBot="1">
      <c r="A14" s="909"/>
      <c r="B14" s="910"/>
      <c r="C14" s="909" t="s">
        <v>728</v>
      </c>
      <c r="D14" s="909"/>
      <c r="E14" s="909"/>
      <c r="F14" s="527" t="s">
        <v>55</v>
      </c>
      <c r="G14" s="528"/>
      <c r="H14" s="528"/>
      <c r="I14" s="529" t="s">
        <v>56</v>
      </c>
      <c r="J14" s="528"/>
      <c r="K14" s="530"/>
      <c r="L14" s="3"/>
      <c r="M14" s="3"/>
      <c r="N14" s="3"/>
      <c r="O14" s="3"/>
      <c r="P14" s="3"/>
      <c r="Q14" s="4"/>
      <c r="R14" s="877"/>
      <c r="S14" s="877"/>
      <c r="T14" s="877"/>
      <c r="U14" s="879"/>
    </row>
    <row r="15" spans="1:21" ht="13">
      <c r="A15" s="907"/>
      <c r="B15" s="907">
        <v>1E-4</v>
      </c>
      <c r="C15" s="908">
        <f>((SIN(RADIANS(B15)))^2)/B15^2</f>
        <v>3.046174197863993E-4</v>
      </c>
      <c r="D15" s="907">
        <f>C15*1000000</f>
        <v>304.6174197863993</v>
      </c>
      <c r="E15" s="908">
        <f>D15/304.6174</f>
        <v>1.0000000649549217</v>
      </c>
      <c r="F15" s="253">
        <v>0</v>
      </c>
      <c r="G15" s="251" t="s">
        <v>770</v>
      </c>
      <c r="H15" s="251"/>
      <c r="I15" s="262">
        <f>(S7*B15)/79.76</f>
        <v>1.1892044697778975E-7</v>
      </c>
      <c r="J15" s="263" t="s">
        <v>43</v>
      </c>
      <c r="K15" s="87"/>
      <c r="L15" s="3"/>
      <c r="M15" s="3"/>
      <c r="N15" s="3"/>
      <c r="O15" s="3"/>
      <c r="P15" s="3"/>
      <c r="Q15" s="3"/>
      <c r="R15" s="877"/>
      <c r="S15" s="878"/>
      <c r="T15" s="877"/>
      <c r="U15" s="880"/>
    </row>
    <row r="16" spans="1:21" ht="13">
      <c r="A16" s="907"/>
      <c r="B16" s="907">
        <v>0.1</v>
      </c>
      <c r="C16" s="908">
        <f>((SIN(RADIANS(B16)))^2)/B16^2</f>
        <v>3.0461711048092603E-4</v>
      </c>
      <c r="D16" s="907">
        <f>C16*1000000</f>
        <v>304.61711048092604</v>
      </c>
      <c r="E16" s="907">
        <f t="shared" ref="E16:E81" si="0">D16/304.6174</f>
        <v>0.99999904956488395</v>
      </c>
      <c r="F16" s="676">
        <f>10*LOG10(E16)</f>
        <v>-4.1276892246433878E-6</v>
      </c>
      <c r="G16" s="251" t="s">
        <v>770</v>
      </c>
      <c r="H16" s="251"/>
      <c r="I16" s="252">
        <f>(S7*B16)/79.76</f>
        <v>1.1892044697778976E-4</v>
      </c>
      <c r="J16" s="86"/>
      <c r="K16" s="87"/>
      <c r="L16" s="3"/>
      <c r="M16" s="3"/>
      <c r="N16" s="3"/>
      <c r="O16" s="3"/>
      <c r="P16" s="3"/>
      <c r="Q16" s="3"/>
      <c r="R16" s="877"/>
      <c r="S16" s="877"/>
      <c r="T16" s="877"/>
      <c r="U16" s="881"/>
    </row>
    <row r="17" spans="1:21" ht="13">
      <c r="A17" s="907" t="s">
        <v>728</v>
      </c>
      <c r="B17" s="907">
        <v>3.5</v>
      </c>
      <c r="C17" s="907">
        <f>((SIN(RADIANS(B17)))^2)/B17^2</f>
        <v>3.0423870851746797E-4</v>
      </c>
      <c r="D17" s="907">
        <f>C17*1000000</f>
        <v>304.23870851746796</v>
      </c>
      <c r="E17" s="907">
        <f t="shared" si="0"/>
        <v>0.99875682911569719</v>
      </c>
      <c r="F17" s="253">
        <f>10*LOG10(E17)</f>
        <v>-5.4023812889198589E-3</v>
      </c>
      <c r="G17" s="251" t="s">
        <v>770</v>
      </c>
      <c r="H17" s="251" t="s">
        <v>728</v>
      </c>
      <c r="I17" s="252">
        <f>(S7*B17)/79.76</f>
        <v>4.1622156442226417E-3</v>
      </c>
      <c r="J17" s="86" t="s">
        <v>728</v>
      </c>
      <c r="K17" s="87"/>
      <c r="L17" s="3"/>
      <c r="M17" s="3"/>
      <c r="N17" s="3"/>
      <c r="O17" s="3"/>
      <c r="P17" s="3"/>
      <c r="Q17" s="3"/>
      <c r="R17" s="877"/>
      <c r="S17" s="877"/>
      <c r="T17" s="877"/>
      <c r="U17" s="882"/>
    </row>
    <row r="18" spans="1:21" ht="13">
      <c r="A18" s="907"/>
      <c r="B18" s="907">
        <v>10</v>
      </c>
      <c r="C18" s="907">
        <f t="shared" ref="C18:C24" si="1">((SIN(RADIANS(B18)))^2)/B18^2</f>
        <v>3.0153689607045805E-4</v>
      </c>
      <c r="D18" s="907">
        <f t="shared" ref="D18:D83" si="2">C18*1000000</f>
        <v>301.53689607045806</v>
      </c>
      <c r="E18" s="907">
        <f t="shared" si="0"/>
        <v>0.98988730148198389</v>
      </c>
      <c r="F18" s="253">
        <f>10*LOG10(E18)</f>
        <v>-4.4142469484505009E-2</v>
      </c>
      <c r="G18" s="251" t="s">
        <v>770</v>
      </c>
      <c r="H18" s="251"/>
      <c r="I18" s="252">
        <f>(S7*B18)/79.76</f>
        <v>1.1892044697778974E-2</v>
      </c>
      <c r="J18" s="86"/>
      <c r="K18" s="87"/>
      <c r="L18" s="3"/>
      <c r="M18" s="3"/>
      <c r="N18" s="3"/>
      <c r="O18" s="3"/>
      <c r="P18" s="3"/>
      <c r="Q18" s="28"/>
      <c r="R18" s="877"/>
      <c r="S18" s="877"/>
      <c r="T18" s="877"/>
      <c r="U18" s="882"/>
    </row>
    <row r="19" spans="1:21" ht="13">
      <c r="A19" s="907"/>
      <c r="B19" s="907">
        <v>25</v>
      </c>
      <c r="C19" s="907">
        <f t="shared" si="1"/>
        <v>2.8576991225076853E-4</v>
      </c>
      <c r="D19" s="907">
        <f t="shared" si="2"/>
        <v>285.76991225076853</v>
      </c>
      <c r="E19" s="907">
        <f t="shared" si="0"/>
        <v>0.93812734351605831</v>
      </c>
      <c r="F19" s="255">
        <f t="shared" ref="F19:F84" si="3">10*LOG10(E19)</f>
        <v>-0.27738205509447322</v>
      </c>
      <c r="G19" s="251" t="s">
        <v>770</v>
      </c>
      <c r="H19" s="251"/>
      <c r="I19" s="254">
        <f>(S7*B19)/79.76</f>
        <v>2.9730111744447441E-2</v>
      </c>
      <c r="J19" s="86"/>
      <c r="K19" s="87"/>
      <c r="L19" s="3"/>
      <c r="M19" s="3"/>
      <c r="N19" s="3"/>
      <c r="O19" s="3"/>
      <c r="P19" s="3"/>
      <c r="Q19" s="522"/>
      <c r="R19" s="877"/>
      <c r="S19" s="877"/>
      <c r="T19" s="877"/>
      <c r="U19" s="882"/>
    </row>
    <row r="20" spans="1:21" ht="13">
      <c r="A20" s="907"/>
      <c r="B20" s="907">
        <v>30</v>
      </c>
      <c r="C20" s="907">
        <f t="shared" si="1"/>
        <v>2.7777777777777772E-4</v>
      </c>
      <c r="D20" s="907">
        <f t="shared" si="2"/>
        <v>277.77777777777771</v>
      </c>
      <c r="E20" s="907">
        <f t="shared" si="0"/>
        <v>0.91189071201375149</v>
      </c>
      <c r="F20" s="255">
        <f t="shared" si="3"/>
        <v>-0.4005720773893886</v>
      </c>
      <c r="G20" s="251" t="s">
        <v>770</v>
      </c>
      <c r="H20" s="251"/>
      <c r="I20" s="254">
        <f>(S7*B20)/79.76</f>
        <v>3.5676134093336927E-2</v>
      </c>
      <c r="J20" s="86"/>
      <c r="K20" s="87"/>
      <c r="L20" s="3"/>
      <c r="M20" s="3"/>
      <c r="N20" s="3"/>
      <c r="O20" s="3"/>
      <c r="P20" s="3"/>
      <c r="Q20" s="522"/>
      <c r="R20" s="877"/>
      <c r="S20" s="877"/>
      <c r="T20" s="877"/>
      <c r="U20" s="882"/>
    </row>
    <row r="21" spans="1:21" ht="13">
      <c r="A21" s="907"/>
      <c r="B21" s="907">
        <v>40</v>
      </c>
      <c r="C21" s="907">
        <f t="shared" si="1"/>
        <v>2.5823494447908422E-4</v>
      </c>
      <c r="D21" s="907">
        <f t="shared" si="2"/>
        <v>258.23494447908422</v>
      </c>
      <c r="E21" s="907">
        <f t="shared" si="0"/>
        <v>0.84773537059630943</v>
      </c>
      <c r="F21" s="255">
        <f t="shared" si="3"/>
        <v>-0.71739696122706598</v>
      </c>
      <c r="G21" s="251" t="s">
        <v>770</v>
      </c>
      <c r="H21" s="251"/>
      <c r="I21" s="916">
        <f>(S7*B21)/79.76</f>
        <v>4.7568178791115898E-2</v>
      </c>
      <c r="J21" s="86" t="s">
        <v>728</v>
      </c>
      <c r="K21" s="87"/>
      <c r="L21" s="3"/>
      <c r="M21" s="3"/>
      <c r="N21" s="3"/>
      <c r="O21" s="3"/>
      <c r="P21" s="3"/>
      <c r="Q21" s="522"/>
      <c r="R21" s="877"/>
      <c r="S21" s="877"/>
      <c r="T21" s="877"/>
      <c r="U21" s="882"/>
    </row>
    <row r="22" spans="1:21" ht="13">
      <c r="A22" s="907"/>
      <c r="B22" s="907">
        <v>47</v>
      </c>
      <c r="C22" s="907">
        <f t="shared" si="1"/>
        <v>2.4213591528839411E-4</v>
      </c>
      <c r="D22" s="907">
        <f t="shared" si="2"/>
        <v>242.1359152883941</v>
      </c>
      <c r="E22" s="907">
        <f t="shared" si="0"/>
        <v>0.79488537190716657</v>
      </c>
      <c r="F22" s="900">
        <f t="shared" si="3"/>
        <v>-0.99695495164283776</v>
      </c>
      <c r="G22" s="901" t="s">
        <v>770</v>
      </c>
      <c r="H22" s="901"/>
      <c r="I22" s="906">
        <f>(S7*B22)/79.76</f>
        <v>5.5892610079561179E-2</v>
      </c>
      <c r="J22" s="903"/>
      <c r="K22" s="904"/>
      <c r="L22" s="3"/>
      <c r="M22" s="3"/>
      <c r="N22" s="3"/>
      <c r="O22" s="3"/>
      <c r="P22" s="3"/>
      <c r="Q22" s="522"/>
      <c r="R22" s="877"/>
      <c r="S22" s="877"/>
      <c r="T22" s="877"/>
      <c r="U22" s="883"/>
    </row>
    <row r="23" spans="1:21" ht="13">
      <c r="A23" s="907"/>
      <c r="B23" s="907">
        <v>56.5</v>
      </c>
      <c r="C23" s="907">
        <f t="shared" si="1"/>
        <v>2.1782929414821425E-4</v>
      </c>
      <c r="D23" s="907">
        <f t="shared" si="2"/>
        <v>217.82929414821425</v>
      </c>
      <c r="E23" s="907">
        <f t="shared" si="0"/>
        <v>0.71509143649776497</v>
      </c>
      <c r="F23" s="255">
        <f t="shared" si="3"/>
        <v>-1.4563842277584849</v>
      </c>
      <c r="G23" s="251" t="s">
        <v>770</v>
      </c>
      <c r="H23" s="251"/>
      <c r="I23" s="254">
        <f>(S7*B23)/79.76</f>
        <v>6.7190052542451209E-2</v>
      </c>
      <c r="J23" s="86" t="s">
        <v>728</v>
      </c>
      <c r="K23" s="87"/>
      <c r="L23" s="3"/>
      <c r="M23" s="3"/>
      <c r="N23" s="3"/>
      <c r="O23" s="3"/>
      <c r="P23" s="3"/>
      <c r="Q23" s="522"/>
      <c r="R23" s="877"/>
      <c r="S23" s="877"/>
      <c r="T23" s="877"/>
      <c r="U23" s="883"/>
    </row>
    <row r="24" spans="1:21" ht="13">
      <c r="A24" s="907"/>
      <c r="B24" s="907">
        <v>60</v>
      </c>
      <c r="C24" s="907">
        <f t="shared" si="1"/>
        <v>2.0833333333333329E-4</v>
      </c>
      <c r="D24" s="907">
        <f t="shared" si="2"/>
        <v>208.33333333333329</v>
      </c>
      <c r="E24" s="907">
        <f t="shared" si="0"/>
        <v>0.68391803401031359</v>
      </c>
      <c r="F24" s="255">
        <f t="shared" si="3"/>
        <v>-1.6499594434723883</v>
      </c>
      <c r="G24" s="251" t="s">
        <v>770</v>
      </c>
      <c r="H24" s="251"/>
      <c r="I24" s="254">
        <f>(S7*B24)/79.76</f>
        <v>7.1352268186673853E-2</v>
      </c>
      <c r="J24" s="86"/>
      <c r="K24" s="87"/>
      <c r="L24" s="3"/>
      <c r="M24" s="3"/>
      <c r="N24" s="3"/>
      <c r="O24" s="3"/>
      <c r="P24" s="3"/>
      <c r="Q24" s="522"/>
      <c r="R24" s="877"/>
      <c r="S24" s="877"/>
      <c r="T24" s="877"/>
      <c r="U24" s="883"/>
    </row>
    <row r="25" spans="1:21" ht="13">
      <c r="A25" s="907"/>
      <c r="B25" s="907">
        <v>65</v>
      </c>
      <c r="C25" s="907">
        <f t="shared" ref="C25:C56" si="4">((SIN(RADIANS(B25)))^2)/B25^2</f>
        <v>1.9441273487414665E-4</v>
      </c>
      <c r="D25" s="907">
        <f>C25*1000000</f>
        <v>194.41273487414665</v>
      </c>
      <c r="E25" s="907">
        <f>D25/304.6174</f>
        <v>0.63821940202413474</v>
      </c>
      <c r="F25" s="905">
        <f>10*LOG10(E25)</f>
        <v>-1.9502999728456567</v>
      </c>
      <c r="G25" s="901" t="s">
        <v>770</v>
      </c>
      <c r="H25" s="901"/>
      <c r="I25" s="906">
        <f>(S7*B25)/79.76</f>
        <v>7.7298290535563335E-2</v>
      </c>
      <c r="J25" s="903"/>
      <c r="K25" s="904"/>
      <c r="L25" s="3"/>
      <c r="M25" s="3" t="s">
        <v>728</v>
      </c>
      <c r="N25" s="3"/>
      <c r="O25" s="3"/>
      <c r="P25" s="3"/>
      <c r="Q25" s="522"/>
      <c r="R25" s="886"/>
      <c r="S25" s="886"/>
      <c r="T25" s="886"/>
      <c r="U25" s="883"/>
    </row>
    <row r="26" spans="1:21" ht="13">
      <c r="A26" s="907"/>
      <c r="B26" s="907">
        <v>70</v>
      </c>
      <c r="C26" s="907">
        <f t="shared" si="4"/>
        <v>1.8020861664479364E-4</v>
      </c>
      <c r="D26" s="907">
        <f t="shared" si="2"/>
        <v>180.20861664479364</v>
      </c>
      <c r="E26" s="907">
        <f t="shared" si="0"/>
        <v>0.59159002947564276</v>
      </c>
      <c r="F26" s="255">
        <f t="shared" si="3"/>
        <v>-2.2797915411429233</v>
      </c>
      <c r="G26" s="251" t="s">
        <v>770</v>
      </c>
      <c r="H26" s="251"/>
      <c r="I26" s="254">
        <f>(S7*B26)/79.76</f>
        <v>8.3244312884452831E-2</v>
      </c>
      <c r="J26" s="86"/>
      <c r="K26" s="87"/>
      <c r="L26" s="3"/>
      <c r="M26" s="3"/>
      <c r="N26" s="3"/>
      <c r="O26" s="3"/>
      <c r="P26" s="3"/>
      <c r="Q26" s="523"/>
      <c r="R26" s="877"/>
      <c r="S26" s="878"/>
      <c r="T26" s="877"/>
      <c r="U26" s="881"/>
    </row>
    <row r="27" spans="1:21" ht="13">
      <c r="A27" s="907"/>
      <c r="B27" s="907">
        <v>79.760000000000005</v>
      </c>
      <c r="C27" s="907">
        <f t="shared" si="4"/>
        <v>1.5222403494475541E-4</v>
      </c>
      <c r="D27" s="907">
        <f t="shared" si="2"/>
        <v>152.2240349447554</v>
      </c>
      <c r="E27" s="907">
        <f t="shared" si="0"/>
        <v>0.49972206100096517</v>
      </c>
      <c r="F27" s="911">
        <f t="shared" si="3"/>
        <v>-3.0127147753460362</v>
      </c>
      <c r="G27" s="912" t="s">
        <v>770</v>
      </c>
      <c r="H27" s="912"/>
      <c r="I27" s="913">
        <f>(S7*B27)/79.76</f>
        <v>9.4850948509485111E-2</v>
      </c>
      <c r="J27" s="914" t="s">
        <v>53</v>
      </c>
      <c r="K27" s="915"/>
      <c r="L27" s="3"/>
      <c r="M27" s="3"/>
      <c r="N27" s="3"/>
      <c r="O27" s="3"/>
      <c r="P27" s="3"/>
      <c r="Q27" s="524"/>
      <c r="R27" s="877"/>
      <c r="S27" s="877"/>
      <c r="T27" s="877"/>
      <c r="U27" s="883"/>
    </row>
    <row r="28" spans="1:21" ht="13">
      <c r="A28" s="907"/>
      <c r="B28" s="907">
        <v>80</v>
      </c>
      <c r="C28" s="907">
        <f t="shared" si="4"/>
        <v>1.5153848599889908E-4</v>
      </c>
      <c r="D28" s="907">
        <f t="shared" si="2"/>
        <v>151.53848599889909</v>
      </c>
      <c r="E28" s="907">
        <f t="shared" si="0"/>
        <v>0.49747153642207931</v>
      </c>
      <c r="F28" s="253">
        <f t="shared" si="3"/>
        <v>-3.032317630156677</v>
      </c>
      <c r="G28" s="251" t="s">
        <v>770</v>
      </c>
      <c r="H28" s="251"/>
      <c r="I28" s="254">
        <f>(S7*B28)/79.76</f>
        <v>9.5136357582231795E-2</v>
      </c>
      <c r="J28" s="86" t="s">
        <v>728</v>
      </c>
      <c r="K28" s="87"/>
      <c r="L28" s="3"/>
      <c r="M28" s="3"/>
      <c r="N28" s="3"/>
      <c r="O28" s="3"/>
      <c r="P28" s="3"/>
      <c r="Q28" s="522"/>
      <c r="R28" s="877"/>
      <c r="S28" s="877"/>
      <c r="T28" s="877"/>
      <c r="U28" s="883"/>
    </row>
    <row r="29" spans="1:21" ht="13">
      <c r="A29" s="907"/>
      <c r="B29" s="907">
        <v>90.8</v>
      </c>
      <c r="C29" s="907">
        <f t="shared" si="4"/>
        <v>1.2126727880419004E-4</v>
      </c>
      <c r="D29" s="907">
        <f t="shared" si="2"/>
        <v>121.26727880419004</v>
      </c>
      <c r="E29" s="907">
        <f t="shared" si="0"/>
        <v>0.39809701876580278</v>
      </c>
      <c r="F29" s="900">
        <f t="shared" si="3"/>
        <v>-4.000110747103232</v>
      </c>
      <c r="G29" s="901" t="s">
        <v>770</v>
      </c>
      <c r="H29" s="901"/>
      <c r="I29" s="902">
        <f>(S7*B29)/79.76</f>
        <v>0.10797976585583309</v>
      </c>
      <c r="J29" s="903"/>
      <c r="K29" s="904"/>
      <c r="L29" s="3"/>
      <c r="M29" s="3"/>
      <c r="N29" s="3"/>
      <c r="O29" s="3"/>
      <c r="P29" s="3"/>
      <c r="Q29" s="522"/>
      <c r="R29" s="877"/>
      <c r="S29" s="877"/>
      <c r="T29" s="877"/>
      <c r="U29" s="883"/>
    </row>
    <row r="30" spans="1:21" ht="13">
      <c r="A30" s="907"/>
      <c r="B30" s="907">
        <v>100</v>
      </c>
      <c r="C30" s="907">
        <f t="shared" si="4"/>
        <v>9.6984631039295408E-5</v>
      </c>
      <c r="D30" s="907">
        <f t="shared" si="2"/>
        <v>96.984631039295408</v>
      </c>
      <c r="E30" s="907">
        <f t="shared" si="0"/>
        <v>0.31838178331013073</v>
      </c>
      <c r="F30" s="905">
        <f t="shared" si="3"/>
        <v>-4.9705178903178053</v>
      </c>
      <c r="G30" s="901" t="s">
        <v>770</v>
      </c>
      <c r="H30" s="901"/>
      <c r="I30" s="906">
        <f>(S7*B30)/79.76</f>
        <v>0.11892044697778976</v>
      </c>
      <c r="J30" s="903"/>
      <c r="K30" s="904"/>
      <c r="L30" s="3"/>
      <c r="M30" s="3"/>
      <c r="N30" s="3"/>
      <c r="O30" s="3"/>
      <c r="P30" s="3"/>
      <c r="Q30" s="522"/>
      <c r="R30" s="877"/>
      <c r="S30" s="877"/>
      <c r="T30" s="877"/>
      <c r="U30" s="883"/>
    </row>
    <row r="31" spans="1:21" ht="13">
      <c r="A31" s="907"/>
      <c r="B31" s="907">
        <v>110</v>
      </c>
      <c r="C31" s="907">
        <f t="shared" si="4"/>
        <v>7.2977043104090002E-5</v>
      </c>
      <c r="D31" s="907">
        <f t="shared" si="2"/>
        <v>72.977043104090001</v>
      </c>
      <c r="E31" s="907">
        <f t="shared" si="0"/>
        <v>0.23956951606864876</v>
      </c>
      <c r="F31" s="255">
        <f t="shared" si="3"/>
        <v>-6.2056844440222871</v>
      </c>
      <c r="G31" s="251" t="s">
        <v>770</v>
      </c>
      <c r="H31" s="251"/>
      <c r="I31" s="254">
        <f>(S7*B31)/79.76</f>
        <v>0.13081249167556874</v>
      </c>
      <c r="J31" s="86"/>
      <c r="K31" s="87"/>
      <c r="L31" s="3"/>
      <c r="M31" s="3"/>
      <c r="N31" s="3"/>
      <c r="O31" s="3"/>
      <c r="P31" s="3"/>
      <c r="Q31" s="522"/>
      <c r="R31" s="877"/>
      <c r="S31" s="877"/>
      <c r="T31" s="877"/>
      <c r="U31" s="883"/>
    </row>
    <row r="32" spans="1:21" ht="13">
      <c r="A32" s="907"/>
      <c r="B32" s="907">
        <v>122</v>
      </c>
      <c r="C32" s="907">
        <f t="shared" si="4"/>
        <v>4.8319374724169503E-5</v>
      </c>
      <c r="D32" s="907">
        <f t="shared" si="2"/>
        <v>48.319374724169499</v>
      </c>
      <c r="E32" s="907">
        <f t="shared" si="0"/>
        <v>0.15862316047661593</v>
      </c>
      <c r="F32" s="905">
        <f t="shared" si="3"/>
        <v>-7.9963340130062619</v>
      </c>
      <c r="G32" s="901" t="s">
        <v>770</v>
      </c>
      <c r="H32" s="901"/>
      <c r="I32" s="902">
        <f>(S7*B32)/79.76</f>
        <v>0.1450829453129035</v>
      </c>
      <c r="J32" s="903"/>
      <c r="K32" s="904"/>
      <c r="L32" s="3"/>
      <c r="M32" s="3"/>
      <c r="N32" s="3"/>
      <c r="O32" s="3"/>
      <c r="P32" s="3"/>
      <c r="Q32" s="522"/>
      <c r="R32" s="877"/>
      <c r="S32" s="877"/>
      <c r="T32" s="877"/>
      <c r="U32" s="883"/>
    </row>
    <row r="33" spans="1:21" ht="13">
      <c r="A33" s="907"/>
      <c r="B33" s="907">
        <v>130</v>
      </c>
      <c r="C33" s="907">
        <f t="shared" si="4"/>
        <v>3.4723318865885511E-5</v>
      </c>
      <c r="D33" s="907">
        <f t="shared" si="2"/>
        <v>34.72331886588551</v>
      </c>
      <c r="E33" s="907">
        <f t="shared" si="0"/>
        <v>0.11398993907073435</v>
      </c>
      <c r="F33" s="255">
        <f t="shared" si="3"/>
        <v>-9.4313347847828624</v>
      </c>
      <c r="G33" s="251" t="s">
        <v>770</v>
      </c>
      <c r="H33" s="251"/>
      <c r="I33" s="254">
        <f>(S7*B33)/79.76</f>
        <v>0.15459658107112667</v>
      </c>
      <c r="J33" s="86"/>
      <c r="K33" s="87"/>
      <c r="L33" s="3"/>
      <c r="M33" s="3"/>
      <c r="N33" s="3"/>
      <c r="O33" s="3"/>
      <c r="P33" s="3"/>
      <c r="Q33" s="522"/>
      <c r="R33" s="877"/>
      <c r="S33" s="877"/>
      <c r="T33" s="877"/>
      <c r="U33" s="883"/>
    </row>
    <row r="34" spans="1:21" ht="13">
      <c r="A34" s="907"/>
      <c r="B34" s="907">
        <v>132.85</v>
      </c>
      <c r="C34" s="907">
        <f t="shared" si="4"/>
        <v>3.0454169232105675E-5</v>
      </c>
      <c r="D34" s="907">
        <f>C34*1000000</f>
        <v>30.454169232105674</v>
      </c>
      <c r="E34" s="907">
        <f>D34/304.6174</f>
        <v>9.9975146633467668E-2</v>
      </c>
      <c r="F34" s="900">
        <f>10*LOG10(E34)</f>
        <v>-10.001079502146041</v>
      </c>
      <c r="G34" s="901" t="s">
        <v>770</v>
      </c>
      <c r="H34" s="901"/>
      <c r="I34" s="906">
        <f>(S7*B34)/79.76</f>
        <v>0.15798581380999369</v>
      </c>
      <c r="J34" s="903"/>
      <c r="K34" s="904"/>
      <c r="L34" s="3"/>
      <c r="M34" s="3"/>
      <c r="N34" s="3"/>
      <c r="O34" s="3"/>
      <c r="P34" s="3"/>
      <c r="Q34" s="522"/>
      <c r="R34" s="886"/>
      <c r="S34" s="886"/>
      <c r="T34" s="886"/>
      <c r="U34" s="883"/>
    </row>
    <row r="35" spans="1:21" ht="13">
      <c r="A35" s="907"/>
      <c r="B35" s="907">
        <v>140</v>
      </c>
      <c r="C35" s="907">
        <f t="shared" si="4"/>
        <v>2.1080403630945664E-5</v>
      </c>
      <c r="D35" s="907">
        <f t="shared" si="2"/>
        <v>21.080403630945664</v>
      </c>
      <c r="E35" s="907">
        <f t="shared" si="0"/>
        <v>6.9202887395617141E-2</v>
      </c>
      <c r="F35" s="255">
        <f t="shared" si="3"/>
        <v>-11.598757848232577</v>
      </c>
      <c r="G35" s="251" t="s">
        <v>770</v>
      </c>
      <c r="H35" s="251"/>
      <c r="I35" s="254">
        <f>(S7*B35)/79.76</f>
        <v>0.16648862576890566</v>
      </c>
      <c r="J35" s="86" t="s">
        <v>728</v>
      </c>
      <c r="K35" s="87"/>
      <c r="L35" s="3"/>
      <c r="M35" s="3"/>
      <c r="N35" s="3"/>
      <c r="O35" s="3"/>
      <c r="P35" s="3"/>
      <c r="Q35" s="522"/>
      <c r="R35" s="877"/>
      <c r="S35" s="877"/>
      <c r="T35" s="877"/>
      <c r="U35" s="883"/>
    </row>
    <row r="36" spans="1:21" ht="13">
      <c r="A36" s="907"/>
      <c r="B36" s="907">
        <v>150</v>
      </c>
      <c r="C36" s="907">
        <f t="shared" si="4"/>
        <v>1.1111111111111108E-5</v>
      </c>
      <c r="D36" s="907">
        <f t="shared" si="2"/>
        <v>11.111111111111109</v>
      </c>
      <c r="E36" s="907">
        <f t="shared" si="0"/>
        <v>3.6475628480550061E-2</v>
      </c>
      <c r="F36" s="255">
        <f t="shared" si="3"/>
        <v>-14.379972164109764</v>
      </c>
      <c r="G36" s="251" t="s">
        <v>770</v>
      </c>
      <c r="H36" s="251"/>
      <c r="I36" s="254">
        <f>(S7*B36)/79.76</f>
        <v>0.17838067046668463</v>
      </c>
      <c r="J36" s="86"/>
      <c r="K36" s="87"/>
      <c r="L36" s="3"/>
      <c r="M36" s="3"/>
      <c r="N36" s="3"/>
      <c r="O36" s="3"/>
      <c r="P36" s="3"/>
      <c r="Q36" s="522"/>
      <c r="R36" s="877"/>
      <c r="S36" s="877"/>
      <c r="T36" s="877"/>
      <c r="U36" s="883"/>
    </row>
    <row r="37" spans="1:21" ht="13">
      <c r="A37" s="907"/>
      <c r="B37" s="907">
        <v>160</v>
      </c>
      <c r="C37" s="907">
        <f t="shared" si="4"/>
        <v>4.5694444703324642E-6</v>
      </c>
      <c r="D37" s="907">
        <f t="shared" si="2"/>
        <v>4.5694444703324644</v>
      </c>
      <c r="E37" s="907">
        <f t="shared" si="0"/>
        <v>1.5000602297611576E-2</v>
      </c>
      <c r="F37" s="255">
        <f t="shared" si="3"/>
        <v>-18.23891302992466</v>
      </c>
      <c r="G37" s="251" t="s">
        <v>770</v>
      </c>
      <c r="H37" s="251"/>
      <c r="I37" s="254">
        <f>(S7*B37)/79.76</f>
        <v>0.19027271516446359</v>
      </c>
      <c r="J37" s="86"/>
      <c r="K37" s="87"/>
      <c r="L37" s="3"/>
      <c r="M37" s="3"/>
      <c r="N37" s="3"/>
      <c r="O37" s="3"/>
      <c r="P37" s="3"/>
      <c r="Q37" s="522"/>
      <c r="R37" s="877"/>
      <c r="S37" s="877"/>
      <c r="T37" s="877"/>
      <c r="U37" s="883"/>
    </row>
    <row r="38" spans="1:21" ht="13">
      <c r="A38" s="907">
        <v>170</v>
      </c>
      <c r="B38" s="907">
        <v>172.5</v>
      </c>
      <c r="C38" s="907">
        <f t="shared" si="4"/>
        <v>5.7255490377536986E-7</v>
      </c>
      <c r="D38" s="907">
        <f t="shared" si="2"/>
        <v>0.57255490377536988</v>
      </c>
      <c r="E38" s="907">
        <f t="shared" si="0"/>
        <v>1.8795869959344737E-3</v>
      </c>
      <c r="F38" s="255">
        <f t="shared" si="3"/>
        <v>-27.259375683380821</v>
      </c>
      <c r="G38" s="251" t="s">
        <v>770</v>
      </c>
      <c r="H38" s="251"/>
      <c r="I38" s="252">
        <f>(S7*B38)/79.76</f>
        <v>0.20513777103668729</v>
      </c>
      <c r="J38" s="86"/>
      <c r="K38" s="87"/>
      <c r="L38" s="3"/>
      <c r="M38" s="3"/>
      <c r="N38" s="3"/>
      <c r="O38" s="3"/>
      <c r="P38" s="3"/>
      <c r="Q38" s="522"/>
      <c r="R38" s="877"/>
      <c r="S38" s="877"/>
      <c r="T38" s="877"/>
      <c r="U38" s="883"/>
    </row>
    <row r="39" spans="1:21" ht="13">
      <c r="A39" s="907"/>
      <c r="B39" s="907">
        <v>180</v>
      </c>
      <c r="C39" s="907">
        <f t="shared" si="4"/>
        <v>4.6326812856943794E-37</v>
      </c>
      <c r="D39" s="907">
        <f t="shared" si="2"/>
        <v>4.6326812856943792E-31</v>
      </c>
      <c r="E39" s="907">
        <f t="shared" si="0"/>
        <v>1.5208196530120668E-33</v>
      </c>
      <c r="F39" s="256">
        <f t="shared" si="3"/>
        <v>-328.17922283873054</v>
      </c>
      <c r="G39" s="251" t="s">
        <v>770</v>
      </c>
      <c r="H39" s="251"/>
      <c r="I39" s="257">
        <f>(S7*B39)/79.76</f>
        <v>0.21405680456002157</v>
      </c>
      <c r="J39" s="191" t="s">
        <v>44</v>
      </c>
      <c r="K39" s="87"/>
      <c r="L39" s="3"/>
      <c r="M39" s="3"/>
      <c r="N39" s="3"/>
      <c r="O39" s="3"/>
      <c r="P39" s="3"/>
      <c r="Q39" s="522"/>
      <c r="R39" s="877"/>
      <c r="S39" s="877"/>
      <c r="T39" s="877"/>
      <c r="U39" s="883"/>
    </row>
    <row r="40" spans="1:21" ht="13">
      <c r="A40" s="907"/>
      <c r="B40" s="907">
        <v>190</v>
      </c>
      <c r="C40" s="907">
        <f t="shared" si="4"/>
        <v>8.3528226058298746E-7</v>
      </c>
      <c r="D40" s="907">
        <f t="shared" si="2"/>
        <v>0.83528226058298749</v>
      </c>
      <c r="E40" s="907">
        <f t="shared" si="0"/>
        <v>2.7420700872077155E-3</v>
      </c>
      <c r="F40" s="255">
        <f t="shared" si="3"/>
        <v>-25.619214488541079</v>
      </c>
      <c r="G40" s="251" t="s">
        <v>770</v>
      </c>
      <c r="H40" s="251"/>
      <c r="I40" s="254">
        <f>(S7*B40)/79.76</f>
        <v>0.22594884925780051</v>
      </c>
      <c r="J40" s="86"/>
      <c r="K40" s="87"/>
      <c r="L40" s="3"/>
      <c r="M40" s="3"/>
      <c r="N40" s="3"/>
      <c r="O40" s="3"/>
      <c r="P40" s="3"/>
      <c r="Q40" s="522"/>
      <c r="R40" s="877"/>
      <c r="S40" s="877"/>
      <c r="T40" s="877"/>
      <c r="U40" s="883"/>
    </row>
    <row r="41" spans="1:21" ht="13">
      <c r="A41" s="907"/>
      <c r="B41" s="907">
        <v>200</v>
      </c>
      <c r="C41" s="907">
        <f t="shared" si="4"/>
        <v>2.924444461012773E-6</v>
      </c>
      <c r="D41" s="907">
        <f t="shared" si="2"/>
        <v>2.9244444610127731</v>
      </c>
      <c r="E41" s="907">
        <f t="shared" si="0"/>
        <v>9.6003854704713957E-3</v>
      </c>
      <c r="F41" s="255">
        <f t="shared" si="3"/>
        <v>-20.177113290085799</v>
      </c>
      <c r="G41" s="251" t="s">
        <v>770</v>
      </c>
      <c r="H41" s="251"/>
      <c r="I41" s="254">
        <f>(S7*B41)/79.76</f>
        <v>0.23784089395557953</v>
      </c>
      <c r="J41" s="86"/>
      <c r="K41" s="87"/>
      <c r="L41" s="3"/>
      <c r="M41" s="3"/>
      <c r="N41" s="3"/>
      <c r="O41" s="3"/>
      <c r="P41" s="3"/>
      <c r="Q41" s="522"/>
      <c r="R41" s="877"/>
      <c r="S41" s="877"/>
      <c r="T41" s="877"/>
      <c r="U41" s="883"/>
    </row>
    <row r="42" spans="1:21" ht="13">
      <c r="A42" s="907"/>
      <c r="B42" s="907">
        <v>210</v>
      </c>
      <c r="C42" s="907">
        <f t="shared" si="4"/>
        <v>5.6689342403628144E-6</v>
      </c>
      <c r="D42" s="907">
        <f t="shared" si="2"/>
        <v>5.6689342403628142</v>
      </c>
      <c r="E42" s="907">
        <f t="shared" si="0"/>
        <v>1.86100145308929E-2</v>
      </c>
      <c r="F42" s="255">
        <f t="shared" si="3"/>
        <v>-17.302532877674523</v>
      </c>
      <c r="G42" s="251" t="s">
        <v>770</v>
      </c>
      <c r="H42" s="251"/>
      <c r="I42" s="254">
        <f>(S7*B42)/79.76</f>
        <v>0.24973293865335847</v>
      </c>
      <c r="J42" s="86"/>
      <c r="K42" s="87"/>
      <c r="L42" s="3"/>
      <c r="M42" s="3"/>
      <c r="N42" s="3"/>
      <c r="O42" s="3"/>
      <c r="P42" s="3"/>
      <c r="Q42" s="522"/>
      <c r="R42" s="877"/>
      <c r="S42" s="877"/>
      <c r="T42" s="877"/>
      <c r="U42" s="883"/>
    </row>
    <row r="43" spans="1:21" ht="13">
      <c r="A43" s="907"/>
      <c r="B43" s="907">
        <v>220</v>
      </c>
      <c r="C43" s="907">
        <f t="shared" si="4"/>
        <v>8.5366923794738577E-6</v>
      </c>
      <c r="D43" s="907">
        <f t="shared" si="2"/>
        <v>8.5366923794738572</v>
      </c>
      <c r="E43" s="907">
        <f t="shared" si="0"/>
        <v>2.8024309771778822E-2</v>
      </c>
      <c r="F43" s="255">
        <f t="shared" si="3"/>
        <v>-15.524650751111944</v>
      </c>
      <c r="G43" s="251" t="s">
        <v>770</v>
      </c>
      <c r="H43" s="251"/>
      <c r="I43" s="254">
        <f>(S7*B43)/79.76</f>
        <v>0.26162498335113749</v>
      </c>
      <c r="J43" s="86"/>
      <c r="K43" s="87"/>
      <c r="L43" s="3"/>
      <c r="M43" s="3"/>
      <c r="N43" s="3"/>
      <c r="O43" s="3"/>
      <c r="P43" s="3"/>
      <c r="Q43" s="522"/>
      <c r="R43" s="877"/>
      <c r="S43" s="877"/>
      <c r="T43" s="877"/>
      <c r="U43" s="883"/>
    </row>
    <row r="44" spans="1:21" ht="13">
      <c r="A44" s="907"/>
      <c r="B44" s="907">
        <v>230</v>
      </c>
      <c r="C44" s="907">
        <f t="shared" si="4"/>
        <v>1.1093082964715783E-5</v>
      </c>
      <c r="D44" s="907">
        <f t="shared" si="2"/>
        <v>11.093082964715784</v>
      </c>
      <c r="E44" s="907">
        <f t="shared" si="0"/>
        <v>3.6416445563240266E-2</v>
      </c>
      <c r="F44" s="255">
        <f t="shared" si="3"/>
        <v>-14.387024458997985</v>
      </c>
      <c r="G44" s="251" t="s">
        <v>770</v>
      </c>
      <c r="H44" s="251"/>
      <c r="I44" s="254">
        <f>(S7*B44)/79.76</f>
        <v>0.27351702804891642</v>
      </c>
      <c r="J44" s="86"/>
      <c r="K44" s="87"/>
      <c r="L44" s="3"/>
      <c r="M44" s="3"/>
      <c r="N44" s="3"/>
      <c r="O44" s="3"/>
      <c r="P44" s="3"/>
      <c r="Q44" s="522"/>
      <c r="R44" s="877"/>
      <c r="S44" s="877"/>
      <c r="T44" s="877"/>
      <c r="U44" s="883"/>
    </row>
    <row r="45" spans="1:21" ht="13">
      <c r="A45" s="907"/>
      <c r="B45" s="907">
        <v>240</v>
      </c>
      <c r="C45" s="907">
        <f t="shared" si="4"/>
        <v>1.3020833333333326E-5</v>
      </c>
      <c r="D45" s="907">
        <f t="shared" si="2"/>
        <v>13.020833333333325</v>
      </c>
      <c r="E45" s="907">
        <f t="shared" si="0"/>
        <v>4.2744877125644586E-2</v>
      </c>
      <c r="F45" s="255">
        <f t="shared" si="3"/>
        <v>-13.691159270031637</v>
      </c>
      <c r="G45" s="251" t="s">
        <v>770</v>
      </c>
      <c r="H45" s="251"/>
      <c r="I45" s="254">
        <f>(S7*B45)/79.76</f>
        <v>0.28540907274669541</v>
      </c>
      <c r="J45" s="86"/>
      <c r="K45" s="87"/>
      <c r="L45" s="3"/>
      <c r="M45" s="3"/>
      <c r="N45" s="3"/>
      <c r="O45" s="3"/>
      <c r="P45" s="3"/>
      <c r="Q45" s="522"/>
      <c r="R45" s="877"/>
      <c r="S45" s="878"/>
      <c r="T45" s="877"/>
      <c r="U45" s="883"/>
    </row>
    <row r="46" spans="1:21" ht="13">
      <c r="A46" s="907"/>
      <c r="B46" s="907">
        <v>250</v>
      </c>
      <c r="C46" s="907">
        <f t="shared" si="4"/>
        <v>1.4128355544951825E-5</v>
      </c>
      <c r="D46" s="907">
        <f t="shared" si="2"/>
        <v>14.128355544951825</v>
      </c>
      <c r="E46" s="907">
        <f t="shared" si="0"/>
        <v>4.6380658310890402E-2</v>
      </c>
      <c r="F46" s="258">
        <f t="shared" si="3"/>
        <v>-13.336630914298537</v>
      </c>
      <c r="G46" s="251" t="s">
        <v>770</v>
      </c>
      <c r="H46" s="251"/>
      <c r="I46" s="259">
        <f>(S7*B46)/79.76</f>
        <v>0.29730111744447435</v>
      </c>
      <c r="J46" s="260" t="s">
        <v>45</v>
      </c>
      <c r="K46" s="261"/>
      <c r="L46" s="3"/>
      <c r="M46" s="3"/>
      <c r="N46" s="3"/>
      <c r="O46" s="3"/>
      <c r="P46" s="3"/>
      <c r="Q46" s="522"/>
      <c r="R46" s="877"/>
      <c r="S46" s="877"/>
      <c r="T46" s="877"/>
      <c r="U46" s="883"/>
    </row>
    <row r="47" spans="1:21" ht="13">
      <c r="A47" s="907"/>
      <c r="B47" s="907">
        <v>260</v>
      </c>
      <c r="C47" s="907">
        <f t="shared" si="4"/>
        <v>1.4346838911138375E-5</v>
      </c>
      <c r="D47" s="907">
        <f t="shared" si="2"/>
        <v>14.346838911138374</v>
      </c>
      <c r="E47" s="907">
        <f t="shared" si="0"/>
        <v>4.7097896939368451E-2</v>
      </c>
      <c r="F47" s="255">
        <f t="shared" si="3"/>
        <v>-13.269984849734165</v>
      </c>
      <c r="G47" s="251" t="s">
        <v>770</v>
      </c>
      <c r="H47" s="251"/>
      <c r="I47" s="254">
        <f>(S7*B47)/79.76</f>
        <v>0.30919316214225334</v>
      </c>
      <c r="J47" s="86"/>
      <c r="K47" s="87"/>
      <c r="L47" s="3"/>
      <c r="M47" s="3"/>
      <c r="N47" s="3"/>
      <c r="O47" s="3"/>
      <c r="P47" s="3"/>
      <c r="Q47" s="522"/>
      <c r="R47" s="877"/>
      <c r="S47" s="877"/>
      <c r="T47" s="877"/>
      <c r="U47" s="883"/>
    </row>
    <row r="48" spans="1:21" ht="13">
      <c r="A48" s="907"/>
      <c r="B48" s="907">
        <v>270</v>
      </c>
      <c r="C48" s="907">
        <f t="shared" si="4"/>
        <v>1.3717421124828532E-5</v>
      </c>
      <c r="D48" s="907">
        <f t="shared" si="2"/>
        <v>13.717421124828531</v>
      </c>
      <c r="E48" s="907">
        <f t="shared" si="0"/>
        <v>4.5031640099444527E-2</v>
      </c>
      <c r="F48" s="255">
        <f t="shared" si="3"/>
        <v>-13.464822352896261</v>
      </c>
      <c r="G48" s="251" t="s">
        <v>770</v>
      </c>
      <c r="H48" s="251"/>
      <c r="I48" s="254">
        <f>(S7*B48)/79.76</f>
        <v>0.32108520684003233</v>
      </c>
      <c r="J48" s="86"/>
      <c r="K48" s="87"/>
      <c r="L48" s="3"/>
      <c r="M48" s="3"/>
      <c r="N48" s="3"/>
      <c r="O48" s="3"/>
      <c r="P48" s="3"/>
      <c r="Q48" s="522"/>
      <c r="R48" s="877"/>
      <c r="S48" s="877"/>
      <c r="T48" s="877"/>
      <c r="U48" s="883"/>
    </row>
    <row r="49" spans="1:21" ht="13">
      <c r="A49" s="907"/>
      <c r="B49" s="907">
        <v>280</v>
      </c>
      <c r="C49" s="907">
        <f t="shared" si="4"/>
        <v>1.2370488652971357E-5</v>
      </c>
      <c r="D49" s="907">
        <f t="shared" si="2"/>
        <v>12.370488652971357</v>
      </c>
      <c r="E49" s="907">
        <f t="shared" si="0"/>
        <v>4.0609921340577913E-2</v>
      </c>
      <c r="F49" s="255">
        <f t="shared" si="3"/>
        <v>-13.91367851716219</v>
      </c>
      <c r="G49" s="251" t="s">
        <v>770</v>
      </c>
      <c r="H49" s="251"/>
      <c r="I49" s="254">
        <f>(S7*B49)/79.76</f>
        <v>0.33297725153781133</v>
      </c>
      <c r="J49" s="86"/>
      <c r="K49" s="87"/>
      <c r="L49" s="3"/>
      <c r="M49" s="3"/>
      <c r="N49" s="3"/>
      <c r="O49" s="3"/>
      <c r="P49" s="3"/>
      <c r="Q49" s="522"/>
      <c r="R49" s="877"/>
      <c r="S49" s="877"/>
      <c r="T49" s="877"/>
      <c r="U49" s="883"/>
    </row>
    <row r="50" spans="1:21" ht="13">
      <c r="A50" s="907"/>
      <c r="B50" s="907">
        <v>290</v>
      </c>
      <c r="C50" s="907">
        <f t="shared" si="4"/>
        <v>1.0499669697496894E-5</v>
      </c>
      <c r="D50" s="907">
        <f t="shared" si="2"/>
        <v>10.499669697496895</v>
      </c>
      <c r="E50" s="907">
        <f t="shared" si="0"/>
        <v>3.4468384594894763E-2</v>
      </c>
      <c r="F50" s="255">
        <f t="shared" si="3"/>
        <v>-14.625790698836909</v>
      </c>
      <c r="G50" s="251" t="s">
        <v>770</v>
      </c>
      <c r="H50" s="251"/>
      <c r="I50" s="254">
        <f>(S7*B50)/79.76</f>
        <v>0.34486929623559026</v>
      </c>
      <c r="J50" s="86"/>
      <c r="K50" s="87"/>
      <c r="L50" s="3"/>
      <c r="M50" s="3"/>
      <c r="N50" s="3"/>
      <c r="O50" s="3"/>
      <c r="P50" s="3"/>
      <c r="Q50" s="522"/>
      <c r="R50" s="877"/>
      <c r="S50" s="877"/>
      <c r="T50" s="877"/>
      <c r="U50" s="883"/>
    </row>
    <row r="51" spans="1:21" ht="13">
      <c r="A51" s="907"/>
      <c r="B51" s="907">
        <v>300</v>
      </c>
      <c r="C51" s="907">
        <f t="shared" si="4"/>
        <v>8.333333333333332E-6</v>
      </c>
      <c r="D51" s="907">
        <f t="shared" si="2"/>
        <v>8.3333333333333321</v>
      </c>
      <c r="E51" s="907">
        <f t="shared" si="0"/>
        <v>2.7356721360412548E-2</v>
      </c>
      <c r="F51" s="255">
        <f t="shared" si="3"/>
        <v>-15.629359530192763</v>
      </c>
      <c r="G51" s="251" t="s">
        <v>770</v>
      </c>
      <c r="H51" s="251"/>
      <c r="I51" s="254">
        <f>(S7*B51)/79.76</f>
        <v>0.35676134093336925</v>
      </c>
      <c r="J51" s="86"/>
      <c r="K51" s="87"/>
      <c r="L51" s="3"/>
      <c r="M51" s="3"/>
      <c r="N51" s="3"/>
      <c r="O51" s="3"/>
      <c r="P51" s="3"/>
      <c r="Q51" s="522"/>
      <c r="R51" s="877"/>
      <c r="S51" s="877"/>
      <c r="T51" s="877"/>
      <c r="U51" s="883"/>
    </row>
    <row r="52" spans="1:21" ht="13">
      <c r="A52" s="907"/>
      <c r="B52" s="907">
        <v>310</v>
      </c>
      <c r="C52" s="907">
        <f t="shared" si="4"/>
        <v>6.1063901023253407E-6</v>
      </c>
      <c r="D52" s="907">
        <f t="shared" si="2"/>
        <v>6.1063901023253404</v>
      </c>
      <c r="E52" s="907">
        <f t="shared" si="0"/>
        <v>2.0046097505675452E-2</v>
      </c>
      <c r="F52" s="255">
        <f t="shared" si="3"/>
        <v>-16.979701615331578</v>
      </c>
      <c r="G52" s="251" t="s">
        <v>770</v>
      </c>
      <c r="H52" s="251"/>
      <c r="I52" s="254">
        <f>(S7*B52)/79.76</f>
        <v>0.36865338563114819</v>
      </c>
      <c r="J52" s="86"/>
      <c r="K52" s="87"/>
      <c r="L52" s="3"/>
      <c r="M52" s="3"/>
      <c r="N52" s="3"/>
      <c r="O52" s="3"/>
      <c r="P52" s="3"/>
      <c r="Q52" s="522"/>
      <c r="R52" s="877"/>
      <c r="S52" s="877"/>
      <c r="T52" s="877"/>
      <c r="U52" s="883"/>
    </row>
    <row r="53" spans="1:21" ht="13">
      <c r="A53" s="907"/>
      <c r="B53" s="907">
        <v>320</v>
      </c>
      <c r="C53" s="907">
        <f t="shared" si="4"/>
        <v>4.0349210074856952E-6</v>
      </c>
      <c r="D53" s="907">
        <f t="shared" si="2"/>
        <v>4.0349210074856954</v>
      </c>
      <c r="E53" s="907">
        <f t="shared" si="0"/>
        <v>1.3245865165567351E-2</v>
      </c>
      <c r="F53" s="255">
        <f t="shared" si="3"/>
        <v>-18.779196701065931</v>
      </c>
      <c r="G53" s="251" t="s">
        <v>770</v>
      </c>
      <c r="H53" s="251"/>
      <c r="I53" s="254">
        <f>(S7*B53)/79.76</f>
        <v>0.38054543032892718</v>
      </c>
      <c r="J53" s="86"/>
      <c r="K53" s="87"/>
      <c r="L53" s="3"/>
      <c r="M53" s="3"/>
      <c r="N53" s="3"/>
      <c r="O53" s="3"/>
      <c r="P53" s="3"/>
      <c r="Q53" s="522"/>
      <c r="R53" s="877"/>
      <c r="S53" s="877"/>
      <c r="T53" s="877"/>
      <c r="U53" s="883"/>
    </row>
    <row r="54" spans="1:21" ht="13">
      <c r="A54" s="907"/>
      <c r="B54" s="907">
        <v>330</v>
      </c>
      <c r="C54" s="907">
        <f t="shared" si="4"/>
        <v>2.2956841138659359E-6</v>
      </c>
      <c r="D54" s="907">
        <f t="shared" si="2"/>
        <v>2.2956841138659358</v>
      </c>
      <c r="E54" s="907">
        <f t="shared" si="0"/>
        <v>7.5362868761467208E-3</v>
      </c>
      <c r="F54" s="255">
        <f t="shared" si="3"/>
        <v>-21.228425780553884</v>
      </c>
      <c r="G54" s="251" t="s">
        <v>770</v>
      </c>
      <c r="H54" s="251" t="s">
        <v>728</v>
      </c>
      <c r="I54" s="254">
        <f>(S7*B54)/79.76</f>
        <v>0.39243747502670617</v>
      </c>
      <c r="J54" s="86"/>
      <c r="K54" s="87"/>
      <c r="L54" s="3"/>
      <c r="M54" s="3"/>
      <c r="N54" s="3"/>
      <c r="O54" s="3"/>
      <c r="P54" s="3"/>
      <c r="Q54" s="522"/>
      <c r="R54" s="877"/>
      <c r="S54" s="877"/>
      <c r="T54" s="877"/>
      <c r="U54" s="883"/>
    </row>
    <row r="55" spans="1:21" ht="13">
      <c r="A55" s="907"/>
      <c r="B55" s="907">
        <v>340</v>
      </c>
      <c r="C55" s="907">
        <f t="shared" si="4"/>
        <v>1.0119184986203364E-6</v>
      </c>
      <c r="D55" s="907">
        <f t="shared" si="2"/>
        <v>1.0119184986203364</v>
      </c>
      <c r="E55" s="907">
        <f t="shared" si="0"/>
        <v>3.3219326887444266E-3</v>
      </c>
      <c r="F55" s="255">
        <f t="shared" si="3"/>
        <v>-24.786091717651274</v>
      </c>
      <c r="G55" s="251" t="s">
        <v>770</v>
      </c>
      <c r="H55" s="251"/>
      <c r="I55" s="254">
        <f>(S7*B55)/79.76</f>
        <v>0.40432951972448516</v>
      </c>
      <c r="J55" s="86"/>
      <c r="K55" s="87"/>
      <c r="L55" s="3"/>
      <c r="M55" s="3"/>
      <c r="N55" s="3"/>
      <c r="O55" s="3"/>
      <c r="P55" s="3"/>
      <c r="Q55" s="522"/>
      <c r="R55" s="877"/>
      <c r="S55" s="877"/>
      <c r="T55" s="877"/>
      <c r="U55" s="883"/>
    </row>
    <row r="56" spans="1:21" ht="13">
      <c r="A56" s="907"/>
      <c r="B56" s="907">
        <v>350</v>
      </c>
      <c r="C56" s="907">
        <f t="shared" si="4"/>
        <v>2.4615256822078222E-7</v>
      </c>
      <c r="D56" s="907">
        <f t="shared" si="2"/>
        <v>0.24615256822078221</v>
      </c>
      <c r="E56" s="907">
        <f t="shared" si="0"/>
        <v>8.0807126651590564E-4</v>
      </c>
      <c r="F56" s="255">
        <f t="shared" si="3"/>
        <v>-30.925503356490015</v>
      </c>
      <c r="G56" s="251" t="s">
        <v>770</v>
      </c>
      <c r="H56" s="251"/>
      <c r="I56" s="254">
        <f>(S7*B56)/79.76</f>
        <v>0.41622156442226416</v>
      </c>
      <c r="J56" s="86"/>
      <c r="K56" s="87"/>
      <c r="L56" s="3"/>
      <c r="M56" s="3"/>
      <c r="N56" s="3"/>
      <c r="O56" s="3"/>
      <c r="P56" s="3"/>
      <c r="Q56" s="522"/>
      <c r="R56" s="877"/>
      <c r="S56" s="878"/>
      <c r="T56" s="877"/>
      <c r="U56" s="883"/>
    </row>
    <row r="57" spans="1:21" ht="13">
      <c r="A57" s="907"/>
      <c r="B57" s="907">
        <v>360</v>
      </c>
      <c r="C57" s="907">
        <f t="shared" ref="C57:C88" si="5">((SIN(RADIANS(B57)))^2)/B57^2</f>
        <v>4.6326812856943794E-37</v>
      </c>
      <c r="D57" s="907">
        <f t="shared" si="2"/>
        <v>4.6326812856943792E-31</v>
      </c>
      <c r="E57" s="907">
        <f t="shared" si="0"/>
        <v>1.5208196530120668E-33</v>
      </c>
      <c r="F57" s="256">
        <f t="shared" si="3"/>
        <v>-328.17922283873054</v>
      </c>
      <c r="G57" s="251" t="s">
        <v>770</v>
      </c>
      <c r="H57" s="251"/>
      <c r="I57" s="257">
        <f>(S7*B57)/79.76</f>
        <v>0.42811360912004315</v>
      </c>
      <c r="J57" s="260" t="s">
        <v>46</v>
      </c>
      <c r="K57" s="87"/>
      <c r="L57" s="3"/>
      <c r="M57" s="3"/>
      <c r="N57" s="3"/>
      <c r="O57" s="3"/>
      <c r="P57" s="3"/>
      <c r="Q57" s="522"/>
      <c r="R57" s="877"/>
      <c r="S57" s="877"/>
      <c r="T57" s="877"/>
      <c r="U57" s="883"/>
    </row>
    <row r="58" spans="1:21" ht="13">
      <c r="A58" s="907"/>
      <c r="B58" s="907">
        <v>370</v>
      </c>
      <c r="C58" s="907">
        <f t="shared" si="5"/>
        <v>2.2026069837140728E-7</v>
      </c>
      <c r="D58" s="907">
        <f t="shared" si="2"/>
        <v>0.22026069837140727</v>
      </c>
      <c r="E58" s="907">
        <f t="shared" si="0"/>
        <v>7.230732662395756E-4</v>
      </c>
      <c r="F58" s="255">
        <f t="shared" si="3"/>
        <v>-31.408176950824426</v>
      </c>
      <c r="G58" s="251" t="s">
        <v>770</v>
      </c>
      <c r="H58" s="251"/>
      <c r="I58" s="254">
        <f>(S7*B58)/79.76</f>
        <v>0.44000565381782203</v>
      </c>
      <c r="J58" s="86"/>
      <c r="K58" s="87"/>
      <c r="L58" s="3"/>
      <c r="M58" s="3"/>
      <c r="N58" s="3"/>
      <c r="O58" s="3"/>
      <c r="P58" s="3"/>
      <c r="Q58" s="522"/>
      <c r="R58" s="877"/>
      <c r="S58" s="877"/>
      <c r="T58" s="877"/>
      <c r="U58" s="883"/>
    </row>
    <row r="59" spans="1:21" ht="13">
      <c r="A59" s="907"/>
      <c r="B59" s="907">
        <v>380</v>
      </c>
      <c r="C59" s="907">
        <f t="shared" si="5"/>
        <v>8.1009541856309637E-7</v>
      </c>
      <c r="D59" s="907">
        <f t="shared" si="2"/>
        <v>0.81009541856309641</v>
      </c>
      <c r="E59" s="907">
        <f t="shared" si="0"/>
        <v>2.6593865569172885E-3</v>
      </c>
      <c r="F59" s="255">
        <f t="shared" si="3"/>
        <v>-25.752185309142369</v>
      </c>
      <c r="G59" s="251" t="s">
        <v>770</v>
      </c>
      <c r="H59" s="251"/>
      <c r="I59" s="254">
        <f>(S7*B59)/79.76</f>
        <v>0.45189769851560102</v>
      </c>
      <c r="J59" s="86"/>
      <c r="K59" s="87"/>
      <c r="L59" s="3"/>
      <c r="M59" s="3"/>
      <c r="N59" s="3"/>
      <c r="O59" s="3"/>
      <c r="P59" s="3"/>
      <c r="Q59" s="522"/>
      <c r="R59" s="877"/>
      <c r="S59" s="877"/>
      <c r="T59" s="877"/>
      <c r="U59" s="883"/>
    </row>
    <row r="60" spans="1:21" ht="13">
      <c r="A60" s="907"/>
      <c r="B60" s="907">
        <v>390</v>
      </c>
      <c r="C60" s="907">
        <f t="shared" si="5"/>
        <v>1.643655489809336E-6</v>
      </c>
      <c r="D60" s="907">
        <f t="shared" si="2"/>
        <v>1.6436554898093361</v>
      </c>
      <c r="E60" s="907">
        <f t="shared" si="0"/>
        <v>5.39580302966717E-3</v>
      </c>
      <c r="F60" s="255">
        <f t="shared" si="3"/>
        <v>-22.679439123526123</v>
      </c>
      <c r="G60" s="251" t="s">
        <v>770</v>
      </c>
      <c r="H60" s="251"/>
      <c r="I60" s="254">
        <f>(S7*B60)/79.76</f>
        <v>0.46378974321338007</v>
      </c>
      <c r="J60" s="86"/>
      <c r="K60" s="87"/>
      <c r="L60" s="3"/>
      <c r="M60" s="3"/>
      <c r="N60" s="3"/>
      <c r="O60" s="3"/>
      <c r="P60" s="3"/>
      <c r="Q60" s="522"/>
      <c r="R60" s="877"/>
      <c r="S60" s="877"/>
      <c r="T60" s="877"/>
      <c r="U60" s="883"/>
    </row>
    <row r="61" spans="1:21" ht="13">
      <c r="A61" s="907"/>
      <c r="B61" s="907">
        <v>400</v>
      </c>
      <c r="C61" s="907">
        <f t="shared" si="5"/>
        <v>2.5823494447908412E-6</v>
      </c>
      <c r="D61" s="907">
        <f t="shared" si="2"/>
        <v>2.5823494447908413</v>
      </c>
      <c r="E61" s="907">
        <f t="shared" si="0"/>
        <v>8.4773537059630918E-3</v>
      </c>
      <c r="F61" s="255">
        <f t="shared" si="3"/>
        <v>-20.717396961227067</v>
      </c>
      <c r="G61" s="251" t="s">
        <v>770</v>
      </c>
      <c r="H61" s="251"/>
      <c r="I61" s="254">
        <f>(S7*B61)/79.76</f>
        <v>0.47568178791115906</v>
      </c>
      <c r="J61" s="86"/>
      <c r="K61" s="87"/>
      <c r="L61" s="3"/>
      <c r="M61" s="3"/>
      <c r="N61" s="3"/>
      <c r="O61" s="3"/>
      <c r="P61" s="3"/>
      <c r="Q61" s="522"/>
      <c r="R61" s="877"/>
      <c r="S61" s="877"/>
      <c r="T61" s="877"/>
      <c r="U61" s="883"/>
    </row>
    <row r="62" spans="1:21" ht="13">
      <c r="A62" s="907"/>
      <c r="B62" s="907">
        <v>410</v>
      </c>
      <c r="C62" s="907">
        <f t="shared" si="5"/>
        <v>3.4909225986523783E-6</v>
      </c>
      <c r="D62" s="907">
        <f t="shared" si="2"/>
        <v>3.4909225986523782</v>
      </c>
      <c r="E62" s="907">
        <f t="shared" si="0"/>
        <v>1.1460023618652048E-2</v>
      </c>
      <c r="F62" s="255">
        <f t="shared" si="3"/>
        <v>-19.40814487304084</v>
      </c>
      <c r="G62" s="251" t="s">
        <v>770</v>
      </c>
      <c r="H62" s="251"/>
      <c r="I62" s="254">
        <f>(S7*B62)/79.76</f>
        <v>0.48757383260893794</v>
      </c>
      <c r="J62" s="86"/>
      <c r="K62" s="87"/>
      <c r="L62" s="3"/>
      <c r="M62" s="3"/>
      <c r="N62" s="3"/>
      <c r="O62" s="3"/>
      <c r="P62" s="3"/>
      <c r="Q62" s="522"/>
      <c r="R62" s="877"/>
      <c r="S62" s="877"/>
      <c r="T62" s="877"/>
      <c r="U62" s="883"/>
    </row>
    <row r="63" spans="1:21" ht="13">
      <c r="A63" s="907"/>
      <c r="B63" s="907">
        <v>420</v>
      </c>
      <c r="C63" s="907">
        <f t="shared" si="5"/>
        <v>4.2517006802721104E-6</v>
      </c>
      <c r="D63" s="907">
        <f t="shared" si="2"/>
        <v>4.2517006802721102</v>
      </c>
      <c r="E63" s="907">
        <f t="shared" si="0"/>
        <v>1.3957510898169673E-2</v>
      </c>
      <c r="F63" s="255">
        <f t="shared" si="3"/>
        <v>-18.551920243757522</v>
      </c>
      <c r="G63" s="251" t="s">
        <v>770</v>
      </c>
      <c r="H63" s="251"/>
      <c r="I63" s="254">
        <f>(S7*B63)/79.76</f>
        <v>0.49946587730671693</v>
      </c>
      <c r="J63" s="86"/>
      <c r="K63" s="87"/>
      <c r="L63" s="3"/>
      <c r="M63" s="3"/>
      <c r="N63" s="3"/>
      <c r="O63" s="3"/>
      <c r="P63" s="3"/>
      <c r="Q63" s="522"/>
      <c r="R63" s="877"/>
      <c r="S63" s="877"/>
      <c r="T63" s="877"/>
      <c r="U63" s="883"/>
    </row>
    <row r="64" spans="1:21" ht="13">
      <c r="A64" s="907"/>
      <c r="B64" s="907">
        <v>430</v>
      </c>
      <c r="C64" s="907">
        <f t="shared" si="5"/>
        <v>4.7756745352054575E-6</v>
      </c>
      <c r="D64" s="907">
        <f t="shared" si="2"/>
        <v>4.7756745352054573</v>
      </c>
      <c r="E64" s="907">
        <f t="shared" si="0"/>
        <v>1.5677615708116009E-2</v>
      </c>
      <c r="F64" s="255">
        <f t="shared" si="3"/>
        <v>-18.047199852449516</v>
      </c>
      <c r="G64" s="251" t="s">
        <v>770</v>
      </c>
      <c r="H64" s="251"/>
      <c r="I64" s="254">
        <f>(S7*B64)/79.76</f>
        <v>0.51135792200449592</v>
      </c>
      <c r="J64" s="86"/>
      <c r="K64" s="87"/>
      <c r="L64" s="3"/>
      <c r="M64" s="3"/>
      <c r="N64" s="3"/>
      <c r="O64" s="3"/>
      <c r="P64" s="3"/>
      <c r="Q64" s="522"/>
      <c r="R64" s="877"/>
      <c r="S64" s="878"/>
      <c r="T64" s="877"/>
      <c r="U64" s="883"/>
    </row>
    <row r="65" spans="1:21" ht="13">
      <c r="A65" s="907"/>
      <c r="B65" s="907">
        <v>440</v>
      </c>
      <c r="C65" s="907">
        <f t="shared" si="5"/>
        <v>5.0095367272363332E-6</v>
      </c>
      <c r="D65" s="907">
        <f t="shared" si="2"/>
        <v>5.0095367272363331</v>
      </c>
      <c r="E65" s="907">
        <f t="shared" si="0"/>
        <v>1.6445340047010884E-2</v>
      </c>
      <c r="F65" s="258">
        <f t="shared" si="3"/>
        <v>-17.839571420041555</v>
      </c>
      <c r="G65" s="251" t="s">
        <v>770</v>
      </c>
      <c r="H65" s="251"/>
      <c r="I65" s="259">
        <f>(S7*B65)/79.76</f>
        <v>0.52324996670227497</v>
      </c>
      <c r="J65" s="260" t="s">
        <v>47</v>
      </c>
      <c r="K65" s="261"/>
      <c r="L65" s="3"/>
      <c r="M65" s="3"/>
      <c r="N65" s="3"/>
      <c r="O65" s="3"/>
      <c r="P65" s="3"/>
      <c r="Q65" s="522"/>
      <c r="R65" s="877"/>
      <c r="S65" s="877"/>
      <c r="T65" s="877"/>
      <c r="U65" s="883"/>
    </row>
    <row r="66" spans="1:21" ht="13">
      <c r="A66" s="907"/>
      <c r="B66" s="907">
        <v>450</v>
      </c>
      <c r="C66" s="907">
        <f t="shared" si="5"/>
        <v>4.9382716049382717E-6</v>
      </c>
      <c r="D66" s="907">
        <f t="shared" si="2"/>
        <v>4.9382716049382713</v>
      </c>
      <c r="E66" s="907">
        <f t="shared" si="0"/>
        <v>1.6211390435800031E-2</v>
      </c>
      <c r="F66" s="255">
        <f t="shared" si="3"/>
        <v>-17.90179734522339</v>
      </c>
      <c r="G66" s="251" t="s">
        <v>770</v>
      </c>
      <c r="H66" s="251"/>
      <c r="I66" s="254">
        <f>(S7*B66)/79.76</f>
        <v>0.5351420114000538</v>
      </c>
      <c r="J66" s="86"/>
      <c r="K66" s="87"/>
      <c r="L66" s="3"/>
      <c r="M66" s="3"/>
      <c r="N66" s="3"/>
      <c r="O66" s="3"/>
      <c r="P66" s="3"/>
      <c r="Q66" s="522"/>
      <c r="R66" s="877"/>
      <c r="S66" s="877"/>
      <c r="T66" s="877"/>
      <c r="U66" s="883"/>
    </row>
    <row r="67" spans="1:21" ht="13">
      <c r="A67" s="907"/>
      <c r="B67" s="907">
        <v>460</v>
      </c>
      <c r="C67" s="907">
        <f t="shared" si="5"/>
        <v>4.5833946615924115E-6</v>
      </c>
      <c r="D67" s="907">
        <f t="shared" si="2"/>
        <v>4.5833946615924113</v>
      </c>
      <c r="E67" s="907">
        <f t="shared" si="0"/>
        <v>1.5046398077038316E-2</v>
      </c>
      <c r="F67" s="255">
        <f t="shared" si="3"/>
        <v>-18.225674523949287</v>
      </c>
      <c r="G67" s="251" t="s">
        <v>770</v>
      </c>
      <c r="H67" s="251"/>
      <c r="I67" s="254">
        <f>(S7*B67)/79.76</f>
        <v>0.54703405609783284</v>
      </c>
      <c r="J67" s="86"/>
      <c r="K67" s="87"/>
      <c r="L67" s="3"/>
      <c r="M67" s="3"/>
      <c r="N67" s="3"/>
      <c r="O67" s="3"/>
      <c r="P67" s="3"/>
      <c r="Q67" s="522"/>
      <c r="R67" s="877"/>
      <c r="S67" s="877"/>
      <c r="T67" s="877"/>
      <c r="U67" s="883"/>
    </row>
    <row r="68" spans="1:21" ht="13">
      <c r="A68" s="907"/>
      <c r="B68" s="907">
        <v>470</v>
      </c>
      <c r="C68" s="907">
        <f t="shared" si="5"/>
        <v>3.9973844344023967E-6</v>
      </c>
      <c r="D68" s="907">
        <f t="shared" si="2"/>
        <v>3.9973844344023965</v>
      </c>
      <c r="E68" s="907">
        <f t="shared" si="0"/>
        <v>1.3122639857087602E-2</v>
      </c>
      <c r="F68" s="255">
        <f t="shared" si="3"/>
        <v>-18.819787899572134</v>
      </c>
      <c r="G68" s="251" t="s">
        <v>770</v>
      </c>
      <c r="H68" s="251"/>
      <c r="I68" s="254">
        <f>(S7*B68)/79.76</f>
        <v>0.55892610079561178</v>
      </c>
      <c r="J68" s="86"/>
      <c r="K68" s="87"/>
      <c r="L68" s="3"/>
      <c r="M68" s="3"/>
      <c r="N68" s="3"/>
      <c r="O68" s="3"/>
      <c r="P68" s="3"/>
      <c r="Q68" s="522"/>
      <c r="R68" s="877"/>
      <c r="S68" s="877"/>
      <c r="T68" s="877"/>
      <c r="U68" s="883"/>
    </row>
    <row r="69" spans="1:21" ht="13">
      <c r="A69" s="907"/>
      <c r="B69" s="907">
        <v>480</v>
      </c>
      <c r="C69" s="907">
        <f t="shared" si="5"/>
        <v>3.2552083333333374E-6</v>
      </c>
      <c r="D69" s="907">
        <f t="shared" si="2"/>
        <v>3.2552083333333375</v>
      </c>
      <c r="E69" s="907">
        <f t="shared" si="0"/>
        <v>1.0686219281411165E-2</v>
      </c>
      <c r="F69" s="255">
        <f t="shared" si="3"/>
        <v>-19.711759183311251</v>
      </c>
      <c r="G69" s="251" t="s">
        <v>770</v>
      </c>
      <c r="H69" s="251"/>
      <c r="I69" s="254">
        <f>(S7*B69)/79.76</f>
        <v>0.57081814549339083</v>
      </c>
      <c r="J69" s="86"/>
      <c r="K69" s="87"/>
      <c r="L69" s="3"/>
      <c r="M69" s="3"/>
      <c r="N69" s="3"/>
      <c r="O69" s="3"/>
      <c r="P69" s="3"/>
      <c r="Q69" s="522"/>
      <c r="R69" s="877"/>
      <c r="S69" s="877"/>
      <c r="T69" s="877"/>
      <c r="U69" s="883"/>
    </row>
    <row r="70" spans="1:21" ht="13">
      <c r="A70" s="907"/>
      <c r="B70" s="907">
        <v>490</v>
      </c>
      <c r="C70" s="907">
        <f t="shared" si="5"/>
        <v>2.4440820026383361E-6</v>
      </c>
      <c r="D70" s="907">
        <f t="shared" si="2"/>
        <v>2.4440820026383361</v>
      </c>
      <c r="E70" s="907">
        <f t="shared" si="0"/>
        <v>8.023448439381126E-3</v>
      </c>
      <c r="F70" s="255">
        <f t="shared" si="3"/>
        <v>-20.956389339216408</v>
      </c>
      <c r="G70" s="251" t="s">
        <v>770</v>
      </c>
      <c r="H70" s="251"/>
      <c r="I70" s="254">
        <f>(S7*B70)/79.76</f>
        <v>0.58271019019116987</v>
      </c>
      <c r="J70" s="86"/>
      <c r="K70" s="87"/>
      <c r="L70" s="3"/>
      <c r="M70" s="3"/>
      <c r="N70" s="3"/>
      <c r="O70" s="3"/>
      <c r="P70" s="3"/>
      <c r="Q70" s="522"/>
      <c r="R70" s="877"/>
      <c r="S70" s="877"/>
      <c r="T70" s="877"/>
      <c r="U70" s="883"/>
    </row>
    <row r="71" spans="1:21" ht="13">
      <c r="A71" s="907"/>
      <c r="B71" s="907">
        <v>500</v>
      </c>
      <c r="C71" s="907">
        <f t="shared" si="5"/>
        <v>1.6527036446661378E-6</v>
      </c>
      <c r="D71" s="907">
        <f t="shared" si="2"/>
        <v>1.6527036446661378</v>
      </c>
      <c r="E71" s="907">
        <f t="shared" si="0"/>
        <v>5.4255063718163764E-3</v>
      </c>
      <c r="F71" s="255">
        <f t="shared" si="3"/>
        <v>-22.655597221388199</v>
      </c>
      <c r="G71" s="251" t="s">
        <v>770</v>
      </c>
      <c r="H71" s="251"/>
      <c r="I71" s="254">
        <f>(S7*B71)/79.76</f>
        <v>0.5946022348889487</v>
      </c>
      <c r="J71" s="86"/>
      <c r="K71" s="87"/>
      <c r="L71" s="3"/>
      <c r="M71" s="3"/>
      <c r="N71" s="3"/>
      <c r="O71" s="3"/>
      <c r="P71" s="3"/>
      <c r="Q71" s="522"/>
      <c r="R71" s="877"/>
      <c r="S71" s="877"/>
      <c r="T71" s="877"/>
      <c r="U71" s="883"/>
    </row>
    <row r="72" spans="1:21" ht="13">
      <c r="A72" s="907"/>
      <c r="B72" s="907">
        <v>510</v>
      </c>
      <c r="C72" s="907">
        <f t="shared" si="5"/>
        <v>9.6116878123798444E-7</v>
      </c>
      <c r="D72" s="907">
        <f t="shared" si="2"/>
        <v>0.96116878123798444</v>
      </c>
      <c r="E72" s="907">
        <f t="shared" si="0"/>
        <v>3.1553311834385841E-3</v>
      </c>
      <c r="F72" s="255">
        <f t="shared" si="3"/>
        <v>-25.009550504954873</v>
      </c>
      <c r="G72" s="251" t="s">
        <v>770</v>
      </c>
      <c r="H72" s="251"/>
      <c r="I72" s="254">
        <f>(S7*B72)/79.76</f>
        <v>0.60649427958672775</v>
      </c>
      <c r="J72" s="86"/>
      <c r="K72" s="87"/>
      <c r="L72" s="3"/>
      <c r="M72" s="3"/>
      <c r="N72" s="3"/>
      <c r="O72" s="3"/>
      <c r="P72" s="3"/>
      <c r="Q72" s="522"/>
      <c r="R72" s="877"/>
      <c r="S72" s="877"/>
      <c r="T72" s="877"/>
      <c r="U72" s="883"/>
    </row>
    <row r="73" spans="1:21" ht="13">
      <c r="A73" s="907"/>
      <c r="B73" s="907">
        <v>520</v>
      </c>
      <c r="C73" s="907">
        <f t="shared" si="5"/>
        <v>4.3261012736875356E-7</v>
      </c>
      <c r="D73" s="907">
        <f t="shared" si="2"/>
        <v>0.43261012736875354</v>
      </c>
      <c r="E73" s="907">
        <f t="shared" si="0"/>
        <v>1.4201753654543489E-3</v>
      </c>
      <c r="F73" s="255">
        <f t="shared" si="3"/>
        <v>-28.476580249502152</v>
      </c>
      <c r="G73" s="251" t="s">
        <v>770</v>
      </c>
      <c r="H73" s="251"/>
      <c r="I73" s="254">
        <f>(S7*B73)/79.76</f>
        <v>0.61838632428450668</v>
      </c>
      <c r="J73" s="86"/>
      <c r="K73" s="87"/>
      <c r="L73" s="3"/>
      <c r="M73" s="3"/>
      <c r="N73" s="3"/>
      <c r="O73" s="3"/>
      <c r="P73" s="3"/>
      <c r="Q73" s="522"/>
      <c r="R73" s="877"/>
      <c r="S73" s="877"/>
      <c r="T73" s="877"/>
      <c r="U73" s="883"/>
    </row>
    <row r="74" spans="1:21" ht="13">
      <c r="A74" s="907"/>
      <c r="B74" s="907">
        <v>530</v>
      </c>
      <c r="C74" s="907">
        <f t="shared" si="5"/>
        <v>1.0734670561426081E-7</v>
      </c>
      <c r="D74" s="907">
        <f t="shared" si="2"/>
        <v>0.10734670561426081</v>
      </c>
      <c r="E74" s="907">
        <f t="shared" si="0"/>
        <v>3.5239846973370801E-4</v>
      </c>
      <c r="F74" s="255">
        <f t="shared" si="3"/>
        <v>-34.529659861500278</v>
      </c>
      <c r="G74" s="251" t="s">
        <v>770</v>
      </c>
      <c r="H74" s="251"/>
      <c r="I74" s="254">
        <f>(S7*B74)/79.76</f>
        <v>0.63027836898228573</v>
      </c>
      <c r="J74" s="86"/>
      <c r="K74" s="87"/>
      <c r="L74" s="3"/>
      <c r="M74" s="3"/>
      <c r="N74" s="3"/>
      <c r="O74" s="3"/>
      <c r="P74" s="3"/>
      <c r="Q74" s="522"/>
      <c r="R74" s="877"/>
      <c r="S74" s="878"/>
      <c r="T74" s="877"/>
      <c r="U74" s="883"/>
    </row>
    <row r="75" spans="1:21" ht="13">
      <c r="A75" s="907"/>
      <c r="B75" s="907">
        <v>540</v>
      </c>
      <c r="C75" s="907">
        <f t="shared" si="5"/>
        <v>4.6326812856943794E-37</v>
      </c>
      <c r="D75" s="907">
        <f t="shared" si="2"/>
        <v>4.6326812856943792E-31</v>
      </c>
      <c r="E75" s="907">
        <f t="shared" si="0"/>
        <v>1.5208196530120668E-33</v>
      </c>
      <c r="F75" s="256">
        <f t="shared" si="3"/>
        <v>-328.17922283873054</v>
      </c>
      <c r="G75" s="251" t="s">
        <v>770</v>
      </c>
      <c r="H75" s="251"/>
      <c r="I75" s="257">
        <f>(S7*B75)/79.76</f>
        <v>0.64217041368006467</v>
      </c>
      <c r="J75" s="260" t="s">
        <v>48</v>
      </c>
      <c r="K75" s="87"/>
      <c r="L75" s="3"/>
      <c r="M75" s="3"/>
      <c r="N75" s="3"/>
      <c r="O75" s="3"/>
      <c r="P75" s="3"/>
      <c r="Q75" s="522"/>
      <c r="R75" s="877"/>
      <c r="S75" s="877"/>
      <c r="T75" s="877"/>
      <c r="U75" s="883"/>
    </row>
    <row r="76" spans="1:21" ht="13">
      <c r="A76" s="907"/>
      <c r="B76" s="907">
        <v>550</v>
      </c>
      <c r="C76" s="907">
        <f t="shared" si="5"/>
        <v>9.9681618535687958E-8</v>
      </c>
      <c r="D76" s="907">
        <f t="shared" si="2"/>
        <v>9.9681618535687952E-2</v>
      </c>
      <c r="E76" s="907">
        <f t="shared" si="0"/>
        <v>3.2723547156429005E-4</v>
      </c>
      <c r="F76" s="255">
        <f t="shared" si="3"/>
        <v>-34.851396259369409</v>
      </c>
      <c r="G76" s="251" t="s">
        <v>770</v>
      </c>
      <c r="H76" s="251"/>
      <c r="I76" s="254">
        <f>(S7*B76)/79.76</f>
        <v>0.6540624583778436</v>
      </c>
      <c r="J76" s="86"/>
      <c r="K76" s="87"/>
      <c r="L76" s="3"/>
      <c r="M76" s="3"/>
      <c r="N76" s="3"/>
      <c r="O76" s="3"/>
      <c r="P76" s="3"/>
      <c r="Q76" s="522"/>
      <c r="R76" s="877"/>
      <c r="S76" s="877"/>
      <c r="T76" s="877"/>
      <c r="U76" s="883"/>
    </row>
    <row r="77" spans="1:21" ht="13">
      <c r="A77" s="907"/>
      <c r="B77" s="907">
        <v>560</v>
      </c>
      <c r="C77" s="907">
        <f t="shared" si="5"/>
        <v>3.7301587512917883E-7</v>
      </c>
      <c r="D77" s="907">
        <f t="shared" si="2"/>
        <v>0.37301587512917883</v>
      </c>
      <c r="E77" s="907">
        <f t="shared" si="0"/>
        <v>1.2245389630703265E-3</v>
      </c>
      <c r="F77" s="255">
        <f t="shared" si="3"/>
        <v>-29.120273916930199</v>
      </c>
      <c r="G77" s="251" t="s">
        <v>770</v>
      </c>
      <c r="H77" s="251"/>
      <c r="I77" s="254">
        <f>(S7*B77)/79.76</f>
        <v>0.66595450307562265</v>
      </c>
      <c r="J77" s="86"/>
      <c r="K77" s="87"/>
      <c r="L77" s="3"/>
      <c r="M77" s="3"/>
      <c r="N77" s="3"/>
      <c r="O77" s="3"/>
      <c r="P77" s="3"/>
      <c r="Q77" s="522"/>
      <c r="R77" s="877"/>
      <c r="S77" s="877"/>
      <c r="T77" s="877"/>
      <c r="U77" s="883"/>
    </row>
    <row r="78" spans="1:21" ht="13">
      <c r="A78" s="907"/>
      <c r="B78" s="907">
        <v>570</v>
      </c>
      <c r="C78" s="907">
        <f t="shared" si="5"/>
        <v>7.6946752847029604E-7</v>
      </c>
      <c r="D78" s="907">
        <f t="shared" si="2"/>
        <v>0.76946752847029609</v>
      </c>
      <c r="E78" s="907">
        <f t="shared" si="0"/>
        <v>2.5260130526696643E-3</v>
      </c>
      <c r="F78" s="255">
        <f t="shared" si="3"/>
        <v>-25.975644096445979</v>
      </c>
      <c r="G78" s="251" t="s">
        <v>770</v>
      </c>
      <c r="H78" s="251"/>
      <c r="I78" s="254">
        <f>(S7*B78)/79.76</f>
        <v>0.67784654777340159</v>
      </c>
      <c r="J78" s="86"/>
      <c r="K78" s="87"/>
      <c r="L78" s="3"/>
      <c r="M78" s="3"/>
      <c r="N78" s="3"/>
      <c r="O78" s="3"/>
      <c r="P78" s="3"/>
      <c r="Q78" s="522"/>
      <c r="R78" s="877"/>
      <c r="S78" s="877"/>
      <c r="T78" s="877"/>
      <c r="U78" s="883"/>
    </row>
    <row r="79" spans="1:21" ht="13">
      <c r="A79" s="907"/>
      <c r="B79" s="907">
        <v>580</v>
      </c>
      <c r="C79" s="907">
        <f t="shared" si="5"/>
        <v>1.2282280355723409E-6</v>
      </c>
      <c r="D79" s="907">
        <f t="shared" si="2"/>
        <v>1.2282280355723409</v>
      </c>
      <c r="E79" s="907">
        <f t="shared" si="0"/>
        <v>4.0320350563439284E-3</v>
      </c>
      <c r="F79" s="255">
        <f t="shared" si="3"/>
        <v>-23.944757005926558</v>
      </c>
      <c r="G79" s="251" t="s">
        <v>770</v>
      </c>
      <c r="H79" s="251"/>
      <c r="I79" s="254">
        <f>(S7*B79)/79.76</f>
        <v>0.68973859247118052</v>
      </c>
      <c r="J79" s="86"/>
      <c r="K79" s="87"/>
      <c r="L79" s="3"/>
      <c r="M79" s="3"/>
      <c r="N79" s="3"/>
      <c r="O79" s="3"/>
      <c r="P79" s="3"/>
      <c r="Q79" s="522"/>
      <c r="R79" s="877"/>
      <c r="S79" s="877"/>
      <c r="T79" s="877"/>
      <c r="U79" s="883"/>
    </row>
    <row r="80" spans="1:21" ht="13">
      <c r="A80" s="907"/>
      <c r="B80" s="907">
        <v>590</v>
      </c>
      <c r="C80" s="907">
        <f t="shared" si="5"/>
        <v>1.6857916944368443E-6</v>
      </c>
      <c r="D80" s="907">
        <f t="shared" si="2"/>
        <v>1.6857916944368443</v>
      </c>
      <c r="E80" s="907">
        <f t="shared" si="0"/>
        <v>5.5341280387687783E-3</v>
      </c>
      <c r="F80" s="255">
        <f t="shared" si="3"/>
        <v>-22.56950797148901</v>
      </c>
      <c r="G80" s="251" t="s">
        <v>770</v>
      </c>
      <c r="H80" s="251"/>
      <c r="I80" s="254">
        <f>(S7*B80)/79.76</f>
        <v>0.70163063716895946</v>
      </c>
      <c r="J80" s="86"/>
      <c r="K80" s="87"/>
      <c r="L80" s="3"/>
      <c r="M80" s="3"/>
      <c r="N80" s="3"/>
      <c r="O80" s="3"/>
      <c r="P80" s="3"/>
      <c r="Q80" s="522"/>
      <c r="R80" s="877"/>
      <c r="S80" s="877"/>
      <c r="T80" s="877"/>
      <c r="U80" s="883"/>
    </row>
    <row r="81" spans="1:21" ht="13">
      <c r="A81" s="907"/>
      <c r="B81" s="907">
        <v>600</v>
      </c>
      <c r="C81" s="907">
        <f t="shared" si="5"/>
        <v>2.0833333333333334E-6</v>
      </c>
      <c r="D81" s="907">
        <f t="shared" si="2"/>
        <v>2.0833333333333335</v>
      </c>
      <c r="E81" s="907">
        <f t="shared" si="0"/>
        <v>6.8391803401031378E-3</v>
      </c>
      <c r="F81" s="255">
        <f t="shared" si="3"/>
        <v>-21.64995944347239</v>
      </c>
      <c r="G81" s="251" t="s">
        <v>770</v>
      </c>
      <c r="H81" s="251"/>
      <c r="I81" s="254">
        <f>(S7*B81)/79.76</f>
        <v>0.71352268186673851</v>
      </c>
      <c r="J81" s="86"/>
      <c r="K81" s="87"/>
      <c r="L81" s="3"/>
      <c r="M81" s="3"/>
      <c r="N81" s="3"/>
      <c r="O81" s="3"/>
      <c r="P81" s="3"/>
      <c r="Q81" s="522"/>
      <c r="R81" s="877"/>
      <c r="S81" s="877"/>
      <c r="T81" s="877"/>
      <c r="U81" s="883"/>
    </row>
    <row r="82" spans="1:21" ht="13">
      <c r="A82" s="907"/>
      <c r="B82" s="907">
        <v>610</v>
      </c>
      <c r="C82" s="907">
        <f t="shared" si="5"/>
        <v>2.3730777252337787E-6</v>
      </c>
      <c r="D82" s="907">
        <f t="shared" si="2"/>
        <v>2.3730777252337787</v>
      </c>
      <c r="E82" s="907">
        <f t="shared" ref="E82:E104" si="6">D82/304.6174</f>
        <v>7.7903551314986563E-3</v>
      </c>
      <c r="F82" s="255">
        <f t="shared" si="3"/>
        <v>-21.084427441073128</v>
      </c>
      <c r="G82" s="251" t="s">
        <v>770</v>
      </c>
      <c r="H82" s="251"/>
      <c r="I82" s="254">
        <f>(S7*B82)/79.76</f>
        <v>0.72541472656451755</v>
      </c>
      <c r="J82" s="86"/>
      <c r="K82" s="87"/>
      <c r="L82" s="3"/>
      <c r="M82" s="3"/>
      <c r="N82" s="3"/>
      <c r="O82" s="3"/>
      <c r="P82" s="3"/>
      <c r="Q82" s="522"/>
      <c r="R82" s="877"/>
      <c r="S82" s="878"/>
      <c r="T82" s="877"/>
      <c r="U82" s="883"/>
    </row>
    <row r="83" spans="1:21" ht="13">
      <c r="A83" s="907"/>
      <c r="B83" s="907">
        <v>620</v>
      </c>
      <c r="C83" s="907">
        <f t="shared" si="5"/>
        <v>2.5230132944665821E-6</v>
      </c>
      <c r="D83" s="907">
        <f t="shared" si="2"/>
        <v>2.523013294466582</v>
      </c>
      <c r="E83" s="907">
        <f t="shared" si="6"/>
        <v>8.2825646022406541E-3</v>
      </c>
      <c r="F83" s="258">
        <f t="shared" si="3"/>
        <v>-20.818351680282881</v>
      </c>
      <c r="G83" s="251" t="s">
        <v>770</v>
      </c>
      <c r="H83" s="251"/>
      <c r="I83" s="259">
        <f>(S7*B83)/79.76</f>
        <v>0.73730677126229638</v>
      </c>
      <c r="J83" s="260" t="s">
        <v>49</v>
      </c>
      <c r="K83" s="261"/>
      <c r="L83" s="3"/>
      <c r="M83" s="3"/>
      <c r="N83" s="3"/>
      <c r="O83" s="3"/>
      <c r="P83" s="3"/>
      <c r="Q83" s="522"/>
      <c r="R83" s="877"/>
      <c r="S83" s="877"/>
      <c r="T83" s="877"/>
      <c r="U83" s="883"/>
    </row>
    <row r="84" spans="1:21" ht="13">
      <c r="A84" s="907"/>
      <c r="B84" s="907">
        <v>630</v>
      </c>
      <c r="C84" s="907">
        <f t="shared" si="5"/>
        <v>2.5195263290501387E-6</v>
      </c>
      <c r="D84" s="907">
        <f t="shared" ref="D84:D104" si="7">C84*1000000</f>
        <v>2.5195263290501386</v>
      </c>
      <c r="E84" s="907">
        <f t="shared" si="6"/>
        <v>8.2711175692857294E-3</v>
      </c>
      <c r="F84" s="255">
        <f t="shared" si="3"/>
        <v>-20.82435805878815</v>
      </c>
      <c r="G84" s="251" t="s">
        <v>770</v>
      </c>
      <c r="H84" s="251"/>
      <c r="I84" s="254">
        <f>(S7*B84)/79.76</f>
        <v>0.74919881596007543</v>
      </c>
      <c r="J84" s="86"/>
      <c r="K84" s="87"/>
      <c r="L84" s="3"/>
      <c r="M84" s="3"/>
      <c r="N84" s="3"/>
      <c r="O84" s="3"/>
      <c r="P84" s="3"/>
      <c r="Q84" s="522"/>
      <c r="R84" s="877"/>
      <c r="S84" s="877"/>
      <c r="T84" s="877"/>
      <c r="U84" s="883"/>
    </row>
    <row r="85" spans="1:21" ht="13">
      <c r="A85" s="907"/>
      <c r="B85" s="907">
        <v>640</v>
      </c>
      <c r="C85" s="907">
        <f t="shared" si="5"/>
        <v>2.3677888437327986E-6</v>
      </c>
      <c r="D85" s="907">
        <f t="shared" si="7"/>
        <v>2.3677888437327987</v>
      </c>
      <c r="E85" s="907">
        <f t="shared" si="6"/>
        <v>7.7729927565949909E-3</v>
      </c>
      <c r="F85" s="255">
        <f t="shared" ref="F85:F104" si="8">10*LOG10(E85)</f>
        <v>-21.094117369995548</v>
      </c>
      <c r="G85" s="251" t="s">
        <v>770</v>
      </c>
      <c r="H85" s="251"/>
      <c r="I85" s="254">
        <f>(S7*B85)/79.76</f>
        <v>0.76109086065785436</v>
      </c>
      <c r="J85" s="86"/>
      <c r="K85" s="87"/>
      <c r="L85" s="3"/>
      <c r="M85" s="3"/>
      <c r="N85" s="3"/>
      <c r="O85" s="3"/>
      <c r="P85" s="3"/>
      <c r="Q85" s="522"/>
      <c r="R85" s="877"/>
      <c r="S85" s="877"/>
      <c r="T85" s="877"/>
      <c r="U85" s="883"/>
    </row>
    <row r="86" spans="1:21" ht="13">
      <c r="A86" s="907"/>
      <c r="B86" s="907">
        <v>650</v>
      </c>
      <c r="C86" s="907">
        <f t="shared" si="5"/>
        <v>2.0899934238094428E-6</v>
      </c>
      <c r="D86" s="907">
        <f t="shared" si="7"/>
        <v>2.0899934238094429</v>
      </c>
      <c r="E86" s="907">
        <f t="shared" si="6"/>
        <v>6.8610441288299451E-3</v>
      </c>
      <c r="F86" s="255">
        <f t="shared" si="8"/>
        <v>-21.636097873714895</v>
      </c>
      <c r="G86" s="251" t="s">
        <v>770</v>
      </c>
      <c r="H86" s="251"/>
      <c r="I86" s="254">
        <f>(S7*B86)/79.76</f>
        <v>0.77298290535563341</v>
      </c>
      <c r="J86" s="86"/>
      <c r="K86" s="87"/>
      <c r="L86" s="3"/>
      <c r="M86" s="3"/>
      <c r="N86" s="3"/>
      <c r="O86" s="3"/>
      <c r="P86" s="3"/>
      <c r="Q86" s="522"/>
      <c r="R86" s="877"/>
      <c r="S86" s="877"/>
      <c r="T86" s="877"/>
      <c r="U86" s="883"/>
    </row>
    <row r="87" spans="1:21" ht="13">
      <c r="A87" s="907"/>
      <c r="B87" s="907">
        <v>670</v>
      </c>
      <c r="C87" s="907">
        <f t="shared" si="5"/>
        <v>1.3072490283659268E-6</v>
      </c>
      <c r="D87" s="907">
        <f t="shared" si="7"/>
        <v>1.3072490283659268</v>
      </c>
      <c r="E87" s="907">
        <f t="shared" si="6"/>
        <v>4.2914456901212046E-3</v>
      </c>
      <c r="F87" s="255">
        <f t="shared" si="8"/>
        <v>-23.673963792662658</v>
      </c>
      <c r="G87" s="251" t="s">
        <v>770</v>
      </c>
      <c r="H87" s="251"/>
      <c r="I87" s="254">
        <f>(S7*B87)/79.76</f>
        <v>0.79676699475119128</v>
      </c>
      <c r="J87" s="86"/>
      <c r="K87" s="87"/>
      <c r="L87" s="3"/>
      <c r="M87" s="3"/>
      <c r="N87" s="3"/>
      <c r="O87" s="3"/>
      <c r="P87" s="3"/>
      <c r="Q87" s="522"/>
      <c r="R87" s="877"/>
      <c r="S87" s="877"/>
      <c r="T87" s="877"/>
      <c r="U87" s="883"/>
    </row>
    <row r="88" spans="1:21" ht="13">
      <c r="A88" s="907"/>
      <c r="B88" s="907">
        <v>680</v>
      </c>
      <c r="C88" s="907">
        <f t="shared" si="5"/>
        <v>8.9354652068887208E-7</v>
      </c>
      <c r="D88" s="907">
        <f t="shared" si="7"/>
        <v>0.89354652068887208</v>
      </c>
      <c r="E88" s="907">
        <f t="shared" si="6"/>
        <v>2.93334038268619E-3</v>
      </c>
      <c r="F88" s="255">
        <f t="shared" si="8"/>
        <v>-25.326375388792549</v>
      </c>
      <c r="G88" s="251" t="s">
        <v>770</v>
      </c>
      <c r="H88" s="251"/>
      <c r="I88" s="254">
        <f>(S7*B88)/79.76</f>
        <v>0.80865903944897033</v>
      </c>
      <c r="J88" s="86"/>
      <c r="K88" s="87"/>
      <c r="L88" s="3"/>
      <c r="M88" s="3"/>
      <c r="N88" s="3"/>
      <c r="O88" s="3"/>
      <c r="P88" s="3"/>
      <c r="Q88" s="522"/>
      <c r="R88" s="877"/>
      <c r="S88" s="877"/>
      <c r="T88" s="877"/>
      <c r="U88" s="883"/>
    </row>
    <row r="89" spans="1:21" ht="13">
      <c r="A89" s="907"/>
      <c r="B89" s="907">
        <v>690</v>
      </c>
      <c r="C89" s="907">
        <f t="shared" ref="C89:C104" si="9">((SIN(RADIANS(B89)))^2)/B89^2</f>
        <v>5.2509976895610143E-7</v>
      </c>
      <c r="D89" s="907">
        <f t="shared" si="7"/>
        <v>0.52509976895610144</v>
      </c>
      <c r="E89" s="907">
        <f t="shared" si="6"/>
        <v>1.7238009678898891E-3</v>
      </c>
      <c r="F89" s="255">
        <f t="shared" si="8"/>
        <v>-27.635128797741245</v>
      </c>
      <c r="G89" s="251" t="s">
        <v>770</v>
      </c>
      <c r="H89" s="251"/>
      <c r="I89" s="254">
        <f>(S7*B89)/79.76</f>
        <v>0.82055108414674915</v>
      </c>
      <c r="J89" s="86"/>
      <c r="K89" s="87"/>
      <c r="L89" s="3"/>
      <c r="M89" s="3"/>
      <c r="N89" s="3"/>
      <c r="O89" s="3"/>
      <c r="P89" s="3"/>
      <c r="Q89" s="522"/>
      <c r="R89" s="877"/>
      <c r="S89" s="877"/>
      <c r="T89" s="877"/>
      <c r="U89" s="883"/>
    </row>
    <row r="90" spans="1:21" ht="13">
      <c r="A90" s="907"/>
      <c r="B90" s="907">
        <v>700</v>
      </c>
      <c r="C90" s="907">
        <f t="shared" si="9"/>
        <v>2.3873016008267562E-7</v>
      </c>
      <c r="D90" s="907">
        <f t="shared" si="7"/>
        <v>0.23873016008267561</v>
      </c>
      <c r="E90" s="907">
        <f t="shared" si="6"/>
        <v>7.8370493636501274E-4</v>
      </c>
      <c r="F90" s="255">
        <f t="shared" si="8"/>
        <v>-31.058474177091306</v>
      </c>
      <c r="G90" s="251" t="s">
        <v>770</v>
      </c>
      <c r="H90" s="251"/>
      <c r="I90" s="254">
        <f>(S7*B90)/79.76</f>
        <v>0.83244312884452831</v>
      </c>
      <c r="J90" s="86"/>
      <c r="K90" s="87"/>
      <c r="L90" s="3"/>
      <c r="M90" s="3"/>
      <c r="N90" s="3"/>
      <c r="O90" s="3"/>
      <c r="P90" s="3"/>
      <c r="Q90" s="522"/>
      <c r="R90" s="877"/>
      <c r="S90" s="877"/>
      <c r="T90" s="877"/>
      <c r="U90" s="883"/>
    </row>
    <row r="91" spans="1:21" ht="13">
      <c r="A91" s="907"/>
      <c r="B91" s="907">
        <v>710</v>
      </c>
      <c r="C91" s="907">
        <f t="shared" si="9"/>
        <v>5.981688079160069E-8</v>
      </c>
      <c r="D91" s="907">
        <f t="shared" si="7"/>
        <v>5.9816880791600691E-2</v>
      </c>
      <c r="E91" s="907">
        <f t="shared" si="6"/>
        <v>1.9636724885578006E-4</v>
      </c>
      <c r="F91" s="255">
        <f t="shared" si="8"/>
        <v>-37.069309443865997</v>
      </c>
      <c r="G91" s="251" t="s">
        <v>770</v>
      </c>
      <c r="H91" s="251"/>
      <c r="I91" s="254">
        <f>(S7*B91)/79.76</f>
        <v>0.84433517354230725</v>
      </c>
      <c r="J91" s="86"/>
      <c r="K91" s="87"/>
      <c r="L91" s="3"/>
      <c r="M91" s="3"/>
      <c r="N91" s="3"/>
      <c r="O91" s="3"/>
      <c r="P91" s="3"/>
      <c r="Q91" s="522"/>
      <c r="R91" s="877"/>
      <c r="S91" s="878"/>
      <c r="T91" s="877"/>
      <c r="U91" s="883"/>
    </row>
    <row r="92" spans="1:21" ht="13">
      <c r="A92" s="907"/>
      <c r="B92" s="907">
        <v>720</v>
      </c>
      <c r="C92" s="907">
        <f t="shared" si="9"/>
        <v>4.6326812856943794E-37</v>
      </c>
      <c r="D92" s="907">
        <f t="shared" si="7"/>
        <v>4.6326812856943792E-31</v>
      </c>
      <c r="E92" s="907">
        <f t="shared" si="6"/>
        <v>1.5208196530120668E-33</v>
      </c>
      <c r="F92" s="256">
        <f t="shared" si="8"/>
        <v>-328.17922283873054</v>
      </c>
      <c r="G92" s="251" t="s">
        <v>770</v>
      </c>
      <c r="H92" s="251"/>
      <c r="I92" s="257">
        <f>(S7*B92)/79.76</f>
        <v>0.8562272182400863</v>
      </c>
      <c r="J92" s="260" t="s">
        <v>50</v>
      </c>
      <c r="K92" s="87"/>
      <c r="L92" s="3"/>
      <c r="M92" s="3"/>
      <c r="N92" s="3"/>
      <c r="O92" s="3"/>
      <c r="P92" s="3"/>
      <c r="Q92" s="522"/>
      <c r="R92" s="877"/>
      <c r="S92" s="877"/>
      <c r="T92" s="877"/>
      <c r="U92" s="883"/>
    </row>
    <row r="93" spans="1:21" ht="13">
      <c r="A93" s="907"/>
      <c r="B93" s="907">
        <v>730</v>
      </c>
      <c r="C93" s="907">
        <f t="shared" si="9"/>
        <v>5.6584142629096589E-8</v>
      </c>
      <c r="D93" s="907">
        <f t="shared" si="7"/>
        <v>5.6584142629096591E-2</v>
      </c>
      <c r="E93" s="907">
        <f t="shared" si="6"/>
        <v>1.8575479479864446E-4</v>
      </c>
      <c r="F93" s="255">
        <f t="shared" si="8"/>
        <v>-37.310599671893655</v>
      </c>
      <c r="G93" s="251" t="s">
        <v>770</v>
      </c>
      <c r="H93" s="251"/>
      <c r="I93" s="254">
        <f>(S7*B93)/79.76</f>
        <v>0.86811926293786523</v>
      </c>
      <c r="J93" s="86"/>
      <c r="K93" s="87"/>
      <c r="L93" s="3"/>
      <c r="M93" s="3"/>
      <c r="N93" s="3"/>
      <c r="O93" s="3"/>
      <c r="P93" s="3"/>
      <c r="Q93" s="522"/>
      <c r="R93" s="877"/>
      <c r="S93" s="877"/>
      <c r="T93" s="877"/>
      <c r="U93" s="883"/>
    </row>
    <row r="94" spans="1:21" ht="13">
      <c r="A94" s="907"/>
      <c r="B94" s="907">
        <v>740</v>
      </c>
      <c r="C94" s="907">
        <f t="shared" si="9"/>
        <v>2.1361902564008473E-7</v>
      </c>
      <c r="D94" s="907">
        <f t="shared" si="7"/>
        <v>0.21361902564008473</v>
      </c>
      <c r="E94" s="907">
        <f t="shared" si="6"/>
        <v>7.0126993940623468E-4</v>
      </c>
      <c r="F94" s="255">
        <f t="shared" si="8"/>
        <v>-31.541147771425713</v>
      </c>
      <c r="G94" s="251" t="s">
        <v>770</v>
      </c>
      <c r="H94" s="251"/>
      <c r="I94" s="254">
        <f>(S7*B94)/79.76</f>
        <v>0.88001130763564406</v>
      </c>
      <c r="J94" s="86"/>
      <c r="K94" s="87"/>
      <c r="L94" s="3"/>
      <c r="M94" s="3"/>
      <c r="N94" s="3"/>
      <c r="O94" s="3"/>
      <c r="P94" s="3"/>
      <c r="Q94" s="522"/>
      <c r="R94" s="877"/>
      <c r="S94" s="877"/>
      <c r="T94" s="877"/>
      <c r="U94" s="883"/>
    </row>
    <row r="95" spans="1:21" ht="13">
      <c r="A95" s="907"/>
      <c r="B95" s="907">
        <v>750</v>
      </c>
      <c r="C95" s="907">
        <f t="shared" si="9"/>
        <v>4.4444444444444274E-7</v>
      </c>
      <c r="D95" s="907">
        <f t="shared" si="7"/>
        <v>0.44444444444444275</v>
      </c>
      <c r="E95" s="907">
        <f t="shared" si="6"/>
        <v>1.4590251392219971E-3</v>
      </c>
      <c r="F95" s="255">
        <f t="shared" si="8"/>
        <v>-28.359372250830155</v>
      </c>
      <c r="G95" s="251" t="s">
        <v>770</v>
      </c>
      <c r="H95" s="251"/>
      <c r="I95" s="254">
        <f>(S7*B95)/79.76</f>
        <v>0.89190335233342322</v>
      </c>
      <c r="J95" s="86"/>
      <c r="K95" s="87"/>
      <c r="L95" s="3"/>
      <c r="M95" s="3"/>
      <c r="N95" s="3"/>
      <c r="O95" s="3"/>
      <c r="P95" s="3"/>
      <c r="Q95" s="522"/>
      <c r="R95" s="877"/>
      <c r="S95" s="877"/>
      <c r="T95" s="877"/>
      <c r="U95" s="883"/>
    </row>
    <row r="96" spans="1:21" ht="13">
      <c r="A96" s="907"/>
      <c r="B96" s="907">
        <v>760</v>
      </c>
      <c r="C96" s="907">
        <f t="shared" si="9"/>
        <v>7.1533225617474943E-7</v>
      </c>
      <c r="D96" s="907">
        <f t="shared" si="7"/>
        <v>0.71533225617474938</v>
      </c>
      <c r="E96" s="907">
        <f t="shared" si="6"/>
        <v>2.3482974254745441E-3</v>
      </c>
      <c r="F96" s="255">
        <f t="shared" si="8"/>
        <v>-26.292468980283637</v>
      </c>
      <c r="G96" s="251" t="s">
        <v>770</v>
      </c>
      <c r="H96" s="251"/>
      <c r="I96" s="254">
        <f>(S7*B96)/79.76</f>
        <v>0.90379539703120204</v>
      </c>
      <c r="J96" s="86"/>
      <c r="K96" s="87"/>
      <c r="L96" s="3"/>
      <c r="M96" s="3"/>
      <c r="N96" s="3"/>
      <c r="O96" s="3"/>
      <c r="P96" s="3"/>
      <c r="Q96" s="522"/>
      <c r="R96" s="877"/>
      <c r="S96" s="877"/>
      <c r="T96" s="877"/>
      <c r="U96" s="883"/>
    </row>
    <row r="97" spans="1:21" ht="13">
      <c r="A97" s="907"/>
      <c r="B97" s="907">
        <v>770</v>
      </c>
      <c r="C97" s="907">
        <f t="shared" si="9"/>
        <v>9.8975221594445192E-7</v>
      </c>
      <c r="D97" s="907">
        <f t="shared" si="7"/>
        <v>0.98975221594445195</v>
      </c>
      <c r="E97" s="907">
        <f t="shared" si="6"/>
        <v>3.2491650704931894E-3</v>
      </c>
      <c r="F97" s="255">
        <f t="shared" si="8"/>
        <v>-24.882282242095762</v>
      </c>
      <c r="G97" s="251" t="s">
        <v>770</v>
      </c>
      <c r="H97" s="251"/>
      <c r="I97" s="254">
        <f>(S7*B97)/79.76</f>
        <v>0.91568744172898098</v>
      </c>
      <c r="J97" s="86"/>
      <c r="K97" s="87"/>
      <c r="L97" s="3"/>
      <c r="M97" s="3"/>
      <c r="N97" s="3"/>
      <c r="O97" s="3"/>
      <c r="P97" s="3"/>
      <c r="Q97" s="522"/>
      <c r="R97" s="877"/>
      <c r="S97" s="877"/>
      <c r="T97" s="877"/>
      <c r="U97" s="883"/>
    </row>
    <row r="98" spans="1:21" ht="13">
      <c r="A98" s="907"/>
      <c r="B98" s="907">
        <v>780</v>
      </c>
      <c r="C98" s="907">
        <f t="shared" si="9"/>
        <v>1.2327416173570021E-6</v>
      </c>
      <c r="D98" s="907">
        <f t="shared" si="7"/>
        <v>1.2327416173570021</v>
      </c>
      <c r="E98" s="907">
        <f t="shared" si="6"/>
        <v>4.0468522722503777E-3</v>
      </c>
      <c r="F98" s="255">
        <f t="shared" si="8"/>
        <v>-23.928826489609122</v>
      </c>
      <c r="G98" s="251" t="s">
        <v>770</v>
      </c>
      <c r="H98" s="251"/>
      <c r="I98" s="254">
        <f>(S7*B98)/79.76</f>
        <v>0.92757948642676014</v>
      </c>
      <c r="J98" s="86"/>
      <c r="K98" s="87"/>
      <c r="L98" s="3"/>
      <c r="M98" s="3"/>
      <c r="N98" s="3"/>
      <c r="O98" s="3"/>
      <c r="P98" s="3"/>
      <c r="Q98" s="522"/>
      <c r="R98" s="877"/>
      <c r="S98" s="877"/>
      <c r="T98" s="877"/>
      <c r="U98" s="883"/>
    </row>
    <row r="99" spans="1:21" ht="13">
      <c r="A99" s="907"/>
      <c r="B99" s="907">
        <v>790</v>
      </c>
      <c r="C99" s="907">
        <f t="shared" si="9"/>
        <v>1.4148729715742491E-6</v>
      </c>
      <c r="D99" s="907">
        <f t="shared" si="7"/>
        <v>1.414872971574249</v>
      </c>
      <c r="E99" s="907">
        <f t="shared" si="6"/>
        <v>4.6447542772482765E-3</v>
      </c>
      <c r="F99" s="255">
        <f t="shared" si="8"/>
        <v>-23.330372566666618</v>
      </c>
      <c r="G99" s="251" t="s">
        <v>770</v>
      </c>
      <c r="H99" s="251"/>
      <c r="I99" s="254">
        <f>(S7*B99)/79.76</f>
        <v>0.93947153112453896</v>
      </c>
      <c r="J99" s="86"/>
      <c r="K99" s="87"/>
      <c r="L99" s="3"/>
      <c r="M99" s="3"/>
      <c r="N99" s="3"/>
      <c r="O99" s="3"/>
      <c r="P99" s="3"/>
      <c r="Q99" s="522"/>
      <c r="R99" s="877"/>
      <c r="S99" s="877"/>
      <c r="T99" s="877"/>
      <c r="U99" s="883"/>
    </row>
    <row r="100" spans="1:21" ht="13">
      <c r="A100" s="907"/>
      <c r="B100" s="907">
        <v>800</v>
      </c>
      <c r="C100" s="907">
        <f t="shared" si="9"/>
        <v>1.5153848599889908E-6</v>
      </c>
      <c r="D100" s="907">
        <f t="shared" si="7"/>
        <v>1.5153848599889908</v>
      </c>
      <c r="E100" s="907">
        <f t="shared" si="6"/>
        <v>4.9747153642207926E-3</v>
      </c>
      <c r="F100" s="255">
        <f t="shared" si="8"/>
        <v>-23.032317630156676</v>
      </c>
      <c r="G100" s="251" t="s">
        <v>770</v>
      </c>
      <c r="H100" s="251"/>
      <c r="I100" s="254">
        <f>(S7*B100)/79.76</f>
        <v>0.95136357582231812</v>
      </c>
      <c r="J100" s="86"/>
      <c r="K100" s="87"/>
      <c r="L100" s="3"/>
      <c r="M100" s="3"/>
      <c r="N100" s="3"/>
      <c r="O100" s="3"/>
      <c r="P100" s="3"/>
      <c r="Q100" s="522"/>
      <c r="R100" s="877"/>
      <c r="S100" s="878"/>
      <c r="T100" s="877"/>
      <c r="U100" s="883"/>
    </row>
    <row r="101" spans="1:21" ht="13">
      <c r="A101" s="907"/>
      <c r="B101" s="907">
        <v>810</v>
      </c>
      <c r="C101" s="907">
        <f t="shared" si="9"/>
        <v>1.5241579027587259E-6</v>
      </c>
      <c r="D101" s="907">
        <f t="shared" si="7"/>
        <v>1.5241579027587258</v>
      </c>
      <c r="E101" s="907">
        <f t="shared" si="6"/>
        <v>5.003515566604947E-3</v>
      </c>
      <c r="F101" s="258">
        <f t="shared" si="8"/>
        <v>-23.007247447289512</v>
      </c>
      <c r="G101" s="251" t="s">
        <v>770</v>
      </c>
      <c r="H101" s="251"/>
      <c r="I101" s="259">
        <f>(S7*B101)/79.76</f>
        <v>0.96325562052009694</v>
      </c>
      <c r="J101" s="260" t="s">
        <v>51</v>
      </c>
      <c r="K101" s="261"/>
      <c r="L101" s="3"/>
      <c r="M101" s="3"/>
      <c r="N101" s="3"/>
      <c r="O101" s="3"/>
      <c r="P101" s="3"/>
      <c r="Q101" s="522"/>
      <c r="R101" s="877"/>
      <c r="S101" s="877"/>
      <c r="T101" s="877"/>
      <c r="U101" s="883"/>
    </row>
    <row r="102" spans="1:21" ht="13">
      <c r="A102" s="907"/>
      <c r="B102" s="907">
        <v>820</v>
      </c>
      <c r="C102" s="907">
        <f t="shared" si="9"/>
        <v>1.4423651255100455E-6</v>
      </c>
      <c r="D102" s="907">
        <f t="shared" si="7"/>
        <v>1.4423651255100456</v>
      </c>
      <c r="E102" s="907">
        <f t="shared" si="6"/>
        <v>4.7350057006265754E-3</v>
      </c>
      <c r="F102" s="255">
        <f t="shared" si="8"/>
        <v>-23.246794937992135</v>
      </c>
      <c r="G102" s="251" t="s">
        <v>770</v>
      </c>
      <c r="H102" s="251"/>
      <c r="I102" s="254">
        <f>(S7*B102)/79.76</f>
        <v>0.97514766521787588</v>
      </c>
      <c r="J102" s="86"/>
      <c r="K102" s="87"/>
      <c r="L102" s="3"/>
      <c r="M102" s="3"/>
      <c r="N102" s="3"/>
      <c r="O102" s="3"/>
      <c r="P102" s="3"/>
      <c r="Q102" s="522"/>
      <c r="R102" s="877"/>
      <c r="S102" s="877"/>
      <c r="T102" s="877"/>
      <c r="U102" s="883"/>
    </row>
    <row r="103" spans="1:21" ht="13">
      <c r="A103" s="907"/>
      <c r="B103" s="907">
        <v>830</v>
      </c>
      <c r="C103" s="907">
        <f t="shared" si="9"/>
        <v>1.281785776686732E-6</v>
      </c>
      <c r="D103" s="907">
        <f t="shared" si="7"/>
        <v>1.281785776686732</v>
      </c>
      <c r="E103" s="907">
        <f t="shared" si="6"/>
        <v>4.2078547603870697E-3</v>
      </c>
      <c r="F103" s="255">
        <f t="shared" si="8"/>
        <v>-23.75939258837926</v>
      </c>
      <c r="G103" s="251" t="s">
        <v>770</v>
      </c>
      <c r="H103" s="251"/>
      <c r="I103" s="254">
        <f>(S7*B103)/79.76</f>
        <v>0.98703970991565493</v>
      </c>
      <c r="J103" s="86"/>
      <c r="K103" s="87"/>
      <c r="L103" s="3"/>
      <c r="M103" s="3"/>
      <c r="N103" s="3"/>
      <c r="O103" s="3"/>
      <c r="P103" s="3"/>
      <c r="Q103" s="522"/>
      <c r="R103" s="877"/>
      <c r="S103" s="877"/>
      <c r="T103" s="877"/>
      <c r="U103" s="883"/>
    </row>
    <row r="104" spans="1:21" ht="13">
      <c r="A104" s="907"/>
      <c r="B104" s="907">
        <v>840</v>
      </c>
      <c r="C104" s="907">
        <f t="shared" si="9"/>
        <v>1.0629251700680265E-6</v>
      </c>
      <c r="D104" s="907">
        <f t="shared" si="7"/>
        <v>1.0629251700680264</v>
      </c>
      <c r="E104" s="907">
        <f t="shared" si="6"/>
        <v>3.4893777245424145E-3</v>
      </c>
      <c r="F104" s="255">
        <f t="shared" si="8"/>
        <v>-24.572520157037154</v>
      </c>
      <c r="G104" s="251" t="s">
        <v>770</v>
      </c>
      <c r="H104" s="251"/>
      <c r="I104" s="254">
        <f>(S7*B104)/79.76</f>
        <v>0.99893175461343386</v>
      </c>
      <c r="J104" s="86"/>
      <c r="K104" s="87"/>
      <c r="L104" s="3"/>
      <c r="M104" s="3"/>
      <c r="N104" s="3"/>
      <c r="O104" s="3"/>
      <c r="P104" s="3"/>
      <c r="Q104" s="522"/>
      <c r="R104" s="877"/>
      <c r="S104" s="877"/>
      <c r="T104" s="877"/>
      <c r="U104" s="883"/>
    </row>
    <row r="105" spans="1:21">
      <c r="A105" s="907"/>
      <c r="B105" s="907"/>
      <c r="C105" s="907"/>
      <c r="D105" s="907"/>
      <c r="E105" s="907"/>
      <c r="F105" s="85"/>
      <c r="G105" s="86"/>
      <c r="H105" s="86"/>
      <c r="I105" s="86"/>
      <c r="J105" s="86"/>
      <c r="K105" s="87"/>
      <c r="L105" s="3"/>
      <c r="M105" s="3"/>
      <c r="N105" s="3"/>
      <c r="O105" s="3"/>
      <c r="P105" s="3"/>
      <c r="Q105" s="3"/>
      <c r="R105" s="877"/>
      <c r="S105" s="877"/>
      <c r="T105" s="877"/>
      <c r="U105" s="877"/>
    </row>
    <row r="106" spans="1:21">
      <c r="A106" s="907"/>
      <c r="B106" s="907"/>
      <c r="C106" s="907"/>
      <c r="D106" s="907"/>
      <c r="E106" s="907"/>
      <c r="F106" s="88"/>
      <c r="G106" s="89"/>
      <c r="H106" s="89"/>
      <c r="I106" s="89"/>
      <c r="J106" s="89"/>
      <c r="K106" s="90"/>
      <c r="L106" s="3"/>
      <c r="M106" s="3"/>
      <c r="N106" s="3"/>
      <c r="O106" s="3"/>
      <c r="P106" s="3"/>
      <c r="Q106" s="3"/>
      <c r="R106" s="877"/>
      <c r="S106" s="877"/>
      <c r="T106" s="877"/>
      <c r="U106" s="877"/>
    </row>
    <row r="107" spans="1:21">
      <c r="A107" s="499"/>
      <c r="B107" s="499"/>
      <c r="C107" s="499"/>
      <c r="D107" s="499"/>
      <c r="E107" s="499"/>
      <c r="F107" s="3"/>
      <c r="G107" s="3"/>
      <c r="H107" s="3"/>
      <c r="I107" s="3"/>
      <c r="J107" s="3"/>
      <c r="K107" s="3"/>
      <c r="L107" s="3"/>
      <c r="M107" s="3"/>
      <c r="N107" s="3"/>
      <c r="O107" s="3"/>
      <c r="P107" s="3"/>
      <c r="Q107" s="3"/>
      <c r="R107" s="877"/>
      <c r="S107" s="877"/>
      <c r="T107" s="877"/>
      <c r="U107" s="877"/>
    </row>
    <row r="108" spans="1:21">
      <c r="A108" s="499"/>
      <c r="B108" s="499"/>
      <c r="C108" s="499"/>
      <c r="D108" s="499"/>
      <c r="E108" s="499"/>
      <c r="F108" s="3"/>
      <c r="G108" s="3"/>
      <c r="H108" s="3"/>
      <c r="I108" s="3"/>
      <c r="J108" s="3"/>
      <c r="K108" s="3"/>
      <c r="L108" s="3"/>
      <c r="M108" s="3"/>
      <c r="N108" s="3"/>
      <c r="O108" s="3"/>
      <c r="P108" s="3"/>
      <c r="Q108" s="3"/>
      <c r="R108" s="877"/>
      <c r="S108" s="877"/>
      <c r="T108" s="877"/>
      <c r="U108" s="877"/>
    </row>
    <row r="109" spans="1:21">
      <c r="A109" s="499"/>
      <c r="B109" s="499"/>
      <c r="C109" s="499"/>
      <c r="D109" s="499"/>
      <c r="E109" s="499"/>
      <c r="F109" s="3"/>
      <c r="G109" s="3"/>
      <c r="H109" s="3"/>
      <c r="I109" s="3"/>
      <c r="J109" s="3"/>
      <c r="K109" s="3"/>
      <c r="L109" s="3"/>
      <c r="M109" s="3"/>
      <c r="N109" s="3"/>
      <c r="O109" s="3"/>
      <c r="P109" s="3"/>
      <c r="Q109" s="3"/>
      <c r="R109" s="877"/>
      <c r="S109" s="877"/>
      <c r="T109" s="877"/>
      <c r="U109" s="877"/>
    </row>
    <row r="110" spans="1:21">
      <c r="A110" s="499"/>
      <c r="B110" s="499"/>
      <c r="C110" s="499"/>
      <c r="D110" s="499"/>
      <c r="E110" s="499"/>
      <c r="F110" s="3"/>
      <c r="G110" s="3"/>
      <c r="H110" s="3"/>
      <c r="I110" s="3"/>
      <c r="J110" s="3"/>
      <c r="K110" s="3"/>
      <c r="L110" s="3"/>
      <c r="M110" s="3"/>
      <c r="N110" s="3"/>
      <c r="O110" s="3"/>
      <c r="P110" s="3"/>
      <c r="Q110" s="3"/>
      <c r="R110" s="877"/>
      <c r="S110" s="877"/>
      <c r="T110" s="877"/>
      <c r="U110" s="877"/>
    </row>
    <row r="111" spans="1:21">
      <c r="A111" s="499"/>
      <c r="B111" s="499"/>
      <c r="C111" s="499"/>
      <c r="D111" s="499"/>
      <c r="E111" s="499"/>
      <c r="F111" s="3"/>
      <c r="G111" s="3"/>
      <c r="H111" s="3"/>
      <c r="I111" s="3"/>
      <c r="J111" s="3"/>
      <c r="K111" s="3"/>
      <c r="L111" s="3"/>
      <c r="M111" s="3"/>
      <c r="N111" s="3"/>
      <c r="O111" s="3"/>
      <c r="P111" s="3"/>
      <c r="Q111" s="3"/>
      <c r="R111" s="877"/>
      <c r="S111" s="877"/>
      <c r="T111" s="877"/>
      <c r="U111" s="877"/>
    </row>
    <row r="112" spans="1:21">
      <c r="A112" s="3"/>
      <c r="B112" s="3"/>
      <c r="C112" s="3"/>
      <c r="D112" s="3"/>
      <c r="E112" s="3"/>
      <c r="F112" s="3"/>
      <c r="G112" s="3"/>
      <c r="H112" s="3"/>
      <c r="I112" s="3"/>
      <c r="J112" s="3"/>
      <c r="K112" s="3"/>
      <c r="L112" s="3"/>
      <c r="M112" s="3"/>
      <c r="N112" s="3"/>
      <c r="O112" s="3"/>
      <c r="P112" s="3"/>
      <c r="Q112" s="3"/>
      <c r="R112" s="877"/>
      <c r="S112" s="877"/>
      <c r="T112" s="877"/>
      <c r="U112" s="877"/>
    </row>
    <row r="113" spans="1:21">
      <c r="A113" s="3"/>
      <c r="B113" s="3"/>
      <c r="C113" s="3"/>
      <c r="D113" s="3"/>
      <c r="E113" s="3"/>
      <c r="F113" s="3"/>
      <c r="G113" s="3"/>
      <c r="H113" s="3"/>
      <c r="I113" s="3"/>
      <c r="J113" s="3"/>
      <c r="K113" s="3"/>
      <c r="L113" s="3"/>
      <c r="M113" s="3"/>
      <c r="N113" s="3"/>
      <c r="O113" s="3"/>
      <c r="P113" s="3"/>
      <c r="Q113" s="3"/>
      <c r="R113" s="877"/>
      <c r="S113" s="877"/>
      <c r="T113" s="877"/>
      <c r="U113" s="877"/>
    </row>
    <row r="114" spans="1:21">
      <c r="A114" s="3"/>
      <c r="B114" s="3"/>
      <c r="C114" s="3"/>
      <c r="D114" s="3"/>
      <c r="E114" s="3"/>
      <c r="F114" s="3"/>
      <c r="G114" s="3"/>
      <c r="H114" s="3"/>
      <c r="I114" s="3"/>
      <c r="J114" s="3"/>
      <c r="K114" s="3"/>
      <c r="L114" s="3"/>
      <c r="M114" s="3"/>
      <c r="N114" s="3"/>
      <c r="O114" s="3"/>
      <c r="P114" s="3"/>
      <c r="Q114" s="3"/>
      <c r="R114" s="877"/>
      <c r="S114" s="877"/>
      <c r="T114" s="877"/>
      <c r="U114" s="877"/>
    </row>
    <row r="115" spans="1:21">
      <c r="A115" s="3"/>
      <c r="B115" s="3"/>
      <c r="C115" s="3"/>
      <c r="D115" s="3"/>
      <c r="E115" s="3"/>
      <c r="F115" s="3"/>
      <c r="G115" s="3"/>
      <c r="H115" s="3"/>
      <c r="I115" s="3"/>
      <c r="J115" s="3"/>
      <c r="K115" s="3"/>
      <c r="L115" s="3"/>
      <c r="M115" s="3"/>
      <c r="N115" s="3"/>
      <c r="O115" s="3"/>
      <c r="P115" s="3"/>
      <c r="Q115" s="3"/>
      <c r="R115" s="877"/>
      <c r="S115" s="877"/>
      <c r="T115" s="877"/>
      <c r="U115" s="877"/>
    </row>
    <row r="116" spans="1:21">
      <c r="A116" s="3"/>
      <c r="B116" s="3"/>
      <c r="C116" s="3"/>
      <c r="D116" s="3"/>
      <c r="E116" s="3"/>
      <c r="F116" s="3"/>
      <c r="G116" s="3"/>
      <c r="H116" s="3"/>
      <c r="I116" s="3"/>
      <c r="J116" s="3"/>
      <c r="K116" s="3"/>
      <c r="L116" s="3"/>
      <c r="M116" s="3"/>
      <c r="N116" s="3"/>
      <c r="O116" s="3"/>
      <c r="P116" s="3"/>
      <c r="Q116" s="3"/>
      <c r="R116" s="877"/>
      <c r="S116" s="877"/>
      <c r="T116" s="877"/>
      <c r="U116" s="877"/>
    </row>
    <row r="117" spans="1:21">
      <c r="A117" s="3"/>
      <c r="B117" s="3"/>
      <c r="C117" s="3"/>
      <c r="D117" s="3"/>
      <c r="E117" s="3"/>
      <c r="F117" s="3"/>
      <c r="G117" s="3"/>
      <c r="H117" s="3"/>
      <c r="I117" s="3"/>
      <c r="J117" s="3"/>
      <c r="K117" s="3"/>
      <c r="L117" s="3"/>
      <c r="M117" s="3"/>
      <c r="N117" s="3"/>
      <c r="O117" s="3"/>
      <c r="P117" s="3"/>
      <c r="Q117" s="3"/>
      <c r="R117" s="877"/>
      <c r="S117" s="877"/>
      <c r="T117" s="877"/>
      <c r="U117" s="877"/>
    </row>
    <row r="118" spans="1:21">
      <c r="A118" s="3"/>
      <c r="B118" s="3"/>
      <c r="C118" s="3"/>
      <c r="D118" s="3"/>
      <c r="E118" s="3"/>
      <c r="F118" s="3"/>
      <c r="G118" s="3"/>
      <c r="H118" s="3"/>
      <c r="I118" s="3"/>
      <c r="J118" s="3"/>
      <c r="K118" s="3"/>
      <c r="L118" s="3"/>
      <c r="M118" s="3"/>
      <c r="N118" s="3"/>
      <c r="O118" s="3"/>
      <c r="P118" s="3"/>
      <c r="Q118" s="3"/>
      <c r="R118" s="877"/>
      <c r="S118" s="877"/>
      <c r="T118" s="877"/>
      <c r="U118" s="877"/>
    </row>
    <row r="119" spans="1:21">
      <c r="A119" s="3"/>
      <c r="B119" s="3"/>
      <c r="C119" s="3"/>
      <c r="D119" s="3"/>
      <c r="E119" s="3"/>
      <c r="F119" s="3"/>
      <c r="G119" s="3"/>
      <c r="H119" s="3"/>
      <c r="I119" s="3"/>
      <c r="J119" s="3"/>
      <c r="K119" s="3"/>
      <c r="L119" s="3"/>
      <c r="M119" s="3"/>
      <c r="N119" s="3"/>
      <c r="O119" s="3"/>
      <c r="P119" s="3"/>
      <c r="Q119" s="3"/>
      <c r="R119" s="877"/>
      <c r="S119" s="877"/>
      <c r="T119" s="877"/>
      <c r="U119" s="877"/>
    </row>
    <row r="120" spans="1:21">
      <c r="A120" s="3"/>
      <c r="B120" s="3"/>
      <c r="C120" s="3"/>
      <c r="D120" s="3"/>
      <c r="E120" s="3"/>
      <c r="F120" s="3"/>
      <c r="G120" s="3"/>
      <c r="H120" s="3"/>
      <c r="I120" s="3"/>
      <c r="J120" s="3"/>
      <c r="K120" s="3"/>
      <c r="L120" s="3"/>
      <c r="M120" s="3"/>
      <c r="N120" s="3"/>
      <c r="O120" s="3"/>
      <c r="P120" s="3"/>
      <c r="Q120" s="3"/>
      <c r="R120" s="877"/>
      <c r="S120" s="877"/>
      <c r="T120" s="877"/>
      <c r="U120" s="877"/>
    </row>
    <row r="121" spans="1:21">
      <c r="A121" s="3"/>
      <c r="B121" s="3"/>
      <c r="C121" s="3"/>
      <c r="D121" s="3"/>
      <c r="E121" s="3"/>
      <c r="F121" s="3"/>
      <c r="G121" s="3"/>
      <c r="H121" s="3"/>
      <c r="I121" s="3"/>
      <c r="J121" s="3"/>
      <c r="K121" s="3"/>
      <c r="L121" s="3"/>
      <c r="M121" s="3"/>
      <c r="N121" s="3"/>
      <c r="O121" s="3"/>
      <c r="P121" s="3"/>
      <c r="Q121" s="3"/>
      <c r="R121" s="877"/>
      <c r="S121" s="877"/>
      <c r="T121" s="877"/>
      <c r="U121" s="877"/>
    </row>
    <row r="122" spans="1:21">
      <c r="A122" s="3"/>
      <c r="B122" s="3"/>
      <c r="C122" s="3"/>
      <c r="D122" s="3"/>
      <c r="E122" s="3"/>
      <c r="F122" s="3"/>
      <c r="G122" s="3"/>
      <c r="H122" s="3"/>
      <c r="I122" s="3"/>
      <c r="J122" s="3"/>
      <c r="K122" s="3"/>
      <c r="L122" s="3"/>
      <c r="M122" s="3"/>
      <c r="N122" s="3"/>
      <c r="O122" s="3"/>
      <c r="P122" s="3"/>
      <c r="Q122" s="3"/>
      <c r="R122" s="877"/>
      <c r="S122" s="877"/>
      <c r="T122" s="877"/>
      <c r="U122" s="877"/>
    </row>
    <row r="123" spans="1:21">
      <c r="A123" s="3"/>
      <c r="B123" s="3"/>
      <c r="C123" s="3"/>
      <c r="D123" s="3"/>
      <c r="E123" s="3"/>
      <c r="F123" s="3"/>
      <c r="G123" s="3"/>
      <c r="H123" s="3"/>
      <c r="I123" s="3"/>
      <c r="J123" s="3"/>
      <c r="K123" s="3"/>
      <c r="L123" s="3"/>
      <c r="M123" s="3"/>
      <c r="N123" s="3"/>
      <c r="O123" s="3"/>
      <c r="P123" s="3"/>
      <c r="Q123" s="3"/>
      <c r="R123" s="877"/>
      <c r="S123" s="877"/>
      <c r="T123" s="877"/>
      <c r="U123" s="877"/>
    </row>
    <row r="124" spans="1:21">
      <c r="A124" s="3"/>
      <c r="B124" s="3"/>
      <c r="C124" s="3"/>
      <c r="D124" s="3"/>
      <c r="E124" s="3"/>
      <c r="F124" s="3"/>
      <c r="G124" s="3"/>
      <c r="H124" s="3"/>
      <c r="I124" s="3"/>
      <c r="J124" s="3"/>
      <c r="K124" s="3"/>
      <c r="L124" s="3"/>
      <c r="M124" s="3"/>
      <c r="N124" s="3"/>
      <c r="O124" s="3"/>
      <c r="P124" s="3"/>
      <c r="Q124" s="3"/>
      <c r="R124" s="877"/>
      <c r="S124" s="877"/>
      <c r="T124" s="877"/>
      <c r="U124" s="877"/>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3" zoomScale="150" zoomScaleNormal="150" workbookViewId="0">
      <selection activeCell="H66" sqref="H66"/>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574</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457</v>
      </c>
      <c r="D10" s="3"/>
      <c r="E10" s="3"/>
      <c r="F10" s="3"/>
      <c r="G10" s="555" t="s">
        <v>460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459</v>
      </c>
      <c r="D13" s="3"/>
      <c r="E13" s="3"/>
      <c r="F13" s="3"/>
      <c r="G13" s="555" t="s">
        <v>458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461</v>
      </c>
      <c r="D16" s="3"/>
      <c r="E16" s="3"/>
      <c r="F16" s="3"/>
      <c r="G16" s="3"/>
      <c r="H16" s="3"/>
      <c r="I16" s="3"/>
      <c r="J16" s="3"/>
      <c r="K16" s="3"/>
      <c r="L16" s="3"/>
      <c r="M16" s="3"/>
      <c r="N16" s="3"/>
      <c r="O16" s="3"/>
      <c r="P16" s="3"/>
      <c r="Q16" s="3"/>
      <c r="R16" s="3"/>
      <c r="S16" s="3"/>
    </row>
    <row r="17" spans="1:19">
      <c r="A17" s="3"/>
      <c r="B17" s="3"/>
      <c r="C17" s="3"/>
      <c r="D17" s="3"/>
      <c r="E17" s="3"/>
      <c r="F17" s="3"/>
      <c r="G17" s="555" t="s">
        <v>462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5" t="s">
        <v>463</v>
      </c>
      <c r="H19" s="3"/>
      <c r="I19" s="3"/>
      <c r="J19" s="3"/>
      <c r="K19" s="3"/>
      <c r="L19" s="3"/>
      <c r="M19" s="3"/>
      <c r="N19" s="3"/>
      <c r="O19" s="3"/>
      <c r="P19" s="3"/>
      <c r="Q19" s="3"/>
      <c r="R19" s="3"/>
      <c r="S19" s="3"/>
    </row>
    <row r="20" spans="1:19">
      <c r="A20" s="3"/>
      <c r="B20" s="3"/>
      <c r="C20" s="3"/>
      <c r="D20" s="3"/>
      <c r="E20" s="3"/>
      <c r="F20" s="3"/>
      <c r="G20" s="55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464</v>
      </c>
      <c r="D22" s="3"/>
      <c r="E22" s="3"/>
      <c r="F22" s="3"/>
      <c r="G22" s="555" t="s">
        <v>573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571</v>
      </c>
      <c r="D24" s="3"/>
      <c r="E24" s="3"/>
      <c r="F24" s="3"/>
      <c r="G24" s="555" t="s">
        <v>572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465</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4" t="s">
        <v>485</v>
      </c>
      <c r="C31" s="531"/>
      <c r="D31" s="531"/>
      <c r="E31" s="531"/>
      <c r="F31" s="531"/>
      <c r="G31" s="531"/>
      <c r="H31" s="531"/>
      <c r="I31" s="531"/>
      <c r="J31" s="531"/>
      <c r="K31" s="531"/>
      <c r="L31" s="531"/>
      <c r="M31" s="532"/>
      <c r="N31" s="3"/>
      <c r="O31" s="3"/>
      <c r="P31" s="3"/>
      <c r="Q31" s="3"/>
      <c r="R31" s="3"/>
      <c r="S31" s="3"/>
    </row>
    <row r="32" spans="1:19">
      <c r="A32" s="3"/>
      <c r="B32" s="533"/>
      <c r="C32" s="141" t="s">
        <v>201</v>
      </c>
      <c r="D32" s="141"/>
      <c r="E32" s="141"/>
      <c r="F32" s="141"/>
      <c r="G32" s="141"/>
      <c r="H32" s="141"/>
      <c r="I32" s="141"/>
      <c r="J32" s="141"/>
      <c r="K32" s="141"/>
      <c r="L32" s="141"/>
      <c r="M32" s="143"/>
      <c r="N32" s="3"/>
      <c r="O32" s="3"/>
      <c r="P32" s="3"/>
      <c r="Q32" s="3"/>
      <c r="R32" s="3"/>
      <c r="S32" s="3"/>
    </row>
    <row r="33" spans="1:19">
      <c r="A33" s="3"/>
      <c r="B33" s="533"/>
      <c r="C33" s="141" t="s">
        <v>475</v>
      </c>
      <c r="D33" s="141"/>
      <c r="E33" s="141"/>
      <c r="F33" s="141"/>
      <c r="G33" s="141"/>
      <c r="H33" s="141"/>
      <c r="I33" s="141"/>
      <c r="J33" s="141"/>
      <c r="K33" s="141"/>
      <c r="L33" s="141"/>
      <c r="M33" s="143"/>
      <c r="N33" s="3"/>
      <c r="O33" s="3"/>
      <c r="P33" s="3"/>
      <c r="Q33" s="3"/>
      <c r="R33" s="3"/>
      <c r="S33" s="3"/>
    </row>
    <row r="34" spans="1:19" ht="13" thickBot="1">
      <c r="A34" s="3"/>
      <c r="B34" s="534"/>
      <c r="C34" s="146" t="s">
        <v>544</v>
      </c>
      <c r="D34" s="146"/>
      <c r="E34" s="146"/>
      <c r="F34" s="146"/>
      <c r="G34" s="146"/>
      <c r="H34" s="146"/>
      <c r="I34" s="146"/>
      <c r="J34" s="146"/>
      <c r="K34" s="146"/>
      <c r="L34" s="146"/>
      <c r="M34" s="150"/>
      <c r="N34" s="3"/>
      <c r="O34" s="3"/>
      <c r="P34" s="3"/>
      <c r="Q34" s="3"/>
      <c r="R34" s="3"/>
      <c r="S34" s="3"/>
    </row>
    <row r="35" spans="1:19" ht="13">
      <c r="A35" s="3"/>
      <c r="B35" s="549" t="s">
        <v>472</v>
      </c>
      <c r="C35" s="550" t="s">
        <v>471</v>
      </c>
      <c r="D35" s="551"/>
      <c r="E35" s="552" t="s">
        <v>466</v>
      </c>
      <c r="F35" s="551"/>
      <c r="G35" s="551"/>
      <c r="H35" s="550" t="s">
        <v>467</v>
      </c>
      <c r="I35" s="553"/>
      <c r="J35" s="309"/>
      <c r="K35" s="297"/>
      <c r="L35" s="297"/>
      <c r="M35" s="311"/>
      <c r="N35" s="3"/>
      <c r="O35" s="3"/>
      <c r="P35" s="3"/>
      <c r="Q35" s="3"/>
      <c r="R35" s="3"/>
      <c r="S35" s="3"/>
    </row>
    <row r="36" spans="1:19">
      <c r="A36" s="3"/>
      <c r="B36" s="543">
        <v>1</v>
      </c>
      <c r="C36" s="535">
        <v>10</v>
      </c>
      <c r="D36" s="535" t="s">
        <v>767</v>
      </c>
      <c r="E36" s="537">
        <v>12</v>
      </c>
      <c r="F36" s="535" t="s">
        <v>468</v>
      </c>
      <c r="G36" s="535"/>
      <c r="H36" s="538">
        <f>E36/100</f>
        <v>0.12</v>
      </c>
      <c r="I36" s="536" t="s">
        <v>470</v>
      </c>
      <c r="J36" s="309"/>
      <c r="K36" s="297" t="s">
        <v>728</v>
      </c>
      <c r="L36" s="297"/>
      <c r="M36" s="311"/>
      <c r="N36" s="3"/>
      <c r="O36" s="3"/>
      <c r="P36" s="3"/>
      <c r="Q36" s="3"/>
      <c r="R36" s="3"/>
      <c r="S36" s="3"/>
    </row>
    <row r="37" spans="1:19">
      <c r="A37" s="3"/>
      <c r="B37" s="543">
        <v>2</v>
      </c>
      <c r="C37" s="545">
        <v>30</v>
      </c>
      <c r="D37" s="545" t="s">
        <v>767</v>
      </c>
      <c r="E37" s="537">
        <v>17</v>
      </c>
      <c r="F37" s="535" t="s">
        <v>468</v>
      </c>
      <c r="G37" s="535" t="s">
        <v>728</v>
      </c>
      <c r="H37" s="538">
        <f t="shared" ref="H37:H47" si="0">E37/100</f>
        <v>0.17</v>
      </c>
      <c r="I37" s="536" t="s">
        <v>470</v>
      </c>
      <c r="J37" s="309"/>
      <c r="K37" s="297" t="s">
        <v>472</v>
      </c>
      <c r="L37" s="264">
        <v>8</v>
      </c>
      <c r="M37" s="311"/>
      <c r="N37" s="3"/>
      <c r="O37" s="3"/>
      <c r="P37" s="3"/>
      <c r="Q37" s="3"/>
      <c r="R37" s="3"/>
      <c r="S37" s="3"/>
    </row>
    <row r="38" spans="1:19">
      <c r="A38" s="3"/>
      <c r="B38" s="543">
        <v>3</v>
      </c>
      <c r="C38" s="535">
        <v>50</v>
      </c>
      <c r="D38" s="535" t="s">
        <v>767</v>
      </c>
      <c r="E38" s="537" t="s">
        <v>469</v>
      </c>
      <c r="F38" s="535" t="s">
        <v>468</v>
      </c>
      <c r="G38" s="535"/>
      <c r="H38" s="538" t="s">
        <v>469</v>
      </c>
      <c r="I38" s="536" t="s">
        <v>470</v>
      </c>
      <c r="J38" s="309"/>
      <c r="K38" s="297"/>
      <c r="L38" s="297"/>
      <c r="M38" s="311"/>
      <c r="N38" s="3"/>
      <c r="O38" s="3"/>
      <c r="P38" s="3"/>
      <c r="Q38" s="3"/>
      <c r="R38" s="3"/>
      <c r="S38" s="3"/>
    </row>
    <row r="39" spans="1:19">
      <c r="A39" s="3"/>
      <c r="B39" s="543">
        <v>4</v>
      </c>
      <c r="C39" s="535">
        <v>100</v>
      </c>
      <c r="D39" s="535" t="s">
        <v>767</v>
      </c>
      <c r="E39" s="537">
        <v>28</v>
      </c>
      <c r="F39" s="535" t="s">
        <v>468</v>
      </c>
      <c r="G39" s="535"/>
      <c r="H39" s="538">
        <f t="shared" si="0"/>
        <v>0.28000000000000003</v>
      </c>
      <c r="I39" s="536" t="s">
        <v>470</v>
      </c>
      <c r="J39" s="309"/>
      <c r="K39" s="297" t="s">
        <v>766</v>
      </c>
      <c r="L39" s="546">
        <f>INDEX(C36:C48,L37,1)</f>
        <v>435</v>
      </c>
      <c r="M39" s="311"/>
      <c r="N39" s="3"/>
      <c r="O39" s="3"/>
      <c r="P39" s="3"/>
      <c r="Q39" s="3"/>
      <c r="R39" s="3"/>
      <c r="S39" s="3"/>
    </row>
    <row r="40" spans="1:19">
      <c r="A40" s="3"/>
      <c r="B40" s="543">
        <v>5</v>
      </c>
      <c r="C40" s="545">
        <v>145</v>
      </c>
      <c r="D40" s="545" t="s">
        <v>767</v>
      </c>
      <c r="E40" s="537">
        <v>32</v>
      </c>
      <c r="F40" s="535" t="s">
        <v>468</v>
      </c>
      <c r="G40" s="535"/>
      <c r="H40" s="538">
        <f t="shared" si="0"/>
        <v>0.32</v>
      </c>
      <c r="I40" s="536" t="s">
        <v>470</v>
      </c>
      <c r="J40" s="309"/>
      <c r="K40" s="297"/>
      <c r="L40" s="297"/>
      <c r="M40" s="311"/>
      <c r="N40" s="3"/>
      <c r="O40" s="3"/>
      <c r="P40" s="3"/>
      <c r="Q40" s="3"/>
      <c r="R40" s="3"/>
      <c r="S40" s="3"/>
    </row>
    <row r="41" spans="1:19">
      <c r="A41" s="3"/>
      <c r="B41" s="543">
        <v>6</v>
      </c>
      <c r="C41" s="535">
        <v>200</v>
      </c>
      <c r="D41" s="535" t="s">
        <v>767</v>
      </c>
      <c r="E41" s="537">
        <v>40</v>
      </c>
      <c r="F41" s="535" t="s">
        <v>468</v>
      </c>
      <c r="G41" s="535" t="s">
        <v>728</v>
      </c>
      <c r="H41" s="538">
        <f t="shared" si="0"/>
        <v>0.4</v>
      </c>
      <c r="I41" s="536" t="s">
        <v>470</v>
      </c>
      <c r="J41" s="309"/>
      <c r="K41" s="297" t="s">
        <v>473</v>
      </c>
      <c r="L41" s="547">
        <v>0.25</v>
      </c>
      <c r="M41" s="311"/>
      <c r="N41" s="3"/>
      <c r="O41" s="3"/>
      <c r="P41" s="3"/>
      <c r="Q41" s="3"/>
      <c r="R41" s="3"/>
      <c r="S41" s="3"/>
    </row>
    <row r="42" spans="1:19">
      <c r="A42" s="3"/>
      <c r="B42" s="543">
        <v>7</v>
      </c>
      <c r="C42" s="535">
        <v>400</v>
      </c>
      <c r="D42" s="535" t="s">
        <v>767</v>
      </c>
      <c r="E42" s="537" t="s">
        <v>469</v>
      </c>
      <c r="F42" s="535" t="s">
        <v>468</v>
      </c>
      <c r="G42" s="535"/>
      <c r="H42" s="538" t="s">
        <v>469</v>
      </c>
      <c r="I42" s="536" t="s">
        <v>470</v>
      </c>
      <c r="J42" s="309"/>
      <c r="K42" s="297"/>
      <c r="L42" s="297"/>
      <c r="M42" s="311"/>
      <c r="N42" s="3"/>
      <c r="O42" s="3"/>
      <c r="P42" s="3"/>
      <c r="Q42" s="3"/>
      <c r="R42" s="3"/>
      <c r="S42" s="3"/>
    </row>
    <row r="43" spans="1:19">
      <c r="A43" s="3"/>
      <c r="B43" s="543">
        <v>8</v>
      </c>
      <c r="C43" s="545">
        <v>435</v>
      </c>
      <c r="D43" s="545" t="s">
        <v>767</v>
      </c>
      <c r="E43" s="537">
        <v>58</v>
      </c>
      <c r="F43" s="535" t="s">
        <v>468</v>
      </c>
      <c r="G43" s="535"/>
      <c r="H43" s="538">
        <f t="shared" si="0"/>
        <v>0.57999999999999996</v>
      </c>
      <c r="I43" s="536" t="s">
        <v>470</v>
      </c>
      <c r="J43" s="309"/>
      <c r="K43" s="297" t="s">
        <v>474</v>
      </c>
      <c r="L43" s="548">
        <f>(INDEX(H36:H48,L37,1))*L41</f>
        <v>0.14499999999999999</v>
      </c>
      <c r="M43" s="311"/>
      <c r="N43" s="3"/>
      <c r="O43" s="3"/>
      <c r="P43" s="3"/>
      <c r="Q43" s="3"/>
      <c r="R43" s="3"/>
      <c r="S43" s="3"/>
    </row>
    <row r="44" spans="1:19">
      <c r="A44" s="3"/>
      <c r="B44" s="543">
        <v>9</v>
      </c>
      <c r="C44" s="535">
        <v>500</v>
      </c>
      <c r="D44" s="535" t="s">
        <v>767</v>
      </c>
      <c r="E44" s="537">
        <v>68</v>
      </c>
      <c r="F44" s="535" t="s">
        <v>468</v>
      </c>
      <c r="G44" s="535"/>
      <c r="H44" s="538">
        <f t="shared" si="0"/>
        <v>0.68</v>
      </c>
      <c r="I44" s="536" t="s">
        <v>470</v>
      </c>
      <c r="J44" s="309"/>
      <c r="K44" s="297"/>
      <c r="L44" s="297"/>
      <c r="M44" s="311"/>
      <c r="N44" s="3"/>
      <c r="O44" s="3"/>
      <c r="P44" s="3"/>
      <c r="Q44" s="3"/>
      <c r="R44" s="3"/>
      <c r="S44" s="3"/>
    </row>
    <row r="45" spans="1:19">
      <c r="A45" s="3"/>
      <c r="B45" s="543">
        <v>10</v>
      </c>
      <c r="C45" s="545">
        <v>1270</v>
      </c>
      <c r="D45" s="545" t="s">
        <v>767</v>
      </c>
      <c r="E45" s="537">
        <v>113</v>
      </c>
      <c r="F45" s="535" t="s">
        <v>468</v>
      </c>
      <c r="G45" s="535"/>
      <c r="H45" s="538">
        <f t="shared" si="0"/>
        <v>1.1299999999999999</v>
      </c>
      <c r="I45" s="536" t="s">
        <v>470</v>
      </c>
      <c r="J45" s="309"/>
      <c r="K45" s="297"/>
      <c r="L45" s="297"/>
      <c r="M45" s="311"/>
      <c r="N45" s="3"/>
      <c r="O45" s="3"/>
      <c r="P45" s="3"/>
      <c r="Q45" s="3"/>
      <c r="R45" s="3"/>
      <c r="S45" s="3"/>
    </row>
    <row r="46" spans="1:19">
      <c r="A46" s="3"/>
      <c r="B46" s="543">
        <v>11</v>
      </c>
      <c r="C46" s="545">
        <v>2400</v>
      </c>
      <c r="D46" s="545" t="s">
        <v>767</v>
      </c>
      <c r="E46" s="537">
        <v>165</v>
      </c>
      <c r="F46" s="535" t="s">
        <v>468</v>
      </c>
      <c r="G46" s="535"/>
      <c r="H46" s="538">
        <f t="shared" si="0"/>
        <v>1.65</v>
      </c>
      <c r="I46" s="536" t="s">
        <v>470</v>
      </c>
      <c r="J46" s="309"/>
      <c r="K46" s="297"/>
      <c r="L46" s="349" t="s">
        <v>140</v>
      </c>
      <c r="M46" s="311"/>
      <c r="N46" s="3"/>
      <c r="O46" s="3"/>
      <c r="P46" s="3"/>
      <c r="Q46" s="3"/>
      <c r="R46" s="3"/>
      <c r="S46" s="3"/>
    </row>
    <row r="47" spans="1:19">
      <c r="A47" s="3"/>
      <c r="B47" s="543">
        <v>12</v>
      </c>
      <c r="C47" s="535">
        <v>3300</v>
      </c>
      <c r="D47" s="535" t="s">
        <v>767</v>
      </c>
      <c r="E47" s="537">
        <v>268</v>
      </c>
      <c r="F47" s="535" t="s">
        <v>468</v>
      </c>
      <c r="G47" s="535"/>
      <c r="H47" s="538">
        <f t="shared" si="0"/>
        <v>2.68</v>
      </c>
      <c r="I47" s="536" t="s">
        <v>470</v>
      </c>
      <c r="J47" s="309"/>
      <c r="K47" s="297"/>
      <c r="L47" s="297"/>
      <c r="M47" s="311"/>
      <c r="N47" s="3"/>
      <c r="O47" s="3"/>
      <c r="P47" s="3"/>
      <c r="Q47" s="3"/>
      <c r="R47" s="3"/>
      <c r="S47" s="3"/>
    </row>
    <row r="48" spans="1:19" ht="13" thickBot="1">
      <c r="A48" s="3"/>
      <c r="B48" s="544">
        <v>13</v>
      </c>
      <c r="C48" s="539">
        <v>5000</v>
      </c>
      <c r="D48" s="539" t="s">
        <v>767</v>
      </c>
      <c r="E48" s="540" t="s">
        <v>469</v>
      </c>
      <c r="F48" s="539" t="s">
        <v>468</v>
      </c>
      <c r="G48" s="539"/>
      <c r="H48" s="541" t="s">
        <v>469</v>
      </c>
      <c r="I48" s="542" t="s">
        <v>470</v>
      </c>
      <c r="J48" s="312" t="s">
        <v>547</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4" t="s">
        <v>548</v>
      </c>
      <c r="C52" s="531"/>
      <c r="D52" s="531"/>
      <c r="E52" s="531"/>
      <c r="F52" s="531"/>
      <c r="G52" s="531"/>
      <c r="H52" s="531"/>
      <c r="I52" s="531"/>
      <c r="J52" s="531"/>
      <c r="K52" s="531"/>
      <c r="L52" s="531"/>
      <c r="M52" s="532"/>
      <c r="N52" s="3"/>
      <c r="O52" s="3"/>
      <c r="P52" s="3"/>
      <c r="Q52" s="3"/>
      <c r="R52" s="3"/>
      <c r="S52" s="3"/>
    </row>
    <row r="53" spans="1:19">
      <c r="A53" s="3"/>
      <c r="B53" s="533"/>
      <c r="C53" s="141" t="s">
        <v>488</v>
      </c>
      <c r="D53" s="141"/>
      <c r="E53" s="141"/>
      <c r="F53" s="141"/>
      <c r="G53" s="141"/>
      <c r="H53" s="141"/>
      <c r="I53" s="141"/>
      <c r="J53" s="141"/>
      <c r="K53" s="141"/>
      <c r="L53" s="141"/>
      <c r="M53" s="143"/>
      <c r="N53" s="3"/>
      <c r="O53" s="3"/>
      <c r="P53" s="3"/>
      <c r="Q53" s="3"/>
      <c r="R53" s="3"/>
      <c r="S53" s="3"/>
    </row>
    <row r="54" spans="1:19">
      <c r="A54" s="3"/>
      <c r="B54" s="533"/>
      <c r="C54" s="141" t="s">
        <v>542</v>
      </c>
      <c r="D54" s="141"/>
      <c r="E54" s="141"/>
      <c r="F54" s="141"/>
      <c r="G54" s="141"/>
      <c r="H54" s="141"/>
      <c r="I54" s="141"/>
      <c r="J54" s="141"/>
      <c r="K54" s="141"/>
      <c r="L54" s="141"/>
      <c r="M54" s="143"/>
      <c r="N54" s="3"/>
      <c r="O54" s="3"/>
      <c r="P54" s="3"/>
      <c r="Q54" s="3"/>
      <c r="R54" s="3"/>
      <c r="S54" s="3"/>
    </row>
    <row r="55" spans="1:19" ht="13" thickBot="1">
      <c r="A55" s="3"/>
      <c r="B55" s="534"/>
      <c r="C55" s="146" t="s">
        <v>545</v>
      </c>
      <c r="D55" s="146"/>
      <c r="E55" s="146"/>
      <c r="F55" s="146"/>
      <c r="G55" s="146"/>
      <c r="H55" s="146"/>
      <c r="I55" s="146"/>
      <c r="J55" s="146"/>
      <c r="K55" s="146"/>
      <c r="L55" s="146"/>
      <c r="M55" s="150"/>
      <c r="N55" s="3"/>
      <c r="O55" s="3"/>
      <c r="P55" s="3"/>
      <c r="Q55" s="3"/>
      <c r="R55" s="3"/>
      <c r="S55" s="3"/>
    </row>
    <row r="56" spans="1:19" ht="13">
      <c r="A56" s="3"/>
      <c r="B56" s="549" t="s">
        <v>472</v>
      </c>
      <c r="C56" s="550" t="s">
        <v>471</v>
      </c>
      <c r="D56" s="551"/>
      <c r="E56" s="552" t="s">
        <v>466</v>
      </c>
      <c r="F56" s="551"/>
      <c r="G56" s="551"/>
      <c r="H56" s="550" t="s">
        <v>467</v>
      </c>
      <c r="I56" s="553"/>
      <c r="J56" s="309"/>
      <c r="K56" s="297"/>
      <c r="L56" s="297"/>
      <c r="M56" s="311"/>
      <c r="N56" s="3"/>
      <c r="O56" s="3"/>
      <c r="P56" s="3"/>
      <c r="Q56" s="3"/>
      <c r="R56" s="3"/>
      <c r="S56" s="3"/>
    </row>
    <row r="57" spans="1:19">
      <c r="A57" s="3"/>
      <c r="B57" s="543">
        <v>1</v>
      </c>
      <c r="C57" s="535">
        <v>10</v>
      </c>
      <c r="D57" s="535" t="s">
        <v>767</v>
      </c>
      <c r="E57" s="537">
        <v>7</v>
      </c>
      <c r="F57" s="535" t="s">
        <v>468</v>
      </c>
      <c r="G57" s="535"/>
      <c r="H57" s="538">
        <f>E57/100</f>
        <v>7.0000000000000007E-2</v>
      </c>
      <c r="I57" s="536" t="s">
        <v>470</v>
      </c>
      <c r="J57" s="309"/>
      <c r="K57" s="297" t="s">
        <v>728</v>
      </c>
      <c r="L57" s="297"/>
      <c r="M57" s="311"/>
      <c r="N57" s="3"/>
      <c r="O57" s="3"/>
      <c r="P57" s="3"/>
      <c r="Q57" s="3"/>
      <c r="R57" s="3"/>
      <c r="S57" s="3"/>
    </row>
    <row r="58" spans="1:19">
      <c r="A58" s="3"/>
      <c r="B58" s="543">
        <v>2</v>
      </c>
      <c r="C58" s="545">
        <v>30</v>
      </c>
      <c r="D58" s="545" t="s">
        <v>767</v>
      </c>
      <c r="E58" s="537">
        <v>9</v>
      </c>
      <c r="F58" s="535" t="s">
        <v>468</v>
      </c>
      <c r="G58" s="535" t="s">
        <v>728</v>
      </c>
      <c r="H58" s="538">
        <f>E58/100</f>
        <v>0.09</v>
      </c>
      <c r="I58" s="536" t="s">
        <v>470</v>
      </c>
      <c r="J58" s="309"/>
      <c r="K58" s="297" t="s">
        <v>472</v>
      </c>
      <c r="L58" s="264">
        <v>10</v>
      </c>
      <c r="M58" s="311"/>
      <c r="N58" s="3"/>
      <c r="O58" s="3"/>
      <c r="P58" s="3"/>
      <c r="Q58" s="3"/>
      <c r="R58" s="3"/>
      <c r="S58" s="3"/>
    </row>
    <row r="59" spans="1:19">
      <c r="A59" s="3"/>
      <c r="B59" s="543">
        <v>3</v>
      </c>
      <c r="C59" s="535">
        <v>50</v>
      </c>
      <c r="D59" s="535" t="s">
        <v>767</v>
      </c>
      <c r="E59" s="537" t="s">
        <v>469</v>
      </c>
      <c r="F59" s="535" t="s">
        <v>468</v>
      </c>
      <c r="G59" s="535"/>
      <c r="H59" s="538" t="s">
        <v>469</v>
      </c>
      <c r="I59" s="536" t="s">
        <v>470</v>
      </c>
      <c r="J59" s="309"/>
      <c r="K59" s="297"/>
      <c r="L59" s="297"/>
      <c r="M59" s="311"/>
      <c r="N59" s="3"/>
      <c r="O59" s="3"/>
      <c r="P59" s="3"/>
      <c r="Q59" s="3"/>
      <c r="R59" s="3"/>
      <c r="S59" s="3"/>
    </row>
    <row r="60" spans="1:19">
      <c r="A60" s="3"/>
      <c r="B60" s="543">
        <v>4</v>
      </c>
      <c r="C60" s="535">
        <v>100</v>
      </c>
      <c r="D60" s="535" t="s">
        <v>767</v>
      </c>
      <c r="E60" s="537">
        <v>14</v>
      </c>
      <c r="F60" s="535" t="s">
        <v>468</v>
      </c>
      <c r="G60" s="535"/>
      <c r="H60" s="538">
        <f t="shared" ref="H60:H69" si="1">E60/100</f>
        <v>0.14000000000000001</v>
      </c>
      <c r="I60" s="536" t="s">
        <v>470</v>
      </c>
      <c r="J60" s="309"/>
      <c r="K60" s="297" t="s">
        <v>766</v>
      </c>
      <c r="L60" s="546">
        <f>INDEX(C57:C69,L58,1)</f>
        <v>1270</v>
      </c>
      <c r="M60" s="311"/>
      <c r="N60" s="3"/>
      <c r="O60" s="3"/>
      <c r="P60" s="3"/>
      <c r="Q60" s="3"/>
      <c r="R60" s="3"/>
      <c r="S60" s="3"/>
    </row>
    <row r="61" spans="1:19">
      <c r="A61" s="3"/>
      <c r="B61" s="543">
        <v>5</v>
      </c>
      <c r="C61" s="545">
        <v>145</v>
      </c>
      <c r="D61" s="545" t="s">
        <v>767</v>
      </c>
      <c r="E61" s="537">
        <v>15</v>
      </c>
      <c r="F61" s="535" t="s">
        <v>468</v>
      </c>
      <c r="G61" s="535"/>
      <c r="H61" s="538">
        <f t="shared" si="1"/>
        <v>0.15</v>
      </c>
      <c r="I61" s="536" t="s">
        <v>470</v>
      </c>
      <c r="J61" s="309"/>
      <c r="K61" s="297"/>
      <c r="L61" s="297"/>
      <c r="M61" s="311"/>
      <c r="N61" s="3"/>
      <c r="O61" s="3"/>
      <c r="P61" s="3"/>
      <c r="Q61" s="3"/>
      <c r="R61" s="3"/>
      <c r="S61" s="3"/>
    </row>
    <row r="62" spans="1:19">
      <c r="A62" s="3"/>
      <c r="B62" s="543">
        <v>6</v>
      </c>
      <c r="C62" s="535">
        <v>200</v>
      </c>
      <c r="D62" s="535" t="s">
        <v>767</v>
      </c>
      <c r="E62" s="537">
        <v>20</v>
      </c>
      <c r="F62" s="535" t="s">
        <v>468</v>
      </c>
      <c r="G62" s="535" t="s">
        <v>728</v>
      </c>
      <c r="H62" s="538">
        <f t="shared" si="1"/>
        <v>0.2</v>
      </c>
      <c r="I62" s="536" t="s">
        <v>470</v>
      </c>
      <c r="J62" s="309"/>
      <c r="K62" s="297" t="s">
        <v>473</v>
      </c>
      <c r="L62" s="547">
        <v>0.75</v>
      </c>
      <c r="M62" s="311"/>
      <c r="N62" s="3"/>
      <c r="O62" s="3"/>
      <c r="P62" s="3"/>
      <c r="Q62" s="3"/>
      <c r="R62" s="3"/>
      <c r="S62" s="3"/>
    </row>
    <row r="63" spans="1:19">
      <c r="A63" s="3"/>
      <c r="B63" s="543">
        <v>7</v>
      </c>
      <c r="C63" s="535">
        <v>400</v>
      </c>
      <c r="D63" s="535" t="s">
        <v>767</v>
      </c>
      <c r="E63" s="537">
        <v>28</v>
      </c>
      <c r="F63" s="535" t="s">
        <v>468</v>
      </c>
      <c r="G63" s="535"/>
      <c r="H63" s="538">
        <f t="shared" si="1"/>
        <v>0.28000000000000003</v>
      </c>
      <c r="I63" s="536" t="s">
        <v>470</v>
      </c>
      <c r="J63" s="309"/>
      <c r="K63" s="297"/>
      <c r="L63" s="297"/>
      <c r="M63" s="311"/>
      <c r="N63" s="3"/>
      <c r="O63" s="3"/>
      <c r="P63" s="3"/>
      <c r="Q63" s="3"/>
      <c r="R63" s="3"/>
      <c r="S63" s="3"/>
    </row>
    <row r="64" spans="1:19">
      <c r="A64" s="3"/>
      <c r="B64" s="543">
        <v>8</v>
      </c>
      <c r="C64" s="545">
        <v>435</v>
      </c>
      <c r="D64" s="545" t="s">
        <v>767</v>
      </c>
      <c r="E64" s="537">
        <v>30</v>
      </c>
      <c r="F64" s="535" t="s">
        <v>468</v>
      </c>
      <c r="G64" s="535"/>
      <c r="H64" s="538">
        <f t="shared" si="1"/>
        <v>0.3</v>
      </c>
      <c r="I64" s="536" t="s">
        <v>470</v>
      </c>
      <c r="J64" s="309"/>
      <c r="K64" s="297" t="s">
        <v>474</v>
      </c>
      <c r="L64" s="548">
        <f>(INDEX(H57:H69,L58,1))*L62</f>
        <v>0.36749999999999999</v>
      </c>
      <c r="M64" s="311"/>
      <c r="N64" s="3"/>
      <c r="O64" s="3"/>
      <c r="P64" s="3"/>
      <c r="Q64" s="3"/>
      <c r="R64" s="3"/>
      <c r="S64" s="3"/>
    </row>
    <row r="65" spans="1:19">
      <c r="A65" s="3"/>
      <c r="B65" s="543">
        <v>9</v>
      </c>
      <c r="C65" s="535">
        <v>500</v>
      </c>
      <c r="D65" s="535" t="s">
        <v>767</v>
      </c>
      <c r="E65" s="537">
        <v>35</v>
      </c>
      <c r="F65" s="535" t="s">
        <v>468</v>
      </c>
      <c r="G65" s="535"/>
      <c r="H65" s="538">
        <f t="shared" si="1"/>
        <v>0.35</v>
      </c>
      <c r="I65" s="536" t="s">
        <v>470</v>
      </c>
      <c r="J65" s="309"/>
      <c r="K65" s="297"/>
      <c r="L65" s="297"/>
      <c r="M65" s="311"/>
      <c r="N65" s="3"/>
      <c r="O65" s="3"/>
      <c r="P65" s="3"/>
      <c r="Q65" s="3"/>
      <c r="R65" s="3"/>
      <c r="S65" s="3"/>
    </row>
    <row r="66" spans="1:19">
      <c r="A66" s="3"/>
      <c r="B66" s="543">
        <v>10</v>
      </c>
      <c r="C66" s="545">
        <v>1270</v>
      </c>
      <c r="D66" s="545" t="s">
        <v>767</v>
      </c>
      <c r="E66" s="537">
        <v>49</v>
      </c>
      <c r="F66" s="535" t="s">
        <v>468</v>
      </c>
      <c r="G66" s="535"/>
      <c r="H66" s="538">
        <f t="shared" si="1"/>
        <v>0.49</v>
      </c>
      <c r="I66" s="536" t="s">
        <v>470</v>
      </c>
      <c r="J66" s="309"/>
      <c r="K66" s="297"/>
      <c r="L66" s="297"/>
      <c r="M66" s="311"/>
      <c r="N66" s="3"/>
      <c r="O66" s="3"/>
      <c r="P66" s="3"/>
      <c r="Q66" s="3"/>
      <c r="R66" s="3"/>
      <c r="S66" s="3"/>
    </row>
    <row r="67" spans="1:19">
      <c r="A67" s="3"/>
      <c r="B67" s="543">
        <v>11</v>
      </c>
      <c r="C67" s="545">
        <v>2400</v>
      </c>
      <c r="D67" s="545" t="s">
        <v>767</v>
      </c>
      <c r="E67" s="537">
        <v>72</v>
      </c>
      <c r="F67" s="535" t="s">
        <v>468</v>
      </c>
      <c r="G67" s="535"/>
      <c r="H67" s="538">
        <f t="shared" si="1"/>
        <v>0.72</v>
      </c>
      <c r="I67" s="536" t="s">
        <v>470</v>
      </c>
      <c r="J67" s="309"/>
      <c r="K67" s="297"/>
      <c r="L67" s="349" t="s">
        <v>140</v>
      </c>
      <c r="M67" s="311"/>
      <c r="N67" s="3"/>
      <c r="O67" s="3"/>
      <c r="P67" s="3"/>
      <c r="Q67" s="3"/>
      <c r="R67" s="3"/>
      <c r="S67" s="3"/>
    </row>
    <row r="68" spans="1:19">
      <c r="A68" s="3"/>
      <c r="B68" s="543">
        <v>12</v>
      </c>
      <c r="C68" s="535">
        <v>3300</v>
      </c>
      <c r="D68" s="535" t="s">
        <v>767</v>
      </c>
      <c r="E68" s="537">
        <v>95</v>
      </c>
      <c r="F68" s="535" t="s">
        <v>468</v>
      </c>
      <c r="G68" s="535"/>
      <c r="H68" s="538">
        <f t="shared" si="1"/>
        <v>0.95</v>
      </c>
      <c r="I68" s="536" t="s">
        <v>470</v>
      </c>
      <c r="J68" s="309"/>
      <c r="K68" s="297"/>
      <c r="L68" s="297"/>
      <c r="M68" s="311"/>
      <c r="N68" s="3"/>
      <c r="O68" s="3"/>
      <c r="P68" s="3"/>
      <c r="Q68" s="3"/>
      <c r="R68" s="3"/>
      <c r="S68" s="3"/>
    </row>
    <row r="69" spans="1:19" ht="13" thickBot="1">
      <c r="A69" s="3"/>
      <c r="B69" s="544">
        <v>13</v>
      </c>
      <c r="C69" s="539">
        <v>5000</v>
      </c>
      <c r="D69" s="539" t="s">
        <v>767</v>
      </c>
      <c r="E69" s="540">
        <v>128</v>
      </c>
      <c r="F69" s="539" t="s">
        <v>468</v>
      </c>
      <c r="G69" s="539"/>
      <c r="H69" s="541">
        <f t="shared" si="1"/>
        <v>1.28</v>
      </c>
      <c r="I69" s="542" t="s">
        <v>470</v>
      </c>
      <c r="J69" s="312" t="s">
        <v>546</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4" t="s">
        <v>551</v>
      </c>
      <c r="C73" s="531"/>
      <c r="D73" s="531"/>
      <c r="E73" s="531"/>
      <c r="F73" s="531"/>
      <c r="G73" s="531"/>
      <c r="H73" s="531"/>
      <c r="I73" s="531"/>
      <c r="J73" s="531"/>
      <c r="K73" s="531"/>
      <c r="L73" s="531"/>
      <c r="M73" s="532"/>
      <c r="N73" s="3"/>
      <c r="O73" s="3"/>
      <c r="P73" s="3"/>
      <c r="Q73" s="3"/>
      <c r="R73" s="3"/>
      <c r="S73" s="3"/>
    </row>
    <row r="74" spans="1:19">
      <c r="A74" s="3"/>
      <c r="B74" s="533"/>
      <c r="C74" s="141" t="s">
        <v>543</v>
      </c>
      <c r="D74" s="141"/>
      <c r="E74" s="141"/>
      <c r="F74" s="141"/>
      <c r="G74" s="141"/>
      <c r="H74" s="141"/>
      <c r="I74" s="141"/>
      <c r="J74" s="141"/>
      <c r="K74" s="141"/>
      <c r="L74" s="141"/>
      <c r="M74" s="143"/>
      <c r="N74" s="3"/>
      <c r="O74" s="3"/>
      <c r="P74" s="3"/>
      <c r="Q74" s="3"/>
      <c r="R74" s="3"/>
      <c r="S74" s="3"/>
    </row>
    <row r="75" spans="1:19">
      <c r="A75" s="3"/>
      <c r="B75" s="533"/>
      <c r="C75" s="141" t="s">
        <v>200</v>
      </c>
      <c r="D75" s="141"/>
      <c r="E75" s="141"/>
      <c r="F75" s="141"/>
      <c r="G75" s="141"/>
      <c r="H75" s="141"/>
      <c r="I75" s="141"/>
      <c r="J75" s="141"/>
      <c r="K75" s="141"/>
      <c r="L75" s="141"/>
      <c r="M75" s="143"/>
      <c r="N75" s="3"/>
      <c r="O75" s="3"/>
      <c r="P75" s="3"/>
      <c r="Q75" s="3"/>
      <c r="R75" s="3"/>
      <c r="S75" s="3"/>
    </row>
    <row r="76" spans="1:19" ht="13" thickBot="1">
      <c r="A76" s="3"/>
      <c r="B76" s="534"/>
      <c r="C76" s="146" t="s">
        <v>440</v>
      </c>
      <c r="D76" s="146"/>
      <c r="E76" s="146"/>
      <c r="F76" s="146"/>
      <c r="G76" s="146"/>
      <c r="H76" s="146"/>
      <c r="I76" s="146"/>
      <c r="J76" s="146"/>
      <c r="K76" s="146"/>
      <c r="L76" s="146"/>
      <c r="M76" s="150"/>
      <c r="N76" s="3"/>
      <c r="O76" s="3"/>
      <c r="P76" s="3"/>
      <c r="Q76" s="3"/>
      <c r="R76" s="3"/>
      <c r="S76" s="3"/>
    </row>
    <row r="77" spans="1:19" ht="13">
      <c r="A77" s="3"/>
      <c r="B77" s="549" t="s">
        <v>472</v>
      </c>
      <c r="C77" s="550" t="s">
        <v>471</v>
      </c>
      <c r="D77" s="551"/>
      <c r="E77" s="552" t="s">
        <v>466</v>
      </c>
      <c r="F77" s="551"/>
      <c r="G77" s="551"/>
      <c r="H77" s="550" t="s">
        <v>467</v>
      </c>
      <c r="I77" s="553"/>
      <c r="J77" s="309"/>
      <c r="K77" s="297"/>
      <c r="L77" s="297"/>
      <c r="M77" s="311"/>
      <c r="N77" s="3"/>
      <c r="O77" s="3"/>
      <c r="P77" s="3"/>
      <c r="Q77" s="3"/>
      <c r="R77" s="3"/>
      <c r="S77" s="3"/>
    </row>
    <row r="78" spans="1:19">
      <c r="A78" s="3"/>
      <c r="B78" s="543">
        <v>1</v>
      </c>
      <c r="C78" s="535">
        <v>10</v>
      </c>
      <c r="D78" s="535" t="s">
        <v>767</v>
      </c>
      <c r="E78" s="537">
        <v>9.31</v>
      </c>
      <c r="F78" s="535" t="s">
        <v>468</v>
      </c>
      <c r="G78" s="535"/>
      <c r="H78" s="538">
        <f>E78/100</f>
        <v>9.3100000000000002E-2</v>
      </c>
      <c r="I78" s="536" t="s">
        <v>470</v>
      </c>
      <c r="J78" s="309"/>
      <c r="K78" s="297" t="s">
        <v>728</v>
      </c>
      <c r="L78" s="297"/>
      <c r="M78" s="311"/>
      <c r="N78" s="3"/>
      <c r="O78" s="3"/>
      <c r="P78" s="3"/>
      <c r="Q78" s="3"/>
      <c r="R78" s="3"/>
      <c r="S78" s="3"/>
    </row>
    <row r="79" spans="1:19">
      <c r="A79" s="3"/>
      <c r="B79" s="543">
        <v>2</v>
      </c>
      <c r="C79" s="545">
        <v>30</v>
      </c>
      <c r="D79" s="545" t="s">
        <v>767</v>
      </c>
      <c r="E79" s="537">
        <v>12</v>
      </c>
      <c r="F79" s="535" t="s">
        <v>468</v>
      </c>
      <c r="G79" s="535" t="s">
        <v>728</v>
      </c>
      <c r="H79" s="538">
        <f>E79/100</f>
        <v>0.12</v>
      </c>
      <c r="I79" s="536" t="s">
        <v>470</v>
      </c>
      <c r="J79" s="309"/>
      <c r="K79" s="297" t="s">
        <v>472</v>
      </c>
      <c r="L79" s="264">
        <v>11</v>
      </c>
      <c r="M79" s="311"/>
      <c r="N79" s="3"/>
      <c r="O79" s="3"/>
      <c r="P79" s="3"/>
      <c r="Q79" s="3"/>
      <c r="R79" s="3"/>
      <c r="S79" s="3"/>
    </row>
    <row r="80" spans="1:19">
      <c r="A80" s="3"/>
      <c r="B80" s="543">
        <v>3</v>
      </c>
      <c r="C80" s="535">
        <v>50</v>
      </c>
      <c r="D80" s="535" t="s">
        <v>767</v>
      </c>
      <c r="E80" s="537" t="s">
        <v>469</v>
      </c>
      <c r="F80" s="535" t="s">
        <v>468</v>
      </c>
      <c r="G80" s="535"/>
      <c r="H80" s="538" t="s">
        <v>469</v>
      </c>
      <c r="I80" s="536" t="s">
        <v>470</v>
      </c>
      <c r="J80" s="309"/>
      <c r="K80" s="297"/>
      <c r="L80" s="297"/>
      <c r="M80" s="311"/>
      <c r="N80" s="3"/>
      <c r="O80" s="3"/>
      <c r="P80" s="3"/>
      <c r="Q80" s="3"/>
      <c r="R80" s="3"/>
      <c r="S80" s="3"/>
    </row>
    <row r="81" spans="1:19">
      <c r="A81" s="3"/>
      <c r="B81" s="543">
        <v>4</v>
      </c>
      <c r="C81" s="535">
        <v>100</v>
      </c>
      <c r="D81" s="535" t="s">
        <v>767</v>
      </c>
      <c r="E81" s="537">
        <v>18.600000000000001</v>
      </c>
      <c r="F81" s="535" t="s">
        <v>468</v>
      </c>
      <c r="G81" s="535"/>
      <c r="H81" s="538">
        <f t="shared" ref="H81:H90" si="2">E81/100</f>
        <v>0.18600000000000003</v>
      </c>
      <c r="I81" s="536" t="s">
        <v>470</v>
      </c>
      <c r="J81" s="309"/>
      <c r="K81" s="297" t="s">
        <v>766</v>
      </c>
      <c r="L81" s="546">
        <f>INDEX(C78:C90,L79,1)</f>
        <v>2400</v>
      </c>
      <c r="M81" s="311"/>
      <c r="N81" s="3"/>
      <c r="O81" s="3"/>
      <c r="P81" s="3"/>
      <c r="Q81" s="3"/>
      <c r="R81" s="3"/>
      <c r="S81" s="3"/>
    </row>
    <row r="82" spans="1:19">
      <c r="A82" s="3"/>
      <c r="B82" s="543">
        <v>5</v>
      </c>
      <c r="C82" s="545">
        <v>145</v>
      </c>
      <c r="D82" s="545" t="s">
        <v>767</v>
      </c>
      <c r="E82" s="537">
        <v>19.95</v>
      </c>
      <c r="F82" s="535" t="s">
        <v>468</v>
      </c>
      <c r="G82" s="535"/>
      <c r="H82" s="538">
        <f t="shared" si="2"/>
        <v>0.19949999999999998</v>
      </c>
      <c r="I82" s="536" t="s">
        <v>470</v>
      </c>
      <c r="J82" s="309"/>
      <c r="K82" s="297"/>
      <c r="L82" s="297"/>
      <c r="M82" s="311"/>
      <c r="N82" s="3"/>
      <c r="O82" s="3"/>
      <c r="P82" s="3"/>
      <c r="Q82" s="3"/>
      <c r="R82" s="3"/>
      <c r="S82" s="3"/>
    </row>
    <row r="83" spans="1:19">
      <c r="A83" s="3"/>
      <c r="B83" s="543">
        <v>6</v>
      </c>
      <c r="C83" s="535">
        <v>200</v>
      </c>
      <c r="D83" s="535" t="s">
        <v>767</v>
      </c>
      <c r="E83" s="537">
        <v>26.6</v>
      </c>
      <c r="F83" s="535" t="s">
        <v>468</v>
      </c>
      <c r="G83" s="535" t="s">
        <v>728</v>
      </c>
      <c r="H83" s="538">
        <f t="shared" si="2"/>
        <v>0.26600000000000001</v>
      </c>
      <c r="I83" s="536" t="s">
        <v>470</v>
      </c>
      <c r="J83" s="309"/>
      <c r="K83" s="297" t="s">
        <v>473</v>
      </c>
      <c r="L83" s="547">
        <v>0.5</v>
      </c>
      <c r="M83" s="311"/>
      <c r="N83" s="3"/>
      <c r="O83" s="3"/>
      <c r="P83" s="3"/>
      <c r="Q83" s="3"/>
      <c r="R83" s="3"/>
      <c r="S83" s="3"/>
    </row>
    <row r="84" spans="1:19">
      <c r="A84" s="3"/>
      <c r="B84" s="543">
        <v>7</v>
      </c>
      <c r="C84" s="535">
        <v>400</v>
      </c>
      <c r="D84" s="535" t="s">
        <v>767</v>
      </c>
      <c r="E84" s="537">
        <v>37.24</v>
      </c>
      <c r="F84" s="535" t="s">
        <v>468</v>
      </c>
      <c r="G84" s="535"/>
      <c r="H84" s="538">
        <f>E84/100</f>
        <v>0.37240000000000001</v>
      </c>
      <c r="I84" s="536" t="s">
        <v>470</v>
      </c>
      <c r="J84" s="309"/>
      <c r="K84" s="297"/>
      <c r="L84" s="297"/>
      <c r="M84" s="311"/>
      <c r="N84" s="3"/>
      <c r="O84" s="3"/>
      <c r="P84" s="3"/>
      <c r="Q84" s="3"/>
      <c r="R84" s="3"/>
      <c r="S84" s="3"/>
    </row>
    <row r="85" spans="1:19">
      <c r="A85" s="3"/>
      <c r="B85" s="543">
        <v>8</v>
      </c>
      <c r="C85" s="545">
        <v>435</v>
      </c>
      <c r="D85" s="545" t="s">
        <v>767</v>
      </c>
      <c r="E85" s="537">
        <v>40</v>
      </c>
      <c r="F85" s="535" t="s">
        <v>468</v>
      </c>
      <c r="G85" s="535"/>
      <c r="H85" s="538">
        <f t="shared" si="2"/>
        <v>0.4</v>
      </c>
      <c r="I85" s="536" t="s">
        <v>470</v>
      </c>
      <c r="J85" s="309"/>
      <c r="K85" s="297" t="s">
        <v>474</v>
      </c>
      <c r="L85" s="548">
        <f>(INDEX(H78:H90,L79,1))*L83</f>
        <v>0.47875000000000001</v>
      </c>
      <c r="M85" s="311"/>
      <c r="N85" s="3"/>
      <c r="O85" s="3"/>
      <c r="P85" s="3"/>
      <c r="Q85" s="3"/>
      <c r="R85" s="3"/>
      <c r="S85" s="3"/>
    </row>
    <row r="86" spans="1:19">
      <c r="A86" s="3"/>
      <c r="B86" s="543">
        <v>9</v>
      </c>
      <c r="C86" s="535">
        <v>500</v>
      </c>
      <c r="D86" s="535" t="s">
        <v>767</v>
      </c>
      <c r="E86" s="537">
        <v>46.55</v>
      </c>
      <c r="F86" s="535" t="s">
        <v>468</v>
      </c>
      <c r="G86" s="535"/>
      <c r="H86" s="538">
        <f t="shared" si="2"/>
        <v>0.46549999999999997</v>
      </c>
      <c r="I86" s="536" t="s">
        <v>470</v>
      </c>
      <c r="J86" s="309"/>
      <c r="K86" s="297"/>
      <c r="L86" s="297"/>
      <c r="M86" s="311"/>
      <c r="N86" s="3"/>
      <c r="O86" s="3"/>
      <c r="P86" s="3"/>
      <c r="Q86" s="3"/>
      <c r="R86" s="3"/>
      <c r="S86" s="3"/>
    </row>
    <row r="87" spans="1:19">
      <c r="A87" s="3"/>
      <c r="B87" s="543">
        <v>10</v>
      </c>
      <c r="C87" s="545">
        <v>1270</v>
      </c>
      <c r="D87" s="545" t="s">
        <v>767</v>
      </c>
      <c r="E87" s="537">
        <v>65.2</v>
      </c>
      <c r="F87" s="535" t="s">
        <v>468</v>
      </c>
      <c r="G87" s="535"/>
      <c r="H87" s="538">
        <f t="shared" si="2"/>
        <v>0.65200000000000002</v>
      </c>
      <c r="I87" s="536" t="s">
        <v>470</v>
      </c>
      <c r="J87" s="309"/>
      <c r="K87" s="297"/>
      <c r="L87" s="297"/>
      <c r="M87" s="311"/>
      <c r="N87" s="3"/>
      <c r="O87" s="3"/>
      <c r="P87" s="3"/>
      <c r="Q87" s="3"/>
      <c r="R87" s="3"/>
      <c r="S87" s="3"/>
    </row>
    <row r="88" spans="1:19">
      <c r="A88" s="3"/>
      <c r="B88" s="543">
        <v>11</v>
      </c>
      <c r="C88" s="545">
        <v>2400</v>
      </c>
      <c r="D88" s="545" t="s">
        <v>767</v>
      </c>
      <c r="E88" s="537">
        <v>95.75</v>
      </c>
      <c r="F88" s="535" t="s">
        <v>468</v>
      </c>
      <c r="G88" s="535"/>
      <c r="H88" s="538">
        <f t="shared" si="2"/>
        <v>0.95750000000000002</v>
      </c>
      <c r="I88" s="536" t="s">
        <v>470</v>
      </c>
      <c r="J88" s="309"/>
      <c r="K88" s="297"/>
      <c r="L88" s="349" t="s">
        <v>140</v>
      </c>
      <c r="M88" s="311"/>
      <c r="N88" s="3"/>
      <c r="O88" s="3"/>
      <c r="P88" s="3"/>
      <c r="Q88" s="3"/>
      <c r="R88" s="3"/>
      <c r="S88" s="3"/>
    </row>
    <row r="89" spans="1:19">
      <c r="A89" s="3"/>
      <c r="B89" s="543">
        <v>12</v>
      </c>
      <c r="C89" s="535">
        <v>3300</v>
      </c>
      <c r="D89" s="535" t="s">
        <v>767</v>
      </c>
      <c r="E89" s="537">
        <v>126.4</v>
      </c>
      <c r="F89" s="535" t="s">
        <v>468</v>
      </c>
      <c r="G89" s="535"/>
      <c r="H89" s="538">
        <f t="shared" si="2"/>
        <v>1.264</v>
      </c>
      <c r="I89" s="536" t="s">
        <v>470</v>
      </c>
      <c r="J89" s="309"/>
      <c r="K89" s="297"/>
      <c r="L89" s="297"/>
      <c r="M89" s="311"/>
      <c r="N89" s="3"/>
      <c r="O89" s="3"/>
      <c r="P89" s="3"/>
      <c r="Q89" s="3"/>
      <c r="R89" s="3"/>
      <c r="S89" s="3"/>
    </row>
    <row r="90" spans="1:19" ht="13" thickBot="1">
      <c r="A90" s="3"/>
      <c r="B90" s="544">
        <v>13</v>
      </c>
      <c r="C90" s="539">
        <v>5000</v>
      </c>
      <c r="D90" s="539" t="s">
        <v>767</v>
      </c>
      <c r="E90" s="540">
        <v>170.2</v>
      </c>
      <c r="F90" s="539" t="s">
        <v>468</v>
      </c>
      <c r="G90" s="539"/>
      <c r="H90" s="541">
        <f t="shared" si="2"/>
        <v>1.702</v>
      </c>
      <c r="I90" s="542" t="s">
        <v>470</v>
      </c>
      <c r="J90" s="312" t="s">
        <v>549</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728</v>
      </c>
      <c r="O93" s="3"/>
      <c r="P93" s="3"/>
      <c r="Q93" s="3"/>
      <c r="R93" s="3"/>
      <c r="S93" s="3"/>
    </row>
    <row r="94" spans="1:19" ht="13">
      <c r="A94" s="3"/>
      <c r="B94" s="554" t="s">
        <v>552</v>
      </c>
      <c r="C94" s="531"/>
      <c r="D94" s="531"/>
      <c r="E94" s="531"/>
      <c r="F94" s="531"/>
      <c r="G94" s="531"/>
      <c r="H94" s="531"/>
      <c r="I94" s="531"/>
      <c r="J94" s="531"/>
      <c r="K94" s="531"/>
      <c r="L94" s="531"/>
      <c r="M94" s="532"/>
      <c r="N94" s="3"/>
      <c r="O94" s="3"/>
      <c r="P94" s="3"/>
      <c r="Q94" s="3"/>
      <c r="R94" s="3"/>
      <c r="S94" s="3"/>
    </row>
    <row r="95" spans="1:19">
      <c r="A95" s="3"/>
      <c r="B95" s="533"/>
      <c r="C95" s="141" t="s">
        <v>821</v>
      </c>
      <c r="D95" s="141"/>
      <c r="E95" s="141"/>
      <c r="F95" s="141"/>
      <c r="G95" s="141"/>
      <c r="H95" s="141"/>
      <c r="I95" s="141"/>
      <c r="J95" s="141"/>
      <c r="K95" s="141"/>
      <c r="L95" s="141"/>
      <c r="M95" s="143"/>
      <c r="N95" s="3"/>
      <c r="O95" s="3"/>
      <c r="P95" s="3"/>
      <c r="Q95" s="3"/>
      <c r="R95" s="3"/>
      <c r="S95" s="3"/>
    </row>
    <row r="96" spans="1:19">
      <c r="A96" s="3"/>
      <c r="B96" s="533"/>
      <c r="C96" s="141" t="s">
        <v>556</v>
      </c>
      <c r="D96" s="141"/>
      <c r="E96" s="141"/>
      <c r="F96" s="141"/>
      <c r="G96" s="141"/>
      <c r="H96" s="141"/>
      <c r="I96" s="141"/>
      <c r="J96" s="141"/>
      <c r="K96" s="141"/>
      <c r="L96" s="141"/>
      <c r="M96" s="143"/>
      <c r="N96" s="3"/>
      <c r="O96" s="3"/>
      <c r="P96" s="3"/>
      <c r="Q96" s="3"/>
      <c r="R96" s="3"/>
      <c r="S96" s="3"/>
    </row>
    <row r="97" spans="1:19" ht="13" thickBot="1">
      <c r="A97" s="3"/>
      <c r="B97" s="534"/>
      <c r="C97" s="146" t="s">
        <v>557</v>
      </c>
      <c r="D97" s="146"/>
      <c r="E97" s="146"/>
      <c r="F97" s="146"/>
      <c r="G97" s="146"/>
      <c r="H97" s="146"/>
      <c r="I97" s="146"/>
      <c r="J97" s="146"/>
      <c r="K97" s="146"/>
      <c r="L97" s="146"/>
      <c r="M97" s="150"/>
      <c r="N97" s="3"/>
      <c r="O97" s="3"/>
      <c r="P97" s="3"/>
      <c r="Q97" s="3"/>
      <c r="R97" s="3"/>
      <c r="S97" s="3"/>
    </row>
    <row r="98" spans="1:19" ht="13">
      <c r="A98" s="3"/>
      <c r="B98" s="549" t="s">
        <v>472</v>
      </c>
      <c r="C98" s="550" t="s">
        <v>471</v>
      </c>
      <c r="D98" s="551"/>
      <c r="E98" s="552" t="s">
        <v>466</v>
      </c>
      <c r="F98" s="551"/>
      <c r="G98" s="551"/>
      <c r="H98" s="550" t="s">
        <v>467</v>
      </c>
      <c r="I98" s="551"/>
      <c r="J98" s="560"/>
      <c r="K98" s="307"/>
      <c r="L98" s="307"/>
      <c r="M98" s="308"/>
      <c r="N98" s="3"/>
      <c r="O98" s="3"/>
      <c r="P98" s="3"/>
      <c r="Q98" s="3"/>
      <c r="R98" s="3"/>
      <c r="S98" s="3"/>
    </row>
    <row r="99" spans="1:19">
      <c r="A99" s="3"/>
      <c r="B99" s="543">
        <v>1</v>
      </c>
      <c r="C99" s="545">
        <v>30</v>
      </c>
      <c r="D99" s="545" t="s">
        <v>767</v>
      </c>
      <c r="E99" s="537">
        <v>13</v>
      </c>
      <c r="F99" s="535" t="s">
        <v>468</v>
      </c>
      <c r="G99" s="535" t="s">
        <v>728</v>
      </c>
      <c r="H99" s="538">
        <v>0.13</v>
      </c>
      <c r="I99" s="535" t="s">
        <v>470</v>
      </c>
      <c r="J99" s="309"/>
      <c r="K99" s="297" t="s">
        <v>728</v>
      </c>
      <c r="L99" s="297"/>
      <c r="M99" s="311"/>
      <c r="N99" s="3"/>
      <c r="O99" s="3"/>
      <c r="P99" s="3"/>
      <c r="Q99" s="3"/>
      <c r="R99" s="3"/>
      <c r="S99" s="3"/>
    </row>
    <row r="100" spans="1:19">
      <c r="A100" s="3"/>
      <c r="B100" s="543">
        <v>2</v>
      </c>
      <c r="C100" s="545">
        <v>145</v>
      </c>
      <c r="D100" s="545" t="s">
        <v>767</v>
      </c>
      <c r="E100" s="537">
        <v>25</v>
      </c>
      <c r="F100" s="535" t="s">
        <v>468</v>
      </c>
      <c r="G100" s="535"/>
      <c r="H100" s="538">
        <v>0.25</v>
      </c>
      <c r="I100" s="535" t="s">
        <v>470</v>
      </c>
      <c r="J100" s="309"/>
      <c r="K100" s="297" t="s">
        <v>472</v>
      </c>
      <c r="L100" s="264">
        <v>3</v>
      </c>
      <c r="M100" s="311"/>
      <c r="N100" s="3"/>
      <c r="O100" s="3"/>
      <c r="P100" s="3"/>
      <c r="Q100" s="3"/>
      <c r="R100" s="3"/>
      <c r="S100" s="3"/>
    </row>
    <row r="101" spans="1:19">
      <c r="A101" s="3"/>
      <c r="B101" s="543">
        <v>3</v>
      </c>
      <c r="C101" s="545">
        <v>435</v>
      </c>
      <c r="D101" s="545" t="s">
        <v>767</v>
      </c>
      <c r="E101" s="537">
        <v>33</v>
      </c>
      <c r="F101" s="535" t="s">
        <v>468</v>
      </c>
      <c r="G101" s="535"/>
      <c r="H101" s="538">
        <v>0.33</v>
      </c>
      <c r="I101" s="535" t="s">
        <v>470</v>
      </c>
      <c r="J101" s="309"/>
      <c r="K101" s="297"/>
      <c r="L101" s="297"/>
      <c r="M101" s="311"/>
      <c r="N101" s="3"/>
      <c r="O101" s="3"/>
      <c r="P101" s="3"/>
      <c r="Q101" s="3"/>
      <c r="R101" s="3"/>
      <c r="S101" s="3"/>
    </row>
    <row r="102" spans="1:19">
      <c r="A102" s="3"/>
      <c r="B102" s="543">
        <v>4</v>
      </c>
      <c r="C102" s="545">
        <v>1270</v>
      </c>
      <c r="D102" s="545" t="s">
        <v>767</v>
      </c>
      <c r="E102" s="537">
        <v>53</v>
      </c>
      <c r="F102" s="535" t="s">
        <v>468</v>
      </c>
      <c r="G102" s="535"/>
      <c r="H102" s="538">
        <v>0.53</v>
      </c>
      <c r="I102" s="535" t="s">
        <v>470</v>
      </c>
      <c r="J102" s="309"/>
      <c r="K102" s="297" t="s">
        <v>766</v>
      </c>
      <c r="L102" s="568">
        <f>INDEX(C99:C112,L100,1)</f>
        <v>435</v>
      </c>
      <c r="M102" s="311"/>
      <c r="N102" s="3"/>
      <c r="O102" s="3"/>
      <c r="P102" s="3"/>
      <c r="Q102" s="3"/>
      <c r="R102" s="3"/>
      <c r="S102" s="3"/>
    </row>
    <row r="103" spans="1:19" ht="13">
      <c r="A103" s="3"/>
      <c r="B103" s="543">
        <v>5</v>
      </c>
      <c r="C103" s="535">
        <v>2000</v>
      </c>
      <c r="D103" s="535" t="s">
        <v>767</v>
      </c>
      <c r="E103" s="559">
        <v>88.6</v>
      </c>
      <c r="F103" s="535" t="s">
        <v>468</v>
      </c>
      <c r="G103" s="535"/>
      <c r="H103" s="558">
        <v>0.88600000000000001</v>
      </c>
      <c r="I103" s="535" t="s">
        <v>470</v>
      </c>
      <c r="J103" s="309"/>
      <c r="K103" s="297"/>
      <c r="L103" s="297"/>
      <c r="M103" s="311"/>
      <c r="N103" s="3"/>
      <c r="O103" s="3"/>
      <c r="P103" s="3"/>
      <c r="Q103" s="3"/>
      <c r="R103" s="3"/>
      <c r="S103" s="3"/>
    </row>
    <row r="104" spans="1:19">
      <c r="A104" s="3"/>
      <c r="B104" s="543">
        <v>6</v>
      </c>
      <c r="C104" s="545">
        <v>2400</v>
      </c>
      <c r="D104" s="545" t="s">
        <v>767</v>
      </c>
      <c r="E104" s="537">
        <v>96</v>
      </c>
      <c r="F104" s="535" t="s">
        <v>468</v>
      </c>
      <c r="G104" s="535"/>
      <c r="H104" s="538">
        <v>0.96</v>
      </c>
      <c r="I104" s="535" t="s">
        <v>470</v>
      </c>
      <c r="J104" s="309"/>
      <c r="K104" s="297" t="s">
        <v>473</v>
      </c>
      <c r="L104" s="547">
        <v>0.5</v>
      </c>
      <c r="M104" s="311"/>
      <c r="N104" s="3"/>
      <c r="O104" s="3"/>
      <c r="P104" s="3"/>
      <c r="Q104" s="3"/>
      <c r="R104" s="3"/>
      <c r="S104" s="3"/>
    </row>
    <row r="105" spans="1:19" ht="13">
      <c r="A105" s="3"/>
      <c r="B105" s="543">
        <v>7</v>
      </c>
      <c r="C105" s="567">
        <v>10000</v>
      </c>
      <c r="D105" s="535" t="s">
        <v>767</v>
      </c>
      <c r="E105" s="559">
        <v>200.1</v>
      </c>
      <c r="F105" s="535" t="s">
        <v>468</v>
      </c>
      <c r="G105" s="535"/>
      <c r="H105" s="558">
        <v>2.0009999999999999</v>
      </c>
      <c r="I105" s="535" t="s">
        <v>470</v>
      </c>
      <c r="J105" s="309"/>
      <c r="K105" s="297"/>
      <c r="L105" s="297"/>
      <c r="M105" s="311"/>
      <c r="N105" s="3"/>
      <c r="O105" s="3"/>
      <c r="P105" s="3"/>
      <c r="Q105" s="3"/>
      <c r="R105" s="3"/>
      <c r="S105" s="3"/>
    </row>
    <row r="106" spans="1:19" ht="13">
      <c r="A106" s="3"/>
      <c r="B106" s="543">
        <v>8</v>
      </c>
      <c r="C106" s="567">
        <v>18000</v>
      </c>
      <c r="D106" s="535" t="s">
        <v>767</v>
      </c>
      <c r="E106" s="559">
        <v>275.5</v>
      </c>
      <c r="F106" s="535" t="s">
        <v>468</v>
      </c>
      <c r="G106" s="535"/>
      <c r="H106" s="558">
        <v>2.7549999999999999</v>
      </c>
      <c r="I106" s="535" t="s">
        <v>470</v>
      </c>
      <c r="J106" s="309"/>
      <c r="K106" s="297" t="s">
        <v>474</v>
      </c>
      <c r="L106" s="548">
        <f>(INDEX(H99:H112,L100,1))*L104</f>
        <v>0.16500000000000001</v>
      </c>
      <c r="M106" s="311"/>
      <c r="N106" s="3"/>
      <c r="O106" s="3"/>
      <c r="P106" s="3"/>
      <c r="Q106" s="3"/>
      <c r="R106" s="3"/>
      <c r="S106" s="3"/>
    </row>
    <row r="107" spans="1:19">
      <c r="A107" s="3"/>
      <c r="B107" s="543"/>
      <c r="C107" s="556"/>
      <c r="D107" s="535"/>
      <c r="E107" s="537"/>
      <c r="F107" s="535"/>
      <c r="G107" s="535"/>
      <c r="H107" s="538"/>
      <c r="I107" s="535"/>
      <c r="J107" s="309"/>
      <c r="K107" s="297"/>
      <c r="L107" s="297"/>
      <c r="M107" s="311"/>
      <c r="N107" s="3"/>
      <c r="O107" s="3"/>
      <c r="P107" s="3"/>
      <c r="Q107" s="3"/>
      <c r="R107" s="3"/>
      <c r="S107" s="3"/>
    </row>
    <row r="108" spans="1:19">
      <c r="A108" s="3"/>
      <c r="B108" s="543"/>
      <c r="C108" s="556"/>
      <c r="D108" s="535"/>
      <c r="E108" s="537"/>
      <c r="F108" s="535" t="s">
        <v>728</v>
      </c>
      <c r="G108" s="535"/>
      <c r="H108" s="538"/>
      <c r="I108" s="535"/>
      <c r="J108" s="309"/>
      <c r="K108" s="297"/>
      <c r="L108" s="297"/>
      <c r="M108" s="311"/>
      <c r="N108" s="3" t="s">
        <v>728</v>
      </c>
      <c r="O108" s="3"/>
      <c r="P108" s="3"/>
      <c r="Q108" s="3"/>
      <c r="R108" s="3"/>
      <c r="S108" s="3"/>
    </row>
    <row r="109" spans="1:19">
      <c r="A109" s="3"/>
      <c r="B109" s="543"/>
      <c r="C109" s="556"/>
      <c r="D109" s="535"/>
      <c r="E109" s="537"/>
      <c r="F109" s="535"/>
      <c r="G109" s="535"/>
      <c r="H109" s="538"/>
      <c r="I109" s="535"/>
      <c r="J109" s="309"/>
      <c r="K109" s="297"/>
      <c r="L109" s="297"/>
      <c r="M109" s="311"/>
      <c r="N109" s="3"/>
      <c r="O109" s="3"/>
      <c r="P109" s="3"/>
      <c r="Q109" s="3"/>
      <c r="R109" s="3"/>
      <c r="S109" s="3"/>
    </row>
    <row r="110" spans="1:19">
      <c r="A110" s="3"/>
      <c r="B110" s="543"/>
      <c r="C110" s="556"/>
      <c r="D110" s="535"/>
      <c r="E110" s="537"/>
      <c r="F110" s="535"/>
      <c r="G110" s="535"/>
      <c r="H110" s="538"/>
      <c r="I110" s="535"/>
      <c r="J110" s="309"/>
      <c r="K110" s="297"/>
      <c r="L110" s="349" t="s">
        <v>140</v>
      </c>
      <c r="M110" s="311"/>
      <c r="N110" s="3"/>
      <c r="O110" s="3"/>
      <c r="P110" s="3"/>
      <c r="Q110" s="3"/>
      <c r="R110" s="3"/>
      <c r="S110" s="3"/>
    </row>
    <row r="111" spans="1:19" ht="13">
      <c r="A111" s="3"/>
      <c r="B111" s="543"/>
      <c r="C111" s="556"/>
      <c r="D111" s="535"/>
      <c r="E111" s="537"/>
      <c r="F111" s="535"/>
      <c r="G111" s="535"/>
      <c r="H111" s="538"/>
      <c r="I111" s="535"/>
      <c r="J111" s="309" t="s">
        <v>561</v>
      </c>
      <c r="K111" s="297"/>
      <c r="L111" s="297"/>
      <c r="M111" s="311"/>
      <c r="N111" s="3"/>
      <c r="O111" s="3"/>
      <c r="P111" s="3"/>
      <c r="Q111" s="3"/>
      <c r="R111" s="3"/>
      <c r="S111" s="3"/>
    </row>
    <row r="112" spans="1:19" ht="13" thickBot="1">
      <c r="A112" s="3"/>
      <c r="B112" s="544" t="s">
        <v>728</v>
      </c>
      <c r="C112" s="539" t="s">
        <v>728</v>
      </c>
      <c r="D112" s="539" t="s">
        <v>728</v>
      </c>
      <c r="E112" s="540"/>
      <c r="F112" s="539"/>
      <c r="G112" s="539"/>
      <c r="H112" s="541"/>
      <c r="I112" s="539"/>
      <c r="J112" s="312" t="s">
        <v>558</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4" t="s">
        <v>559</v>
      </c>
      <c r="C116" s="531"/>
      <c r="D116" s="531"/>
      <c r="E116" s="531"/>
      <c r="F116" s="531"/>
      <c r="G116" s="531"/>
      <c r="H116" s="531"/>
      <c r="I116" s="531"/>
      <c r="J116" s="531"/>
      <c r="K116" s="531"/>
      <c r="L116" s="531"/>
      <c r="M116" s="532"/>
      <c r="N116" s="3"/>
      <c r="O116" s="3"/>
      <c r="P116" s="3"/>
      <c r="Q116" s="3"/>
      <c r="R116" s="3"/>
      <c r="S116" s="3"/>
    </row>
    <row r="117" spans="1:19">
      <c r="A117" s="3"/>
      <c r="B117" s="533"/>
      <c r="C117" s="141" t="s">
        <v>822</v>
      </c>
      <c r="D117" s="141"/>
      <c r="E117" s="141"/>
      <c r="F117" s="141"/>
      <c r="G117" s="141"/>
      <c r="H117" s="141"/>
      <c r="I117" s="141"/>
      <c r="J117" s="141"/>
      <c r="K117" s="141"/>
      <c r="L117" s="141"/>
      <c r="M117" s="143"/>
      <c r="N117" s="3"/>
      <c r="O117" s="3"/>
      <c r="P117" s="3"/>
      <c r="Q117" s="3"/>
      <c r="R117" s="3"/>
      <c r="S117" s="3"/>
    </row>
    <row r="118" spans="1:19">
      <c r="A118" s="3"/>
      <c r="B118" s="533"/>
      <c r="C118" s="141" t="s">
        <v>560</v>
      </c>
      <c r="D118" s="141"/>
      <c r="E118" s="141"/>
      <c r="F118" s="141"/>
      <c r="G118" s="141"/>
      <c r="H118" s="141"/>
      <c r="I118" s="141"/>
      <c r="J118" s="141"/>
      <c r="K118" s="141"/>
      <c r="L118" s="141"/>
      <c r="M118" s="143"/>
      <c r="N118" s="3"/>
      <c r="O118" s="3"/>
      <c r="P118" s="3"/>
      <c r="Q118" s="3"/>
      <c r="R118" s="3"/>
      <c r="S118" s="3"/>
    </row>
    <row r="119" spans="1:19" ht="13" thickBot="1">
      <c r="A119" s="3"/>
      <c r="B119" s="534"/>
      <c r="C119" s="146" t="s">
        <v>557</v>
      </c>
      <c r="D119" s="146"/>
      <c r="E119" s="146"/>
      <c r="F119" s="146"/>
      <c r="G119" s="146"/>
      <c r="H119" s="146"/>
      <c r="I119" s="146"/>
      <c r="J119" s="146"/>
      <c r="K119" s="146"/>
      <c r="L119" s="146"/>
      <c r="M119" s="150"/>
      <c r="N119" s="3"/>
      <c r="O119" s="3"/>
      <c r="P119" s="3"/>
      <c r="Q119" s="3"/>
      <c r="R119" s="3"/>
      <c r="S119" s="3"/>
    </row>
    <row r="120" spans="1:19" ht="13">
      <c r="A120" s="3"/>
      <c r="B120" s="549" t="s">
        <v>472</v>
      </c>
      <c r="C120" s="550" t="s">
        <v>471</v>
      </c>
      <c r="D120" s="551"/>
      <c r="E120" s="552" t="s">
        <v>466</v>
      </c>
      <c r="F120" s="551"/>
      <c r="G120" s="551"/>
      <c r="H120" s="550" t="s">
        <v>467</v>
      </c>
      <c r="I120" s="551"/>
      <c r="J120" s="560"/>
      <c r="K120" s="307"/>
      <c r="L120" s="307"/>
      <c r="M120" s="308"/>
      <c r="N120" s="3"/>
      <c r="O120" s="3"/>
      <c r="P120" s="3"/>
      <c r="Q120" s="3"/>
      <c r="R120" s="3"/>
      <c r="S120" s="3"/>
    </row>
    <row r="121" spans="1:19">
      <c r="A121" s="3"/>
      <c r="B121" s="543">
        <v>1</v>
      </c>
      <c r="C121" s="545">
        <v>30</v>
      </c>
      <c r="D121" s="545" t="s">
        <v>767</v>
      </c>
      <c r="E121" s="537">
        <v>8</v>
      </c>
      <c r="F121" s="535" t="s">
        <v>468</v>
      </c>
      <c r="G121" s="535" t="s">
        <v>728</v>
      </c>
      <c r="H121" s="538">
        <v>0.08</v>
      </c>
      <c r="I121" s="535" t="s">
        <v>470</v>
      </c>
      <c r="J121" s="309"/>
      <c r="K121" s="297" t="s">
        <v>728</v>
      </c>
      <c r="L121" s="297"/>
      <c r="M121" s="311"/>
      <c r="N121" s="3"/>
      <c r="O121" s="3"/>
      <c r="P121" s="3"/>
      <c r="Q121" s="3"/>
      <c r="R121" s="3"/>
      <c r="S121" s="3"/>
    </row>
    <row r="122" spans="1:19">
      <c r="A122" s="3"/>
      <c r="B122" s="543">
        <v>2</v>
      </c>
      <c r="C122" s="545">
        <v>145</v>
      </c>
      <c r="D122" s="545" t="s">
        <v>767</v>
      </c>
      <c r="E122" s="537">
        <v>15</v>
      </c>
      <c r="F122" s="535" t="s">
        <v>468</v>
      </c>
      <c r="G122" s="535"/>
      <c r="H122" s="538">
        <v>0.15</v>
      </c>
      <c r="I122" s="535" t="s">
        <v>470</v>
      </c>
      <c r="J122" s="309"/>
      <c r="K122" s="297" t="s">
        <v>472</v>
      </c>
      <c r="L122" s="264">
        <v>7</v>
      </c>
      <c r="M122" s="311"/>
      <c r="N122" s="3"/>
      <c r="O122" s="3"/>
      <c r="P122" s="3"/>
      <c r="Q122" s="3"/>
      <c r="R122" s="3"/>
      <c r="S122" s="3"/>
    </row>
    <row r="123" spans="1:19">
      <c r="A123" s="3"/>
      <c r="B123" s="543">
        <v>3</v>
      </c>
      <c r="C123" s="545">
        <v>435</v>
      </c>
      <c r="D123" s="545" t="s">
        <v>767</v>
      </c>
      <c r="E123" s="537">
        <v>24</v>
      </c>
      <c r="F123" s="535" t="s">
        <v>468</v>
      </c>
      <c r="G123" s="535"/>
      <c r="H123" s="538">
        <v>0.24</v>
      </c>
      <c r="I123" s="535" t="s">
        <v>470</v>
      </c>
      <c r="J123" s="309"/>
      <c r="K123" s="297"/>
      <c r="L123" s="297"/>
      <c r="M123" s="311"/>
      <c r="N123" s="3"/>
      <c r="O123" s="3"/>
      <c r="P123" s="3"/>
      <c r="Q123" s="3"/>
      <c r="R123" s="3"/>
      <c r="S123" s="3"/>
    </row>
    <row r="124" spans="1:19">
      <c r="A124" s="3"/>
      <c r="B124" s="543">
        <v>4</v>
      </c>
      <c r="C124" s="545">
        <v>1270</v>
      </c>
      <c r="D124" s="545" t="s">
        <v>767</v>
      </c>
      <c r="E124" s="537">
        <v>57.5</v>
      </c>
      <c r="F124" s="535" t="s">
        <v>468</v>
      </c>
      <c r="G124" s="535"/>
      <c r="H124" s="557">
        <v>0.57499999999999996</v>
      </c>
      <c r="I124" s="535" t="s">
        <v>470</v>
      </c>
      <c r="J124" s="309"/>
      <c r="K124" s="297" t="s">
        <v>766</v>
      </c>
      <c r="L124" s="546">
        <f>INDEX(C121:C134,L122,1)</f>
        <v>10000</v>
      </c>
      <c r="M124" s="311"/>
      <c r="N124" s="3"/>
      <c r="O124" s="3"/>
      <c r="P124" s="3"/>
      <c r="Q124" s="3"/>
      <c r="R124" s="3"/>
      <c r="S124" s="3"/>
    </row>
    <row r="125" spans="1:19" ht="13">
      <c r="A125" s="3"/>
      <c r="B125" s="543">
        <v>5</v>
      </c>
      <c r="C125" s="535">
        <v>2000</v>
      </c>
      <c r="D125" s="535" t="s">
        <v>767</v>
      </c>
      <c r="E125" s="559">
        <v>65.599999999999994</v>
      </c>
      <c r="F125" s="535" t="s">
        <v>468</v>
      </c>
      <c r="G125" s="535"/>
      <c r="H125" s="558">
        <v>0.65600000000000003</v>
      </c>
      <c r="I125" s="535" t="s">
        <v>470</v>
      </c>
      <c r="J125" s="309"/>
      <c r="K125" s="297"/>
      <c r="L125" s="297"/>
      <c r="M125" s="311"/>
      <c r="N125" s="3"/>
      <c r="O125" s="3"/>
      <c r="P125" s="3"/>
      <c r="Q125" s="3"/>
      <c r="R125" s="3"/>
      <c r="S125" s="3"/>
    </row>
    <row r="126" spans="1:19">
      <c r="A126" s="3"/>
      <c r="B126" s="543">
        <v>6</v>
      </c>
      <c r="C126" s="545">
        <v>2400</v>
      </c>
      <c r="D126" s="545" t="s">
        <v>767</v>
      </c>
      <c r="E126" s="537">
        <v>68.5</v>
      </c>
      <c r="F126" s="535" t="s">
        <v>468</v>
      </c>
      <c r="G126" s="535"/>
      <c r="H126" s="557">
        <v>0.68500000000000005</v>
      </c>
      <c r="I126" s="535" t="s">
        <v>470</v>
      </c>
      <c r="J126" s="309"/>
      <c r="K126" s="297" t="s">
        <v>473</v>
      </c>
      <c r="L126" s="547">
        <v>0.5</v>
      </c>
      <c r="M126" s="311"/>
      <c r="N126" s="3"/>
      <c r="O126" s="3"/>
      <c r="P126" s="3"/>
      <c r="Q126" s="3"/>
      <c r="R126" s="3"/>
      <c r="S126" s="3"/>
    </row>
    <row r="127" spans="1:19" ht="13">
      <c r="A127" s="3"/>
      <c r="B127" s="543">
        <v>7</v>
      </c>
      <c r="C127" s="567">
        <v>10000</v>
      </c>
      <c r="D127" s="535" t="s">
        <v>767</v>
      </c>
      <c r="E127" s="559">
        <v>91.8</v>
      </c>
      <c r="F127" s="535" t="s">
        <v>468</v>
      </c>
      <c r="G127" s="535"/>
      <c r="H127" s="558">
        <v>0.91800000000000004</v>
      </c>
      <c r="I127" s="535" t="s">
        <v>470</v>
      </c>
      <c r="J127" s="309"/>
      <c r="K127" s="297"/>
      <c r="L127" s="297"/>
      <c r="M127" s="311"/>
      <c r="N127" s="3"/>
      <c r="O127" s="3"/>
      <c r="P127" s="3"/>
      <c r="Q127" s="3"/>
      <c r="R127" s="3"/>
      <c r="S127" s="3"/>
    </row>
    <row r="128" spans="1:19" ht="13">
      <c r="A128" s="3"/>
      <c r="B128" s="543">
        <v>8</v>
      </c>
      <c r="C128" s="567">
        <v>18000</v>
      </c>
      <c r="D128" s="535" t="s">
        <v>767</v>
      </c>
      <c r="E128" s="559">
        <v>124.6</v>
      </c>
      <c r="F128" s="535" t="s">
        <v>468</v>
      </c>
      <c r="G128" s="535"/>
      <c r="H128" s="558">
        <v>1.246</v>
      </c>
      <c r="I128" s="535" t="s">
        <v>470</v>
      </c>
      <c r="J128" s="309"/>
      <c r="K128" s="297" t="s">
        <v>474</v>
      </c>
      <c r="L128" s="548">
        <f>(INDEX(H121:H134,L122,1))*L126</f>
        <v>0.45900000000000002</v>
      </c>
      <c r="M128" s="311"/>
      <c r="N128" s="3"/>
      <c r="O128" s="3"/>
      <c r="P128" s="3"/>
      <c r="Q128" s="3"/>
      <c r="R128" s="3"/>
      <c r="S128" s="3"/>
    </row>
    <row r="129" spans="1:19">
      <c r="A129" s="3"/>
      <c r="B129" s="543"/>
      <c r="C129" s="556"/>
      <c r="D129" s="535"/>
      <c r="E129" s="537"/>
      <c r="F129" s="535"/>
      <c r="G129" s="535"/>
      <c r="H129" s="538"/>
      <c r="I129" s="535"/>
      <c r="J129" s="309"/>
      <c r="K129" s="297"/>
      <c r="L129" s="297"/>
      <c r="M129" s="311"/>
      <c r="N129" s="3"/>
      <c r="O129" s="3"/>
      <c r="P129" s="3"/>
      <c r="Q129" s="3"/>
      <c r="R129" s="3"/>
      <c r="S129" s="3"/>
    </row>
    <row r="130" spans="1:19">
      <c r="A130" s="3"/>
      <c r="B130" s="543"/>
      <c r="C130" s="556"/>
      <c r="D130" s="535"/>
      <c r="E130" s="537"/>
      <c r="F130" s="535" t="s">
        <v>728</v>
      </c>
      <c r="G130" s="535"/>
      <c r="H130" s="538"/>
      <c r="I130" s="535"/>
      <c r="J130" s="309"/>
      <c r="K130" s="297"/>
      <c r="L130" s="297"/>
      <c r="M130" s="311"/>
      <c r="N130" s="3"/>
      <c r="O130" s="3"/>
      <c r="P130" s="3"/>
      <c r="Q130" s="3"/>
      <c r="R130" s="3"/>
      <c r="S130" s="3"/>
    </row>
    <row r="131" spans="1:19">
      <c r="A131" s="3"/>
      <c r="B131" s="543"/>
      <c r="C131" s="556"/>
      <c r="D131" s="535"/>
      <c r="E131" s="537"/>
      <c r="F131" s="535"/>
      <c r="G131" s="535"/>
      <c r="H131" s="538"/>
      <c r="I131" s="535"/>
      <c r="J131" s="309"/>
      <c r="K131" s="297"/>
      <c r="L131" s="297"/>
      <c r="M131" s="311"/>
      <c r="N131" s="3"/>
      <c r="O131" s="3"/>
      <c r="P131" s="3"/>
      <c r="Q131" s="3"/>
      <c r="R131" s="3"/>
      <c r="S131" s="3"/>
    </row>
    <row r="132" spans="1:19">
      <c r="A132" s="3"/>
      <c r="B132" s="543"/>
      <c r="C132" s="556"/>
      <c r="D132" s="535"/>
      <c r="E132" s="537"/>
      <c r="F132" s="535"/>
      <c r="G132" s="535"/>
      <c r="H132" s="538"/>
      <c r="I132" s="535"/>
      <c r="J132" s="309"/>
      <c r="K132" s="297"/>
      <c r="L132" s="349" t="s">
        <v>140</v>
      </c>
      <c r="M132" s="311"/>
      <c r="N132" s="3"/>
      <c r="O132" s="3"/>
      <c r="P132" s="3"/>
      <c r="Q132" s="3"/>
      <c r="R132" s="3"/>
      <c r="S132" s="3"/>
    </row>
    <row r="133" spans="1:19" ht="13">
      <c r="A133" s="3"/>
      <c r="B133" s="543"/>
      <c r="C133" s="556"/>
      <c r="D133" s="535"/>
      <c r="E133" s="537"/>
      <c r="F133" s="535"/>
      <c r="G133" s="535"/>
      <c r="H133" s="538"/>
      <c r="I133" s="535"/>
      <c r="J133" s="309" t="s">
        <v>562</v>
      </c>
      <c r="K133" s="297"/>
      <c r="L133" s="297"/>
      <c r="M133" s="311"/>
      <c r="N133" s="3"/>
      <c r="O133" s="3"/>
      <c r="P133" s="3"/>
      <c r="Q133" s="3"/>
      <c r="R133" s="3"/>
      <c r="S133" s="3"/>
    </row>
    <row r="134" spans="1:19" ht="13" thickBot="1">
      <c r="A134" s="3"/>
      <c r="B134" s="544" t="s">
        <v>728</v>
      </c>
      <c r="C134" s="539" t="s">
        <v>728</v>
      </c>
      <c r="D134" s="539" t="s">
        <v>728</v>
      </c>
      <c r="E134" s="540"/>
      <c r="F134" s="539"/>
      <c r="G134" s="539"/>
      <c r="H134" s="541"/>
      <c r="I134" s="539"/>
      <c r="J134" s="312" t="s">
        <v>558</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616</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8"/>
      <c r="I2" s="498"/>
      <c r="J2" s="498"/>
      <c r="K2" s="498"/>
      <c r="L2" s="498"/>
      <c r="M2" s="498"/>
      <c r="N2" s="498"/>
      <c r="O2" s="498"/>
      <c r="P2" s="498"/>
      <c r="Q2" s="498"/>
      <c r="R2" s="498"/>
      <c r="S2" s="498"/>
      <c r="T2" s="3"/>
      <c r="U2" s="3"/>
      <c r="V2" s="3"/>
      <c r="W2" s="3"/>
      <c r="X2" s="3"/>
    </row>
    <row r="3" spans="1:24">
      <c r="A3" s="3"/>
      <c r="B3" s="349" t="s">
        <v>140</v>
      </c>
      <c r="C3" s="3"/>
      <c r="D3" s="3"/>
      <c r="E3" s="3"/>
      <c r="F3" s="3"/>
      <c r="G3" s="3"/>
      <c r="H3" s="498"/>
      <c r="I3" s="498"/>
      <c r="J3" s="498"/>
      <c r="K3" s="498"/>
      <c r="L3" s="498"/>
      <c r="M3" s="498"/>
      <c r="N3" s="498"/>
      <c r="O3" s="498"/>
      <c r="P3" s="498"/>
      <c r="Q3" s="498"/>
      <c r="R3" s="498"/>
      <c r="S3" s="498"/>
      <c r="T3" s="3"/>
      <c r="U3" s="3"/>
      <c r="V3" s="3"/>
      <c r="W3" s="3"/>
      <c r="X3" s="3"/>
    </row>
    <row r="4" spans="1:24">
      <c r="A4" s="3"/>
      <c r="B4" s="496"/>
      <c r="C4" s="3"/>
      <c r="D4" s="3"/>
      <c r="E4" s="3"/>
      <c r="F4" s="3"/>
      <c r="G4" s="3"/>
      <c r="H4" s="498"/>
      <c r="I4" s="498"/>
      <c r="J4" s="498"/>
      <c r="K4" s="498"/>
      <c r="L4" s="498"/>
      <c r="M4" s="498"/>
      <c r="N4" s="498"/>
      <c r="O4" s="498"/>
      <c r="P4" s="498"/>
      <c r="Q4" s="498"/>
      <c r="R4" s="498"/>
      <c r="S4" s="498"/>
      <c r="T4" s="3"/>
      <c r="U4" s="3"/>
      <c r="V4" s="3"/>
      <c r="W4" s="3"/>
      <c r="X4" s="3"/>
    </row>
    <row r="5" spans="1:24">
      <c r="A5" s="3"/>
      <c r="B5" s="496"/>
      <c r="C5" s="3"/>
      <c r="D5" s="3"/>
      <c r="E5" s="3"/>
      <c r="F5" s="3"/>
      <c r="G5" s="3"/>
      <c r="H5" s="498"/>
      <c r="I5" s="498"/>
      <c r="J5" s="498"/>
      <c r="K5" s="498"/>
      <c r="L5" s="498"/>
      <c r="M5" s="498"/>
      <c r="N5" s="498"/>
      <c r="O5" s="498"/>
      <c r="P5" s="498"/>
      <c r="Q5" s="498"/>
      <c r="R5" s="498"/>
      <c r="S5" s="498"/>
      <c r="T5" s="3"/>
      <c r="U5" s="3"/>
      <c r="V5" s="3"/>
      <c r="W5" s="3"/>
      <c r="X5" s="3"/>
    </row>
    <row r="6" spans="1:24">
      <c r="A6" s="3"/>
      <c r="B6" s="3"/>
      <c r="C6" s="3"/>
      <c r="D6" s="3" t="s">
        <v>446</v>
      </c>
      <c r="E6" s="3"/>
      <c r="F6" s="3"/>
      <c r="G6" s="3" t="s">
        <v>728</v>
      </c>
      <c r="H6" s="500">
        <v>2</v>
      </c>
      <c r="I6" s="287" t="s">
        <v>794</v>
      </c>
      <c r="J6" s="499"/>
      <c r="K6" s="499"/>
      <c r="L6" s="499"/>
      <c r="M6" s="499"/>
      <c r="N6" s="499"/>
      <c r="O6" s="499"/>
      <c r="P6" s="499"/>
      <c r="Q6" s="499"/>
      <c r="R6" s="499"/>
      <c r="S6" s="499"/>
      <c r="T6" s="3"/>
      <c r="U6" s="3"/>
      <c r="V6" s="3"/>
      <c r="W6" s="3"/>
      <c r="X6" s="3"/>
    </row>
    <row r="7" spans="1:24">
      <c r="A7" s="3"/>
      <c r="B7" s="3"/>
      <c r="C7" s="3"/>
      <c r="D7" s="3"/>
      <c r="E7" s="3"/>
      <c r="F7" s="3"/>
      <c r="G7" s="3"/>
      <c r="H7" s="3"/>
      <c r="I7" s="3"/>
      <c r="J7" s="3"/>
      <c r="K7" s="3" t="s">
        <v>568</v>
      </c>
      <c r="L7" s="3"/>
      <c r="M7" s="3"/>
      <c r="N7" s="3"/>
      <c r="O7" s="3"/>
      <c r="P7" s="3"/>
      <c r="Q7" s="3"/>
      <c r="R7" s="3"/>
      <c r="S7" s="3"/>
      <c r="T7" s="3"/>
      <c r="U7" s="3"/>
      <c r="V7" s="3"/>
      <c r="W7" s="3"/>
      <c r="X7" s="3"/>
    </row>
    <row r="8" spans="1:24" ht="13">
      <c r="A8" s="3"/>
      <c r="B8" s="3"/>
      <c r="C8" s="3"/>
      <c r="D8" s="3" t="s">
        <v>445</v>
      </c>
      <c r="E8" s="3"/>
      <c r="F8" s="3"/>
      <c r="G8" s="497" t="s">
        <v>728</v>
      </c>
      <c r="H8" s="501">
        <v>1.5</v>
      </c>
      <c r="I8" s="491" t="s">
        <v>449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447</v>
      </c>
      <c r="E10" s="3"/>
      <c r="F10" s="3"/>
      <c r="G10" s="3"/>
      <c r="H10" s="492">
        <f>(H6*((H8-1)^2))/((H8+1)^2)</f>
        <v>0.08</v>
      </c>
      <c r="I10" s="185" t="s">
        <v>794</v>
      </c>
      <c r="J10" s="3"/>
      <c r="K10" s="494">
        <f>H10/H6</f>
        <v>0.04</v>
      </c>
      <c r="L10" s="3" t="s">
        <v>567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448</v>
      </c>
      <c r="E12" s="3"/>
      <c r="F12" s="3"/>
      <c r="G12" s="3"/>
      <c r="H12" s="492">
        <f>H6-H10</f>
        <v>1.92</v>
      </c>
      <c r="I12" s="185" t="s">
        <v>794</v>
      </c>
      <c r="J12" s="3"/>
      <c r="K12" s="493">
        <f>1-K10</f>
        <v>0.96</v>
      </c>
      <c r="L12" s="3" t="s">
        <v>567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452</v>
      </c>
      <c r="E14" s="3"/>
      <c r="F14" s="3"/>
      <c r="G14" s="3"/>
      <c r="H14" s="495">
        <f>-10*LOG10(H12/H6)</f>
        <v>0.17728766960431602</v>
      </c>
      <c r="I14" s="185" t="s">
        <v>770</v>
      </c>
      <c r="J14" s="3"/>
      <c r="K14" s="3" t="s">
        <v>450</v>
      </c>
      <c r="L14" s="3"/>
      <c r="M14" s="3"/>
      <c r="N14" s="3"/>
      <c r="O14" s="3"/>
      <c r="P14" s="3"/>
      <c r="Q14" s="3"/>
      <c r="R14" s="3"/>
      <c r="S14" s="3"/>
      <c r="T14" s="3"/>
      <c r="U14" s="3"/>
      <c r="V14" s="3"/>
      <c r="W14" s="3"/>
      <c r="X14" s="3"/>
    </row>
    <row r="15" spans="1:24">
      <c r="A15" s="3"/>
      <c r="B15" s="3"/>
      <c r="C15" s="3"/>
      <c r="D15" s="3"/>
      <c r="E15" s="3"/>
      <c r="F15" s="3"/>
      <c r="G15" s="3"/>
      <c r="H15" s="499"/>
      <c r="I15" s="499"/>
      <c r="J15" s="499"/>
      <c r="K15" s="498" t="s">
        <v>451</v>
      </c>
      <c r="L15" s="499"/>
      <c r="M15" s="499"/>
      <c r="N15" s="499"/>
      <c r="O15" s="499"/>
      <c r="P15" s="499"/>
      <c r="Q15" s="499"/>
      <c r="R15" s="499"/>
      <c r="S15" s="499"/>
      <c r="T15" s="3"/>
      <c r="U15" s="3"/>
      <c r="V15" s="3"/>
      <c r="W15" s="3"/>
      <c r="X15" s="3"/>
    </row>
    <row r="16" spans="1:24">
      <c r="A16" s="3"/>
      <c r="B16" s="3"/>
      <c r="C16" s="3"/>
      <c r="D16" s="3"/>
      <c r="E16" s="3"/>
      <c r="F16" s="3"/>
      <c r="G16" s="3"/>
      <c r="H16" s="499"/>
      <c r="I16" s="499"/>
      <c r="J16" s="499"/>
      <c r="K16" s="499"/>
      <c r="L16" s="499"/>
      <c r="M16" s="499"/>
      <c r="N16" s="499"/>
      <c r="O16" s="499"/>
      <c r="P16" s="499"/>
      <c r="Q16" s="499"/>
      <c r="R16" s="499"/>
      <c r="S16" s="499"/>
      <c r="T16" s="3"/>
      <c r="U16" s="3"/>
      <c r="V16" s="3"/>
      <c r="W16" s="3"/>
      <c r="X16" s="3"/>
    </row>
    <row r="17" spans="1:24">
      <c r="A17" s="3"/>
      <c r="B17" s="3"/>
      <c r="C17" s="3"/>
      <c r="D17" s="3"/>
      <c r="E17" s="3"/>
      <c r="F17" s="3"/>
      <c r="G17" s="3"/>
      <c r="H17" s="499"/>
      <c r="I17" s="499"/>
      <c r="J17" s="499"/>
      <c r="K17" s="499"/>
      <c r="L17" s="499"/>
      <c r="M17" s="499"/>
      <c r="N17" s="499"/>
      <c r="O17" s="499"/>
      <c r="P17" s="499"/>
      <c r="Q17" s="499"/>
      <c r="R17" s="499"/>
      <c r="S17" s="499"/>
      <c r="T17" s="3"/>
      <c r="U17" s="37" t="s">
        <v>563</v>
      </c>
      <c r="V17" s="37"/>
      <c r="W17" s="37"/>
      <c r="X17" s="3"/>
    </row>
    <row r="18" spans="1:24">
      <c r="A18" s="3"/>
      <c r="B18" s="3"/>
      <c r="C18" s="3"/>
      <c r="D18" s="3"/>
      <c r="E18" s="3"/>
      <c r="F18" s="3"/>
      <c r="G18" s="3"/>
      <c r="H18" s="499"/>
      <c r="I18" s="499"/>
      <c r="J18" s="499"/>
      <c r="K18" s="499"/>
      <c r="L18" s="499"/>
      <c r="M18" s="499"/>
      <c r="N18" s="499"/>
      <c r="O18" s="499"/>
      <c r="P18" s="499"/>
      <c r="Q18" s="499"/>
      <c r="R18" s="499"/>
      <c r="S18" s="499"/>
      <c r="T18" s="3"/>
      <c r="U18" s="3" t="s">
        <v>569</v>
      </c>
      <c r="V18" s="33">
        <f>SQRT(O19^2+Q19^2)</f>
        <v>50</v>
      </c>
      <c r="W18" s="566" t="s">
        <v>564</v>
      </c>
      <c r="X18" s="3"/>
    </row>
    <row r="19" spans="1:24" ht="13">
      <c r="A19" s="3"/>
      <c r="B19" s="3"/>
      <c r="C19" s="3"/>
      <c r="D19" s="3"/>
      <c r="E19" s="3"/>
      <c r="F19" s="3"/>
      <c r="G19" s="3"/>
      <c r="H19" s="499"/>
      <c r="I19" s="499"/>
      <c r="J19" s="499"/>
      <c r="K19" s="499"/>
      <c r="L19" s="499"/>
      <c r="M19" s="94" t="s">
        <v>486</v>
      </c>
      <c r="N19" s="499"/>
      <c r="O19" s="264">
        <v>50</v>
      </c>
      <c r="P19" s="563" t="s">
        <v>823</v>
      </c>
      <c r="Q19" s="564">
        <v>0</v>
      </c>
      <c r="R19" s="499"/>
      <c r="S19" s="499"/>
      <c r="T19" s="3"/>
      <c r="U19" s="3"/>
      <c r="V19" s="33"/>
      <c r="W19" s="3"/>
      <c r="X19" s="3"/>
    </row>
    <row r="20" spans="1:24">
      <c r="A20" s="3"/>
      <c r="B20" s="3"/>
      <c r="C20" s="3"/>
      <c r="D20" s="3"/>
      <c r="E20" s="3"/>
      <c r="F20" s="3"/>
      <c r="G20" s="3"/>
      <c r="H20" s="499"/>
      <c r="I20" s="499"/>
      <c r="J20" s="499"/>
      <c r="K20" s="499"/>
      <c r="L20" s="499"/>
      <c r="M20" s="499"/>
      <c r="N20" s="499"/>
      <c r="O20" s="499"/>
      <c r="P20" s="499"/>
      <c r="Q20" s="498"/>
      <c r="R20" s="499"/>
      <c r="S20" s="499"/>
      <c r="T20" s="3"/>
      <c r="U20" s="3" t="s">
        <v>570</v>
      </c>
      <c r="V20" s="33">
        <f>SQRT(O21^2+Q21^2)</f>
        <v>79.05694150420949</v>
      </c>
      <c r="W20" s="566" t="s">
        <v>564</v>
      </c>
      <c r="X20" s="3"/>
    </row>
    <row r="21" spans="1:24" ht="13">
      <c r="A21" s="3"/>
      <c r="B21" s="3"/>
      <c r="C21" s="3"/>
      <c r="D21" s="3"/>
      <c r="E21" s="3"/>
      <c r="F21" s="3"/>
      <c r="G21" s="3"/>
      <c r="H21" s="499"/>
      <c r="I21" s="499"/>
      <c r="J21" s="499"/>
      <c r="K21" s="499"/>
      <c r="L21" s="499"/>
      <c r="M21" s="94" t="s">
        <v>487</v>
      </c>
      <c r="N21" s="499"/>
      <c r="O21" s="264">
        <v>75</v>
      </c>
      <c r="P21" s="563" t="s">
        <v>823</v>
      </c>
      <c r="Q21" s="564">
        <v>-25</v>
      </c>
      <c r="R21" s="499"/>
      <c r="S21" s="499"/>
      <c r="T21" s="3"/>
      <c r="U21" s="3"/>
      <c r="V21" s="3"/>
      <c r="W21" s="3"/>
      <c r="X21" s="3"/>
    </row>
    <row r="22" spans="1:24">
      <c r="A22" s="3"/>
      <c r="B22" s="3"/>
      <c r="C22" s="3"/>
      <c r="D22" s="3"/>
      <c r="E22" s="3"/>
      <c r="F22" s="3"/>
      <c r="G22" s="3"/>
      <c r="H22" s="499"/>
      <c r="I22" s="499"/>
      <c r="J22" s="499"/>
      <c r="K22" s="499"/>
      <c r="L22" s="499"/>
      <c r="M22" s="499"/>
      <c r="N22" s="499"/>
      <c r="O22" s="499"/>
      <c r="P22" s="499"/>
      <c r="Q22" s="499"/>
      <c r="R22" s="499"/>
      <c r="S22" s="499"/>
      <c r="T22" s="3"/>
      <c r="U22" s="3"/>
      <c r="V22" s="349" t="s">
        <v>140</v>
      </c>
      <c r="W22" s="3"/>
      <c r="X22" s="3"/>
    </row>
    <row r="23" spans="1:24">
      <c r="A23" s="3"/>
      <c r="B23" s="3"/>
      <c r="C23" s="3"/>
      <c r="D23" s="3"/>
      <c r="E23" s="3"/>
      <c r="F23" s="3"/>
      <c r="G23" s="3"/>
      <c r="H23" s="499"/>
      <c r="I23" s="499"/>
      <c r="J23" s="499"/>
      <c r="K23" s="499"/>
      <c r="L23" s="499"/>
      <c r="M23" s="94" t="s">
        <v>455</v>
      </c>
      <c r="N23" s="499"/>
      <c r="O23" s="673">
        <f>IF(V18&gt;V20, V18/V20, V20/V18)</f>
        <v>1.5811388300841898</v>
      </c>
      <c r="P23" s="484"/>
      <c r="Q23" s="499"/>
      <c r="R23" s="499"/>
      <c r="S23" s="499"/>
      <c r="T23" s="3"/>
      <c r="U23" s="3"/>
      <c r="V23" s="3"/>
      <c r="W23" s="3"/>
      <c r="X23" s="3"/>
    </row>
    <row r="24" spans="1:24">
      <c r="A24" s="3"/>
      <c r="B24" s="3"/>
      <c r="C24" s="3"/>
      <c r="D24" s="3"/>
      <c r="E24" s="3"/>
      <c r="F24" s="3"/>
      <c r="G24" s="3"/>
      <c r="H24" s="499"/>
      <c r="I24" s="499"/>
      <c r="J24" s="499"/>
      <c r="K24" s="499"/>
      <c r="L24" s="499"/>
      <c r="M24" s="499"/>
      <c r="N24" s="499"/>
      <c r="O24" s="499"/>
      <c r="P24" s="499"/>
      <c r="Q24" s="94" t="s">
        <v>565</v>
      </c>
      <c r="R24" s="499"/>
      <c r="S24" s="499"/>
      <c r="T24" s="3"/>
      <c r="U24" s="3"/>
      <c r="V24" s="3"/>
      <c r="W24" s="3"/>
      <c r="X24" s="3"/>
    </row>
    <row r="25" spans="1:24">
      <c r="A25" s="3"/>
      <c r="B25" s="3"/>
      <c r="C25" s="3"/>
      <c r="D25" s="3"/>
      <c r="E25" s="3"/>
      <c r="F25" s="3"/>
      <c r="G25" s="3"/>
      <c r="H25" s="499"/>
      <c r="I25" s="499"/>
      <c r="J25" s="499"/>
      <c r="K25" s="499"/>
      <c r="L25" s="499"/>
      <c r="M25" s="499"/>
      <c r="N25" s="499"/>
      <c r="O25" s="499"/>
      <c r="P25" s="499"/>
      <c r="Q25" s="499"/>
      <c r="R25" s="499"/>
      <c r="S25" s="499"/>
      <c r="T25" s="3"/>
      <c r="U25" s="3"/>
      <c r="V25" s="3"/>
      <c r="W25" s="3"/>
      <c r="X25" s="3"/>
    </row>
    <row r="26" spans="1:24">
      <c r="A26" s="3"/>
      <c r="B26" s="3"/>
      <c r="C26" s="3"/>
      <c r="D26" s="3"/>
      <c r="E26" s="3"/>
      <c r="F26" s="3"/>
      <c r="G26" s="3"/>
      <c r="H26" s="499"/>
      <c r="I26" s="499"/>
      <c r="J26" s="499"/>
      <c r="K26" s="499"/>
      <c r="L26" s="499"/>
      <c r="M26" s="499"/>
      <c r="N26" s="499"/>
      <c r="O26" s="499"/>
      <c r="P26" s="499"/>
      <c r="Q26" s="499"/>
      <c r="R26" s="499"/>
      <c r="S26" s="499"/>
      <c r="T26" s="3"/>
      <c r="U26" s="3"/>
      <c r="V26" s="3"/>
      <c r="W26" s="3"/>
      <c r="X26" s="3"/>
    </row>
    <row r="27" spans="1:24">
      <c r="A27" s="3"/>
      <c r="B27" s="3"/>
      <c r="C27" s="3"/>
      <c r="D27" s="3"/>
      <c r="E27" s="3"/>
      <c r="F27" s="3"/>
      <c r="G27" s="3"/>
      <c r="H27" s="499"/>
      <c r="I27" s="499"/>
      <c r="J27" s="499"/>
      <c r="K27" s="499"/>
      <c r="L27" s="499"/>
      <c r="M27" s="499"/>
      <c r="N27" s="499"/>
      <c r="O27" s="499"/>
      <c r="P27" s="499"/>
      <c r="Q27" s="499"/>
      <c r="R27" s="498" t="s">
        <v>236</v>
      </c>
      <c r="S27" s="499"/>
      <c r="T27" s="3"/>
      <c r="U27" s="3"/>
      <c r="V27" s="3"/>
      <c r="W27" s="3"/>
      <c r="X27" s="3"/>
    </row>
    <row r="28" spans="1:24">
      <c r="A28" s="3"/>
      <c r="B28" s="3"/>
      <c r="C28" s="3"/>
      <c r="D28" s="3"/>
      <c r="E28" s="3"/>
      <c r="F28" s="3"/>
      <c r="G28" s="3"/>
      <c r="H28" s="499"/>
      <c r="I28" s="499"/>
      <c r="J28" s="499"/>
      <c r="K28" s="499"/>
      <c r="L28" s="499"/>
      <c r="M28" s="499"/>
      <c r="N28" s="499"/>
      <c r="O28" s="499"/>
      <c r="P28" s="499"/>
      <c r="Q28" s="499"/>
      <c r="R28" s="498" t="s">
        <v>728</v>
      </c>
      <c r="S28" s="499"/>
      <c r="T28" s="3"/>
      <c r="U28" s="3"/>
      <c r="V28" s="3"/>
      <c r="W28" s="3"/>
      <c r="X28" s="3"/>
    </row>
    <row r="29" spans="1:24">
      <c r="A29" s="3"/>
      <c r="B29" s="3"/>
      <c r="C29" s="3"/>
      <c r="D29" s="3"/>
      <c r="E29" s="3"/>
      <c r="F29" s="3"/>
      <c r="G29" s="3"/>
      <c r="H29" s="499"/>
      <c r="I29" s="499"/>
      <c r="J29" s="499"/>
      <c r="K29" s="499"/>
      <c r="L29" s="499"/>
      <c r="M29" s="499"/>
      <c r="N29" s="499"/>
      <c r="O29" s="499"/>
      <c r="P29" s="499"/>
      <c r="Q29" s="499"/>
      <c r="R29" s="499"/>
      <c r="S29" s="499"/>
      <c r="T29" s="3"/>
      <c r="U29" s="3"/>
      <c r="V29" s="3"/>
      <c r="W29" s="3"/>
      <c r="X29" s="3"/>
    </row>
    <row r="30" spans="1:24">
      <c r="A30" s="3"/>
      <c r="B30" s="3"/>
      <c r="C30" s="3"/>
      <c r="D30" s="3"/>
      <c r="E30" s="3"/>
      <c r="F30" s="3"/>
      <c r="G30" s="3"/>
      <c r="H30" s="499"/>
      <c r="I30" s="499"/>
      <c r="J30" s="499"/>
      <c r="K30" s="499"/>
      <c r="L30" s="499"/>
      <c r="M30" s="499"/>
      <c r="N30" s="499"/>
      <c r="O30" s="499"/>
      <c r="P30" s="499"/>
      <c r="Q30" s="498" t="s">
        <v>566</v>
      </c>
      <c r="R30" s="499"/>
      <c r="S30" s="499"/>
      <c r="T30" s="3"/>
      <c r="U30" s="3"/>
      <c r="V30" s="3"/>
      <c r="W30" s="3"/>
      <c r="X30" s="3"/>
    </row>
    <row r="31" spans="1:24">
      <c r="A31" s="3"/>
      <c r="B31" s="3"/>
      <c r="C31" s="3"/>
      <c r="D31" s="3"/>
      <c r="E31" s="3"/>
      <c r="F31" s="3"/>
      <c r="G31" s="3"/>
      <c r="H31" s="499"/>
      <c r="I31" s="499"/>
      <c r="J31" s="499"/>
      <c r="K31" s="499"/>
      <c r="L31" s="499"/>
      <c r="M31" s="499"/>
      <c r="N31" s="499"/>
      <c r="O31" s="499"/>
      <c r="P31" s="499"/>
      <c r="Q31" s="499"/>
      <c r="R31" s="499"/>
      <c r="S31" s="499"/>
      <c r="T31" s="3"/>
      <c r="U31" s="3"/>
      <c r="V31" s="3"/>
      <c r="W31" s="3"/>
      <c r="X31" s="3"/>
    </row>
    <row r="32" spans="1:24">
      <c r="A32" s="3"/>
      <c r="B32" s="3"/>
      <c r="C32" s="3"/>
      <c r="D32" s="3"/>
      <c r="E32" s="3"/>
      <c r="F32" s="3"/>
      <c r="G32" s="3"/>
      <c r="H32" s="499"/>
      <c r="I32" s="499"/>
      <c r="J32" s="499"/>
      <c r="K32" s="499"/>
      <c r="L32" s="499"/>
      <c r="M32" s="481" t="s">
        <v>453</v>
      </c>
      <c r="N32" s="498"/>
      <c r="O32" s="498"/>
      <c r="P32" s="498"/>
      <c r="Q32" s="502">
        <v>5</v>
      </c>
      <c r="R32" s="498"/>
      <c r="S32" s="499"/>
      <c r="T32" s="3"/>
      <c r="U32" s="3"/>
      <c r="V32" s="3"/>
      <c r="W32" s="3"/>
      <c r="X32" s="3"/>
    </row>
    <row r="33" spans="1:24">
      <c r="A33" s="3"/>
      <c r="B33" s="3"/>
      <c r="C33" s="3"/>
      <c r="D33" s="3"/>
      <c r="E33" s="3"/>
      <c r="F33" s="3"/>
      <c r="G33" s="3"/>
      <c r="H33" s="499"/>
      <c r="I33" s="499"/>
      <c r="J33" s="499"/>
      <c r="K33" s="499"/>
      <c r="L33" s="499"/>
      <c r="M33" s="498"/>
      <c r="N33" s="498"/>
      <c r="O33" s="498"/>
      <c r="P33" s="498"/>
      <c r="Q33" s="498"/>
      <c r="R33" s="498"/>
      <c r="S33" s="499"/>
      <c r="T33" s="3"/>
      <c r="U33" s="3"/>
      <c r="V33" s="3"/>
      <c r="W33" s="3"/>
      <c r="X33" s="3"/>
    </row>
    <row r="34" spans="1:24">
      <c r="A34" s="3"/>
      <c r="B34" s="3"/>
      <c r="C34" s="3"/>
      <c r="D34" s="3"/>
      <c r="E34" s="3"/>
      <c r="F34" s="3"/>
      <c r="G34" s="3"/>
      <c r="H34" s="499"/>
      <c r="I34" s="499"/>
      <c r="J34" s="499"/>
      <c r="K34" s="499"/>
      <c r="L34" s="499"/>
      <c r="M34" s="498" t="s">
        <v>454</v>
      </c>
      <c r="N34" s="498"/>
      <c r="O34" s="498"/>
      <c r="P34" s="498"/>
      <c r="Q34" s="718">
        <v>0.25</v>
      </c>
      <c r="R34" s="498"/>
      <c r="S34" s="499"/>
      <c r="T34" s="3"/>
      <c r="U34" s="3"/>
      <c r="V34" s="3"/>
      <c r="W34" s="3"/>
      <c r="X34" s="3"/>
    </row>
    <row r="35" spans="1:24">
      <c r="A35" s="3"/>
      <c r="B35" s="3"/>
      <c r="C35" s="3"/>
      <c r="D35" s="3"/>
      <c r="E35" s="3"/>
      <c r="F35" s="3"/>
      <c r="G35" s="3"/>
      <c r="H35" s="499"/>
      <c r="I35" s="499"/>
      <c r="J35" s="499"/>
      <c r="K35" s="499"/>
      <c r="L35" s="499"/>
      <c r="M35" s="498"/>
      <c r="N35" s="498"/>
      <c r="O35" s="498"/>
      <c r="P35" s="498"/>
      <c r="Q35" s="498"/>
      <c r="R35" s="498"/>
      <c r="S35" s="499"/>
      <c r="T35" s="3"/>
      <c r="U35" s="3"/>
      <c r="V35" s="3"/>
      <c r="W35" s="3"/>
      <c r="X35" s="3"/>
    </row>
    <row r="36" spans="1:24">
      <c r="A36" s="3"/>
      <c r="B36" s="3"/>
      <c r="C36" s="3"/>
      <c r="D36" s="3"/>
      <c r="E36" s="3"/>
      <c r="F36" s="3"/>
      <c r="G36" s="3"/>
      <c r="H36" s="499"/>
      <c r="I36" s="499"/>
      <c r="J36" s="499"/>
      <c r="K36" s="499"/>
      <c r="L36" s="499"/>
      <c r="M36" s="498" t="s">
        <v>455</v>
      </c>
      <c r="N36" s="498"/>
      <c r="O36" s="498"/>
      <c r="P36" s="498"/>
      <c r="Q36" s="673">
        <f>(SQRT(Q32)+SQRT(Q34))/(SQRT(Q32)-SQRT(Q34))</f>
        <v>1.5760143110525873</v>
      </c>
      <c r="R36" s="498"/>
      <c r="S36" s="499"/>
      <c r="T36" s="3"/>
      <c r="U36" s="3"/>
      <c r="V36" s="3"/>
      <c r="W36" s="3"/>
      <c r="X36" s="3"/>
    </row>
    <row r="37" spans="1:24">
      <c r="A37" s="3"/>
      <c r="B37" s="3"/>
      <c r="C37" s="3"/>
      <c r="D37" s="3"/>
      <c r="E37" s="3"/>
      <c r="F37" s="3"/>
      <c r="G37" s="3"/>
      <c r="H37" s="499"/>
      <c r="I37" s="499"/>
      <c r="J37" s="499"/>
      <c r="K37" s="499"/>
      <c r="L37" s="499"/>
      <c r="M37" s="498"/>
      <c r="N37" s="498"/>
      <c r="O37" s="498"/>
      <c r="P37" s="498"/>
      <c r="Q37" s="498"/>
      <c r="R37" s="498"/>
      <c r="S37" s="499"/>
      <c r="T37" s="3"/>
      <c r="U37" s="3"/>
      <c r="V37" s="3"/>
      <c r="W37" s="3"/>
      <c r="X37" s="3"/>
    </row>
    <row r="38" spans="1:24">
      <c r="A38" s="3"/>
      <c r="B38" s="3"/>
      <c r="C38" s="3"/>
      <c r="D38" s="3"/>
      <c r="E38" s="3"/>
      <c r="F38" s="3"/>
      <c r="G38" s="3"/>
      <c r="H38" s="499"/>
      <c r="I38" s="499"/>
      <c r="J38" s="499"/>
      <c r="K38" s="499"/>
      <c r="L38" s="499"/>
      <c r="M38" s="498"/>
      <c r="N38" s="498"/>
      <c r="O38" s="498"/>
      <c r="P38" s="498"/>
      <c r="Q38" s="498"/>
      <c r="R38" s="498"/>
      <c r="S38" s="499"/>
      <c r="T38" s="3"/>
      <c r="U38" s="3"/>
      <c r="V38" s="3"/>
      <c r="W38" s="3"/>
      <c r="X38" s="3"/>
    </row>
    <row r="39" spans="1:24">
      <c r="A39" s="3"/>
      <c r="B39" s="3"/>
      <c r="C39" s="3"/>
      <c r="D39" s="3"/>
      <c r="E39" s="3"/>
      <c r="F39" s="3"/>
      <c r="G39" s="3"/>
      <c r="H39" s="499"/>
      <c r="I39" s="499"/>
      <c r="J39" s="499"/>
      <c r="K39" s="499"/>
      <c r="L39" s="499"/>
      <c r="M39" s="498"/>
      <c r="N39" s="498"/>
      <c r="O39" s="498"/>
      <c r="P39" s="498"/>
      <c r="Q39" s="499"/>
      <c r="R39" s="499"/>
      <c r="S39" s="499"/>
      <c r="T39" s="3"/>
      <c r="U39" s="3"/>
      <c r="V39" s="3"/>
      <c r="W39" s="3"/>
      <c r="X39" s="3"/>
    </row>
    <row r="40" spans="1:24">
      <c r="A40" s="3"/>
      <c r="B40" s="3"/>
      <c r="C40" s="3"/>
      <c r="D40" s="3"/>
      <c r="E40" s="3"/>
      <c r="F40" s="3"/>
      <c r="G40" s="3"/>
      <c r="H40" s="499"/>
      <c r="I40" s="499"/>
      <c r="J40" s="499"/>
      <c r="K40" s="499"/>
      <c r="L40" s="499"/>
      <c r="M40" s="498"/>
      <c r="N40" s="498"/>
      <c r="O40" s="498"/>
      <c r="P40" s="498"/>
      <c r="Q40" s="499"/>
      <c r="R40" s="499"/>
      <c r="S40" s="499"/>
      <c r="T40" s="3"/>
      <c r="U40" s="3"/>
      <c r="V40" s="3"/>
      <c r="W40" s="3"/>
      <c r="X40" s="3"/>
    </row>
    <row r="41" spans="1:24">
      <c r="A41" s="3"/>
      <c r="B41" s="3"/>
      <c r="C41" s="3"/>
      <c r="D41" s="3"/>
      <c r="E41" s="3"/>
      <c r="F41" s="3"/>
      <c r="G41" s="3"/>
      <c r="H41" s="499"/>
      <c r="I41" s="499"/>
      <c r="J41" s="499"/>
      <c r="K41" s="499"/>
      <c r="L41" s="499"/>
      <c r="M41" s="499"/>
      <c r="N41" s="499"/>
      <c r="O41" s="499"/>
      <c r="P41" s="499"/>
      <c r="Q41" s="499"/>
      <c r="R41" s="499"/>
      <c r="S41" s="499"/>
      <c r="T41" s="3"/>
      <c r="U41" s="3"/>
      <c r="V41" s="3"/>
      <c r="W41" s="3"/>
      <c r="X41" s="3"/>
    </row>
    <row r="42" spans="1:24">
      <c r="A42" s="3"/>
      <c r="B42" s="3"/>
      <c r="C42" s="3"/>
      <c r="D42" s="3"/>
      <c r="E42" s="3"/>
      <c r="F42" s="3"/>
      <c r="G42" s="349" t="s">
        <v>140</v>
      </c>
      <c r="H42" s="499"/>
      <c r="I42" s="499"/>
      <c r="J42" s="499"/>
      <c r="K42" s="499"/>
      <c r="L42" s="499"/>
      <c r="M42" s="499"/>
      <c r="N42" s="499"/>
      <c r="O42" s="499"/>
      <c r="P42" s="499"/>
      <c r="Q42" s="499"/>
      <c r="R42" s="499"/>
      <c r="S42" s="499"/>
      <c r="T42" s="3"/>
      <c r="U42" s="3"/>
      <c r="V42" s="3"/>
      <c r="W42" s="3"/>
      <c r="X42" s="3"/>
    </row>
    <row r="43" spans="1:24">
      <c r="A43" s="3"/>
      <c r="B43" s="3"/>
      <c r="C43" s="3"/>
      <c r="D43" s="3"/>
      <c r="E43" s="3"/>
      <c r="F43" s="3"/>
      <c r="G43" s="3"/>
      <c r="H43" s="499"/>
      <c r="I43" s="499"/>
      <c r="J43" s="499"/>
      <c r="K43" s="499"/>
      <c r="L43" s="499"/>
      <c r="M43" s="499"/>
      <c r="N43" s="499"/>
      <c r="O43" s="499"/>
      <c r="P43" s="499"/>
      <c r="Q43" s="499"/>
      <c r="R43" s="499"/>
      <c r="S43" s="499"/>
      <c r="T43" s="3"/>
      <c r="U43" s="3"/>
      <c r="V43" s="3"/>
      <c r="W43" s="3"/>
      <c r="X43" s="3"/>
    </row>
    <row r="44" spans="1:24">
      <c r="A44" s="3"/>
      <c r="B44" s="3"/>
      <c r="C44" s="3"/>
      <c r="D44" s="3"/>
      <c r="E44" s="3"/>
      <c r="F44" s="3"/>
      <c r="G44" s="3"/>
      <c r="H44" s="499"/>
      <c r="I44" s="499"/>
      <c r="J44" s="499"/>
      <c r="K44" s="499"/>
      <c r="L44" s="499"/>
      <c r="M44" s="499"/>
      <c r="N44" s="499"/>
      <c r="O44" s="499"/>
      <c r="P44" s="499"/>
      <c r="Q44" s="499"/>
      <c r="R44" s="499"/>
      <c r="S44" s="499"/>
      <c r="T44" s="3"/>
      <c r="U44" s="3"/>
      <c r="V44" s="3"/>
      <c r="W44" s="3"/>
      <c r="X44" s="3"/>
    </row>
    <row r="45" spans="1:24">
      <c r="A45" s="3"/>
      <c r="B45" s="3"/>
      <c r="C45" s="3"/>
      <c r="D45" s="3"/>
      <c r="E45" s="3"/>
      <c r="F45" s="3"/>
      <c r="G45" s="3"/>
      <c r="H45" s="499"/>
      <c r="I45" s="499"/>
      <c r="J45" s="499"/>
      <c r="K45" s="499"/>
      <c r="L45" s="499"/>
      <c r="M45" s="499"/>
      <c r="N45" s="499"/>
      <c r="O45" s="499"/>
      <c r="P45" s="499"/>
      <c r="Q45" s="499"/>
      <c r="R45" s="499"/>
      <c r="S45" s="499"/>
      <c r="T45" s="3"/>
      <c r="U45" s="3"/>
      <c r="V45" s="3"/>
      <c r="W45" s="3"/>
      <c r="X45" s="3"/>
    </row>
    <row r="46" spans="1:24">
      <c r="A46" s="3"/>
      <c r="B46" s="3"/>
      <c r="C46" s="3"/>
      <c r="D46" s="3"/>
      <c r="E46" s="3"/>
      <c r="F46" s="3"/>
      <c r="G46" s="3"/>
      <c r="H46" s="499"/>
      <c r="I46" s="499"/>
      <c r="J46" s="499"/>
      <c r="K46" s="499"/>
      <c r="L46" s="499"/>
      <c r="M46" s="499"/>
      <c r="N46" s="499"/>
      <c r="O46" s="499"/>
      <c r="P46" s="499"/>
      <c r="Q46" s="499"/>
      <c r="R46" s="499"/>
      <c r="S46" s="499"/>
      <c r="T46" s="3"/>
      <c r="U46" s="3"/>
      <c r="V46" s="3"/>
      <c r="W46" s="3"/>
      <c r="X46" s="3"/>
    </row>
    <row r="47" spans="1:24">
      <c r="A47" s="3"/>
      <c r="B47" s="3"/>
      <c r="C47" s="3"/>
      <c r="D47" s="3"/>
      <c r="E47" s="3"/>
      <c r="F47" s="3"/>
      <c r="G47" s="3"/>
      <c r="H47" s="499"/>
      <c r="I47" s="499"/>
      <c r="J47" s="499"/>
      <c r="K47" s="499"/>
      <c r="L47" s="499"/>
      <c r="M47" s="499"/>
      <c r="N47" s="499"/>
      <c r="O47" s="499"/>
      <c r="P47" s="499"/>
      <c r="Q47" s="499"/>
      <c r="R47" s="499"/>
      <c r="S47" s="499"/>
      <c r="T47" s="3"/>
      <c r="U47" s="3"/>
      <c r="V47" s="3"/>
      <c r="W47" s="3"/>
      <c r="X47" s="3"/>
    </row>
    <row r="48" spans="1:24">
      <c r="A48" s="3"/>
      <c r="B48" s="3"/>
      <c r="C48" s="3"/>
      <c r="D48" s="3"/>
      <c r="E48" s="3"/>
      <c r="F48" s="3"/>
      <c r="G48" s="3"/>
      <c r="H48" s="499"/>
      <c r="I48" s="499"/>
      <c r="J48" s="499"/>
      <c r="K48" s="499"/>
      <c r="L48" s="499"/>
      <c r="M48" s="499"/>
      <c r="N48" s="499"/>
      <c r="O48" s="499"/>
      <c r="P48" s="499"/>
      <c r="Q48" s="499"/>
      <c r="R48" s="499"/>
      <c r="S48" s="499"/>
      <c r="T48" s="3"/>
      <c r="U48" s="3"/>
      <c r="V48" s="3"/>
      <c r="W48" s="3"/>
      <c r="X48" s="3"/>
    </row>
    <row r="49" spans="1:24">
      <c r="A49" s="3"/>
      <c r="B49" s="3"/>
      <c r="C49" s="3"/>
      <c r="D49" s="3"/>
      <c r="E49" s="3"/>
      <c r="F49" s="3"/>
      <c r="G49" s="3"/>
      <c r="H49" s="499"/>
      <c r="I49" s="499"/>
      <c r="J49" s="499"/>
      <c r="K49" s="499"/>
      <c r="L49" s="499"/>
      <c r="M49" s="499"/>
      <c r="N49" s="499"/>
      <c r="O49" s="499"/>
      <c r="P49" s="499"/>
      <c r="Q49" s="499"/>
      <c r="R49" s="499"/>
      <c r="S49" s="499"/>
      <c r="T49" s="3"/>
      <c r="U49" s="3"/>
      <c r="V49" s="3"/>
      <c r="W49" s="3"/>
      <c r="X49" s="3"/>
    </row>
    <row r="50" spans="1:24">
      <c r="A50" s="3"/>
      <c r="B50" s="3"/>
      <c r="C50" s="3"/>
      <c r="D50" s="3"/>
      <c r="E50" s="3"/>
      <c r="F50" s="3"/>
      <c r="G50" s="3"/>
      <c r="H50" s="499"/>
      <c r="I50" s="499"/>
      <c r="J50" s="499"/>
      <c r="K50" s="499"/>
      <c r="L50" s="499"/>
      <c r="M50" s="499"/>
      <c r="N50" s="499"/>
      <c r="O50" s="499"/>
      <c r="P50" s="499"/>
      <c r="Q50" s="499"/>
      <c r="R50" s="499"/>
      <c r="S50" s="499"/>
      <c r="T50" s="3"/>
      <c r="U50" s="3"/>
      <c r="V50" s="3"/>
      <c r="W50" s="3"/>
      <c r="X50" s="3"/>
    </row>
    <row r="51" spans="1:24">
      <c r="A51" s="3"/>
      <c r="B51" s="3"/>
      <c r="C51" s="3"/>
      <c r="D51" s="3"/>
      <c r="E51" s="3"/>
      <c r="F51" s="3"/>
      <c r="G51" s="3"/>
      <c r="H51" s="499"/>
      <c r="I51" s="499"/>
      <c r="J51" s="499"/>
      <c r="K51" s="499"/>
      <c r="L51" s="499"/>
      <c r="M51" s="499"/>
      <c r="N51" s="499"/>
      <c r="O51" s="499"/>
      <c r="P51" s="499"/>
      <c r="Q51" s="499"/>
      <c r="R51" s="499"/>
      <c r="S51" s="499"/>
      <c r="T51" s="3"/>
      <c r="U51" s="3"/>
      <c r="V51" s="3"/>
      <c r="W51" s="3"/>
      <c r="X51" s="3"/>
    </row>
    <row r="52" spans="1:24">
      <c r="A52" s="3"/>
      <c r="B52" s="3"/>
      <c r="C52" s="3"/>
      <c r="D52" s="3"/>
      <c r="E52" s="3"/>
      <c r="F52" s="3"/>
      <c r="G52" s="3"/>
      <c r="H52" s="499"/>
      <c r="I52" s="499"/>
      <c r="J52" s="499"/>
      <c r="K52" s="499"/>
      <c r="L52" s="499"/>
      <c r="M52" s="499"/>
      <c r="N52" s="499"/>
      <c r="O52" s="499"/>
      <c r="P52" s="499"/>
      <c r="Q52" s="499"/>
      <c r="R52" s="499"/>
      <c r="S52" s="499"/>
      <c r="T52" s="3"/>
      <c r="U52" s="3"/>
      <c r="V52" s="3"/>
      <c r="W52" s="3"/>
      <c r="X52" s="3"/>
    </row>
    <row r="53" spans="1:24">
      <c r="A53" s="3"/>
      <c r="B53" s="3"/>
      <c r="C53" s="3"/>
      <c r="D53" s="3"/>
      <c r="E53" s="3"/>
      <c r="F53" s="3"/>
      <c r="G53" s="3"/>
      <c r="H53" s="499"/>
      <c r="I53" s="499"/>
      <c r="J53" s="499"/>
      <c r="K53" s="499"/>
      <c r="L53" s="499"/>
      <c r="M53" s="499"/>
      <c r="N53" s="499"/>
      <c r="O53" s="499"/>
      <c r="P53" s="499"/>
      <c r="Q53" s="499"/>
      <c r="R53" s="499"/>
      <c r="S53" s="499"/>
      <c r="T53" s="3"/>
      <c r="U53" s="3"/>
      <c r="V53" s="3"/>
      <c r="W53" s="3"/>
      <c r="X53" s="3"/>
    </row>
    <row r="54" spans="1:24">
      <c r="A54" s="3"/>
      <c r="B54" s="3"/>
      <c r="C54" s="3"/>
      <c r="D54" s="3"/>
      <c r="E54" s="3"/>
      <c r="F54" s="3"/>
      <c r="G54" s="3"/>
      <c r="H54" s="499"/>
      <c r="I54" s="499"/>
      <c r="J54" s="499"/>
      <c r="K54" s="499"/>
      <c r="L54" s="499"/>
      <c r="M54" s="499"/>
      <c r="N54" s="499"/>
      <c r="O54" s="499"/>
      <c r="P54" s="499"/>
      <c r="Q54" s="499"/>
      <c r="R54" s="499"/>
      <c r="S54" s="49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619</v>
      </c>
      <c r="B1" s="127"/>
      <c r="C1" s="127"/>
      <c r="D1" s="127"/>
      <c r="E1" s="127"/>
      <c r="F1" s="127"/>
      <c r="G1" s="127"/>
      <c r="H1" s="127"/>
      <c r="I1" s="127"/>
      <c r="J1" s="643" t="str">
        <f>'Title Page'!F3</f>
        <v>OreSat - CS0</v>
      </c>
      <c r="K1" s="127"/>
      <c r="L1" s="127"/>
      <c r="M1" s="642" t="str">
        <f>'Title Page'!F23</f>
        <v>2019 May 6</v>
      </c>
      <c r="N1" s="127"/>
      <c r="O1" s="127"/>
      <c r="P1" s="127"/>
      <c r="Q1" s="127"/>
      <c r="R1" s="127"/>
      <c r="S1" s="127"/>
    </row>
    <row r="2" spans="1:19">
      <c r="A2" s="233"/>
      <c r="B2" s="630"/>
      <c r="C2" s="630"/>
      <c r="D2" s="630"/>
      <c r="E2" s="630"/>
      <c r="F2" s="630"/>
      <c r="G2" s="630"/>
      <c r="H2" s="630"/>
      <c r="I2" s="630"/>
      <c r="J2" s="630"/>
      <c r="K2" s="630"/>
      <c r="L2" s="630"/>
      <c r="M2" s="630"/>
      <c r="N2" s="630"/>
      <c r="O2" s="630"/>
      <c r="P2" s="630"/>
      <c r="Q2" s="630"/>
      <c r="R2" s="630"/>
      <c r="S2" s="233"/>
    </row>
    <row r="3" spans="1:19">
      <c r="A3" s="233"/>
      <c r="B3" s="656"/>
      <c r="C3" s="630"/>
      <c r="D3" s="630"/>
      <c r="E3" s="630"/>
      <c r="F3" s="630"/>
      <c r="G3" s="630"/>
      <c r="H3" s="630"/>
      <c r="I3" s="630"/>
      <c r="J3" s="630"/>
      <c r="K3" s="630"/>
      <c r="L3" s="630"/>
      <c r="M3" s="630"/>
      <c r="N3" s="630"/>
      <c r="O3" s="630"/>
      <c r="P3" s="630"/>
      <c r="Q3" s="630"/>
      <c r="R3" s="630"/>
      <c r="S3" s="233"/>
    </row>
    <row r="4" spans="1:19">
      <c r="A4" s="233"/>
      <c r="B4" s="630"/>
      <c r="C4" s="630"/>
      <c r="D4" s="630"/>
      <c r="E4" s="630"/>
      <c r="F4" s="630"/>
      <c r="G4" s="630"/>
      <c r="H4" s="630"/>
      <c r="I4" s="630"/>
      <c r="J4" s="630"/>
      <c r="K4" s="630"/>
      <c r="L4" s="630"/>
      <c r="M4" s="630"/>
      <c r="N4" s="630"/>
      <c r="O4" s="630"/>
      <c r="P4" s="630"/>
      <c r="Q4" s="630"/>
      <c r="R4" s="630"/>
      <c r="S4" s="233"/>
    </row>
    <row r="5" spans="1:19" ht="15.5">
      <c r="A5" s="233"/>
      <c r="B5" s="626" t="s">
        <v>620</v>
      </c>
      <c r="C5" s="627"/>
      <c r="D5" s="631"/>
      <c r="E5" s="631"/>
      <c r="F5" s="631"/>
      <c r="G5" s="631"/>
      <c r="H5" s="631"/>
      <c r="I5" s="631"/>
      <c r="J5" s="631"/>
      <c r="K5" s="631"/>
      <c r="L5" s="631"/>
      <c r="M5" s="631"/>
      <c r="N5" s="631"/>
      <c r="O5" s="631"/>
      <c r="P5" s="631"/>
      <c r="Q5" s="631"/>
      <c r="R5" s="631"/>
      <c r="S5" s="233"/>
    </row>
    <row r="6" spans="1:19">
      <c r="A6" s="233"/>
      <c r="B6" s="631"/>
      <c r="C6" s="631"/>
      <c r="D6" s="631"/>
      <c r="E6" s="631"/>
      <c r="F6" s="631"/>
      <c r="G6" s="631"/>
      <c r="H6" s="631"/>
      <c r="I6" s="631"/>
      <c r="J6" s="631"/>
      <c r="K6" s="631"/>
      <c r="L6" s="631"/>
      <c r="M6" s="631"/>
      <c r="N6" s="631"/>
      <c r="O6" s="631"/>
      <c r="P6" s="631"/>
      <c r="Q6" s="631"/>
      <c r="R6" s="631"/>
      <c r="S6" s="233"/>
    </row>
    <row r="7" spans="1:19">
      <c r="A7" s="233"/>
      <c r="B7" s="631" t="s">
        <v>621</v>
      </c>
      <c r="C7" s="631"/>
      <c r="D7" s="631"/>
      <c r="E7" s="631"/>
      <c r="F7" s="631"/>
      <c r="G7" s="631"/>
      <c r="H7" s="631"/>
      <c r="I7" s="631"/>
      <c r="J7" s="631"/>
      <c r="K7" s="631"/>
      <c r="L7" s="631"/>
      <c r="M7" s="631"/>
      <c r="N7" s="631"/>
      <c r="O7" s="631"/>
      <c r="P7" s="631"/>
      <c r="Q7" s="631"/>
      <c r="R7" s="631"/>
      <c r="S7" s="233"/>
    </row>
    <row r="8" spans="1:19">
      <c r="A8" s="233"/>
      <c r="B8" s="631" t="s">
        <v>683</v>
      </c>
      <c r="C8" s="631"/>
      <c r="D8" s="631"/>
      <c r="E8" s="631"/>
      <c r="F8" s="631"/>
      <c r="G8" s="631"/>
      <c r="H8" s="631"/>
      <c r="I8" s="631"/>
      <c r="J8" s="631"/>
      <c r="K8" s="631"/>
      <c r="L8" s="631"/>
      <c r="M8" s="631"/>
      <c r="N8" s="631"/>
      <c r="O8" s="631"/>
      <c r="P8" s="631"/>
      <c r="Q8" s="631"/>
      <c r="R8" s="631"/>
      <c r="S8" s="233"/>
    </row>
    <row r="9" spans="1:19">
      <c r="A9" s="233"/>
      <c r="B9" s="631" t="s">
        <v>706</v>
      </c>
      <c r="C9" s="631"/>
      <c r="D9" s="631"/>
      <c r="E9" s="631"/>
      <c r="F9" s="631"/>
      <c r="G9" s="631"/>
      <c r="H9" s="631"/>
      <c r="I9" s="631"/>
      <c r="J9" s="631"/>
      <c r="K9" s="631"/>
      <c r="L9" s="631"/>
      <c r="M9" s="631"/>
      <c r="N9" s="631"/>
      <c r="O9" s="631"/>
      <c r="P9" s="631"/>
      <c r="Q9" s="631"/>
      <c r="R9" s="631"/>
      <c r="S9" s="233"/>
    </row>
    <row r="10" spans="1:19">
      <c r="A10" s="233"/>
      <c r="B10" s="631" t="s">
        <v>707</v>
      </c>
      <c r="C10" s="631"/>
      <c r="D10" s="631"/>
      <c r="E10" s="631"/>
      <c r="F10" s="631"/>
      <c r="G10" s="631"/>
      <c r="H10" s="631"/>
      <c r="I10" s="631"/>
      <c r="J10" s="631"/>
      <c r="K10" s="631"/>
      <c r="L10" s="631"/>
      <c r="M10" s="631"/>
      <c r="N10" s="631"/>
      <c r="O10" s="631"/>
      <c r="P10" s="631"/>
      <c r="Q10" s="631"/>
      <c r="R10" s="631"/>
      <c r="S10" s="233"/>
    </row>
    <row r="11" spans="1:19">
      <c r="A11" s="233"/>
      <c r="B11" s="631" t="s">
        <v>647</v>
      </c>
      <c r="C11" s="631"/>
      <c r="D11" s="631"/>
      <c r="E11" s="631"/>
      <c r="F11" s="631"/>
      <c r="G11" s="631"/>
      <c r="H11" s="631"/>
      <c r="I11" s="631"/>
      <c r="J11" s="631"/>
      <c r="K11" s="631"/>
      <c r="L11" s="631"/>
      <c r="M11" s="631"/>
      <c r="N11" s="631"/>
      <c r="O11" s="631"/>
      <c r="P11" s="631"/>
      <c r="Q11" s="631"/>
      <c r="R11" s="631"/>
      <c r="S11" s="233"/>
    </row>
    <row r="12" spans="1:19">
      <c r="A12" s="233"/>
      <c r="B12" s="631"/>
      <c r="C12" s="631"/>
      <c r="D12" s="631"/>
      <c r="E12" s="631"/>
      <c r="F12" s="631"/>
      <c r="G12" s="631"/>
      <c r="H12" s="631"/>
      <c r="I12" s="631"/>
      <c r="J12" s="631"/>
      <c r="K12" s="631"/>
      <c r="L12" s="631"/>
      <c r="M12" s="631"/>
      <c r="N12" s="631"/>
      <c r="O12" s="631"/>
      <c r="P12" s="631"/>
      <c r="Q12" s="631"/>
      <c r="R12" s="631"/>
      <c r="S12" s="233"/>
    </row>
    <row r="13" spans="1:19" ht="15.5">
      <c r="A13" s="233"/>
      <c r="B13" s="626" t="s">
        <v>622</v>
      </c>
      <c r="C13" s="628"/>
      <c r="D13" s="627"/>
      <c r="E13" s="631"/>
      <c r="F13" s="631"/>
      <c r="G13" s="631"/>
      <c r="H13" s="631"/>
      <c r="I13" s="631"/>
      <c r="J13" s="631"/>
      <c r="K13" s="631"/>
      <c r="L13" s="631"/>
      <c r="M13" s="631"/>
      <c r="N13" s="631"/>
      <c r="O13" s="631"/>
      <c r="P13" s="631"/>
      <c r="Q13" s="631"/>
      <c r="R13" s="631"/>
      <c r="S13" s="233"/>
    </row>
    <row r="14" spans="1:19">
      <c r="A14" s="233"/>
      <c r="B14" s="631"/>
      <c r="C14" s="631"/>
      <c r="D14" s="631"/>
      <c r="E14" s="631"/>
      <c r="F14" s="631"/>
      <c r="G14" s="631"/>
      <c r="H14" s="631"/>
      <c r="I14" s="631"/>
      <c r="J14" s="631"/>
      <c r="K14" s="631"/>
      <c r="L14" s="631"/>
      <c r="M14" s="631"/>
      <c r="N14" s="631"/>
      <c r="O14" s="631"/>
      <c r="P14" s="631"/>
      <c r="Q14" s="631"/>
      <c r="R14" s="631"/>
      <c r="S14" s="233"/>
    </row>
    <row r="15" spans="1:19" ht="13">
      <c r="A15" s="233"/>
      <c r="B15" s="631"/>
      <c r="C15" s="629" t="s">
        <v>623</v>
      </c>
      <c r="D15" s="631" t="s">
        <v>673</v>
      </c>
      <c r="E15" s="631"/>
      <c r="F15" s="631"/>
      <c r="G15" s="631"/>
      <c r="H15" s="631"/>
      <c r="I15" s="631"/>
      <c r="J15" s="631"/>
      <c r="K15" s="631"/>
      <c r="L15" s="631"/>
      <c r="M15" s="631"/>
      <c r="N15" s="631"/>
      <c r="O15" s="631"/>
      <c r="P15" s="631"/>
      <c r="Q15" s="631"/>
      <c r="R15" s="631"/>
      <c r="S15" s="233"/>
    </row>
    <row r="16" spans="1:19">
      <c r="A16" s="233"/>
      <c r="B16" s="233"/>
      <c r="C16" s="233" t="s">
        <v>639</v>
      </c>
      <c r="D16" s="233"/>
      <c r="E16" s="233"/>
      <c r="F16" s="233"/>
      <c r="G16" s="233"/>
      <c r="H16" s="233"/>
      <c r="I16" s="233"/>
      <c r="J16" s="233"/>
      <c r="K16" s="233"/>
      <c r="L16" s="233"/>
      <c r="M16" s="233"/>
      <c r="N16" s="233"/>
      <c r="O16" s="233"/>
      <c r="P16" s="233"/>
      <c r="Q16" s="233"/>
      <c r="R16" s="233"/>
      <c r="S16" s="233"/>
    </row>
    <row r="17" spans="1:19">
      <c r="A17" s="233"/>
      <c r="B17" s="233"/>
      <c r="C17" s="233" t="s">
        <v>624</v>
      </c>
      <c r="D17" s="233"/>
      <c r="E17" s="233"/>
      <c r="F17" s="233"/>
      <c r="G17" s="233"/>
      <c r="H17" s="233"/>
      <c r="I17" s="233"/>
      <c r="J17" s="233"/>
      <c r="K17" s="233"/>
      <c r="L17" s="233"/>
      <c r="M17" s="233"/>
      <c r="N17" s="233"/>
      <c r="O17" s="233"/>
      <c r="P17" s="233"/>
      <c r="Q17" s="233"/>
      <c r="R17" s="233"/>
      <c r="S17" s="233"/>
    </row>
    <row r="18" spans="1:19">
      <c r="A18" s="233"/>
      <c r="B18" s="233"/>
      <c r="C18" s="233" t="s">
        <v>638</v>
      </c>
      <c r="D18" s="233"/>
      <c r="E18" s="233"/>
      <c r="F18" s="233"/>
      <c r="G18" s="233"/>
      <c r="H18" s="233"/>
      <c r="I18" s="233"/>
      <c r="J18" s="233"/>
      <c r="K18" s="233"/>
      <c r="L18" s="233"/>
      <c r="M18" s="233"/>
      <c r="N18" s="233"/>
      <c r="O18" s="233"/>
      <c r="P18" s="233"/>
      <c r="Q18" s="233"/>
      <c r="R18" s="233"/>
      <c r="S18" s="233"/>
    </row>
    <row r="19" spans="1:19">
      <c r="A19" s="233"/>
      <c r="B19" s="233"/>
      <c r="C19" s="233" t="s">
        <v>625</v>
      </c>
      <c r="D19" s="233"/>
      <c r="E19" s="233"/>
      <c r="F19" s="233"/>
      <c r="G19" s="233"/>
      <c r="H19" s="233"/>
      <c r="I19" s="233"/>
      <c r="J19" s="233"/>
      <c r="K19" s="233"/>
      <c r="L19" s="233"/>
      <c r="M19" s="233"/>
      <c r="N19" s="233"/>
      <c r="O19" s="233"/>
      <c r="P19" s="233"/>
      <c r="Q19" s="233"/>
      <c r="R19" s="233"/>
      <c r="S19" s="233"/>
    </row>
    <row r="20" spans="1:19">
      <c r="A20" s="233"/>
      <c r="B20" s="233"/>
      <c r="C20" t="s">
        <v>626</v>
      </c>
      <c r="H20" s="3"/>
      <c r="I20" t="s">
        <v>627</v>
      </c>
      <c r="J20" s="605"/>
      <c r="K20" t="s">
        <v>628</v>
      </c>
      <c r="L20" s="427"/>
      <c r="M20" s="233" t="s">
        <v>629</v>
      </c>
      <c r="N20" s="233"/>
      <c r="O20" s="233"/>
      <c r="P20" s="233"/>
      <c r="Q20" s="233"/>
      <c r="R20" s="233"/>
      <c r="S20" s="233"/>
    </row>
    <row r="21" spans="1:19">
      <c r="A21" s="233"/>
      <c r="B21" s="233"/>
      <c r="C21" s="233" t="s">
        <v>695</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672</v>
      </c>
      <c r="F23" s="233"/>
      <c r="G23" s="233"/>
      <c r="H23" s="233"/>
      <c r="I23" s="233"/>
      <c r="J23" s="233"/>
      <c r="K23" s="233"/>
      <c r="L23" s="233"/>
      <c r="M23" s="233"/>
      <c r="N23" s="233"/>
      <c r="O23" s="233"/>
      <c r="P23" s="233"/>
      <c r="Q23" s="233"/>
      <c r="R23" s="233"/>
      <c r="S23" s="233"/>
    </row>
    <row r="24" spans="1:19">
      <c r="A24" s="233"/>
      <c r="B24" s="233"/>
      <c r="C24" s="233"/>
      <c r="D24" s="233" t="s">
        <v>630</v>
      </c>
      <c r="E24" s="233"/>
      <c r="F24" s="233"/>
      <c r="G24" s="233"/>
      <c r="H24" s="233"/>
      <c r="I24" s="233"/>
      <c r="J24" s="233"/>
      <c r="K24" s="233"/>
      <c r="L24" s="233"/>
      <c r="M24" s="233"/>
      <c r="N24" s="233"/>
      <c r="O24" s="233"/>
      <c r="P24" s="233"/>
      <c r="Q24" s="233"/>
      <c r="R24" s="233"/>
      <c r="S24" s="233"/>
    </row>
    <row r="25" spans="1:19">
      <c r="A25" s="233"/>
      <c r="B25" s="233"/>
      <c r="C25" s="233"/>
      <c r="D25" s="233" t="s">
        <v>631</v>
      </c>
      <c r="E25" s="233"/>
      <c r="F25" s="233"/>
      <c r="G25" s="233"/>
      <c r="H25" s="233"/>
      <c r="I25" s="233"/>
      <c r="J25" s="233"/>
      <c r="K25" s="233"/>
      <c r="L25" s="233"/>
      <c r="M25" s="233"/>
      <c r="N25" s="233"/>
      <c r="O25" s="233"/>
      <c r="P25" s="233"/>
      <c r="Q25" s="233"/>
      <c r="R25" s="233"/>
      <c r="S25" s="233"/>
    </row>
    <row r="26" spans="1:19">
      <c r="A26" s="233"/>
      <c r="B26" s="233"/>
      <c r="C26" s="233"/>
      <c r="D26" s="233" t="s">
        <v>633</v>
      </c>
      <c r="E26" s="233"/>
      <c r="F26" s="233"/>
      <c r="G26" s="233"/>
      <c r="H26" s="233"/>
      <c r="I26" s="233"/>
      <c r="J26" s="233"/>
      <c r="K26" s="233"/>
      <c r="L26" s="233"/>
      <c r="M26" s="233"/>
      <c r="N26" s="233"/>
      <c r="O26" s="233"/>
      <c r="P26" s="233"/>
      <c r="Q26" s="233"/>
      <c r="R26" s="233"/>
      <c r="S26" s="233"/>
    </row>
    <row r="27" spans="1:19">
      <c r="A27" s="233"/>
      <c r="B27" s="233"/>
      <c r="C27" s="233"/>
      <c r="D27" s="233" t="s">
        <v>632</v>
      </c>
      <c r="E27" s="233"/>
      <c r="F27" s="233"/>
      <c r="G27" s="233"/>
      <c r="H27" s="233"/>
      <c r="I27" s="233"/>
      <c r="J27" s="233"/>
      <c r="K27" s="233"/>
      <c r="L27" s="233"/>
      <c r="M27" s="233"/>
      <c r="N27" s="233"/>
      <c r="O27" s="233"/>
      <c r="P27" s="233"/>
      <c r="Q27" s="233"/>
      <c r="R27" s="233"/>
      <c r="S27" s="233"/>
    </row>
    <row r="28" spans="1:19">
      <c r="A28" s="233"/>
      <c r="B28" s="233"/>
      <c r="C28" s="233"/>
      <c r="D28" s="233" t="s">
        <v>356</v>
      </c>
      <c r="E28" s="233"/>
      <c r="F28" s="233"/>
      <c r="G28" s="233"/>
      <c r="H28" s="233"/>
      <c r="I28" s="233"/>
      <c r="J28" s="233"/>
      <c r="K28" s="233"/>
      <c r="L28" s="233"/>
      <c r="M28" s="233"/>
      <c r="N28" s="233"/>
      <c r="O28" s="233"/>
      <c r="P28" s="233"/>
      <c r="Q28" s="233"/>
      <c r="R28" s="233"/>
      <c r="S28" s="233"/>
    </row>
    <row r="29" spans="1:19">
      <c r="A29" s="233"/>
      <c r="B29" s="233"/>
      <c r="C29" s="233"/>
      <c r="D29" s="233" t="s">
        <v>476</v>
      </c>
      <c r="E29" s="233"/>
      <c r="F29" s="233"/>
      <c r="G29" s="233"/>
      <c r="H29" s="233"/>
      <c r="I29" s="233"/>
      <c r="J29" s="233"/>
      <c r="K29" s="233"/>
      <c r="L29" s="233"/>
      <c r="M29" s="233"/>
      <c r="N29" s="233"/>
      <c r="O29" s="233"/>
      <c r="P29" s="233"/>
      <c r="Q29" s="233"/>
      <c r="R29" s="233"/>
      <c r="S29" s="233"/>
    </row>
    <row r="30" spans="1:19">
      <c r="A30" s="233"/>
      <c r="B30" s="233"/>
      <c r="C30" s="233"/>
      <c r="D30" s="233" t="s">
        <v>634</v>
      </c>
      <c r="E30" s="233"/>
      <c r="F30" s="233"/>
      <c r="G30" s="233"/>
      <c r="H30" s="233"/>
      <c r="I30" s="233"/>
      <c r="J30" s="233"/>
      <c r="K30" s="233"/>
      <c r="L30" s="233"/>
      <c r="M30" s="233"/>
      <c r="N30" s="233"/>
      <c r="O30" s="233"/>
      <c r="P30" s="233"/>
      <c r="Q30" s="233"/>
      <c r="R30" s="233"/>
      <c r="S30" s="233"/>
    </row>
    <row r="31" spans="1:19">
      <c r="A31" s="233"/>
      <c r="B31" s="233"/>
      <c r="C31" s="233"/>
      <c r="D31" s="233" t="s">
        <v>342</v>
      </c>
      <c r="E31" s="233"/>
      <c r="F31" s="233"/>
      <c r="G31" s="233"/>
      <c r="H31" s="233"/>
      <c r="I31" s="233"/>
      <c r="J31" s="233"/>
      <c r="K31" s="233"/>
      <c r="L31" s="233"/>
      <c r="M31" s="233"/>
      <c r="N31" s="233"/>
      <c r="O31" s="233"/>
      <c r="P31" s="233"/>
      <c r="Q31" s="233"/>
      <c r="R31" s="233"/>
      <c r="S31" s="233"/>
    </row>
    <row r="32" spans="1:19">
      <c r="A32" s="233"/>
      <c r="B32" s="233"/>
      <c r="C32" s="233"/>
      <c r="D32" s="233" t="s">
        <v>343</v>
      </c>
      <c r="E32" s="233"/>
      <c r="F32" s="233"/>
      <c r="G32" s="233"/>
      <c r="H32" s="233"/>
      <c r="I32" s="233"/>
      <c r="J32" s="233"/>
      <c r="K32" s="233"/>
      <c r="L32" s="233"/>
      <c r="M32" s="233"/>
      <c r="N32" s="233"/>
      <c r="O32" s="233"/>
      <c r="P32" s="233"/>
      <c r="Q32" s="233"/>
      <c r="R32" s="233"/>
      <c r="S32" s="233"/>
    </row>
    <row r="33" spans="1:19">
      <c r="A33" s="233"/>
      <c r="B33" s="233"/>
      <c r="C33" s="233"/>
      <c r="D33" s="233" t="s">
        <v>344</v>
      </c>
      <c r="E33" s="233"/>
      <c r="F33" s="233"/>
      <c r="G33" s="233"/>
      <c r="H33" s="233"/>
      <c r="I33" s="233"/>
      <c r="J33" s="233"/>
      <c r="K33" s="233"/>
      <c r="L33" s="233"/>
      <c r="M33" s="233"/>
      <c r="N33" s="233"/>
      <c r="O33" s="233"/>
      <c r="P33" s="233"/>
      <c r="Q33" s="233"/>
      <c r="R33" s="233"/>
      <c r="S33" s="233"/>
    </row>
    <row r="34" spans="1:19">
      <c r="A34" s="233"/>
      <c r="B34" s="233"/>
      <c r="C34" s="233"/>
      <c r="D34" s="233" t="s">
        <v>345</v>
      </c>
      <c r="E34" s="233"/>
      <c r="F34" s="233"/>
      <c r="G34" s="233"/>
      <c r="H34" s="233"/>
      <c r="I34" s="233"/>
      <c r="J34" s="233"/>
      <c r="K34" s="233"/>
      <c r="L34" s="233"/>
      <c r="M34" s="233"/>
      <c r="N34" s="233"/>
      <c r="O34" s="233"/>
      <c r="P34" s="233"/>
      <c r="Q34" s="233"/>
      <c r="R34" s="233"/>
      <c r="S34" s="233"/>
    </row>
    <row r="35" spans="1:19">
      <c r="A35" s="233"/>
      <c r="B35" s="233"/>
      <c r="C35" s="233"/>
      <c r="D35" s="233" t="s">
        <v>346</v>
      </c>
      <c r="E35" s="233"/>
      <c r="F35" s="233"/>
      <c r="G35" s="233"/>
      <c r="H35" s="233"/>
      <c r="I35" s="233"/>
      <c r="J35" s="233"/>
      <c r="K35" s="233"/>
      <c r="L35" s="233"/>
      <c r="M35" s="233"/>
      <c r="N35" s="233"/>
      <c r="O35" s="233"/>
      <c r="P35" s="233"/>
      <c r="Q35" s="233"/>
      <c r="R35" s="233"/>
      <c r="S35" s="233"/>
    </row>
    <row r="36" spans="1:19">
      <c r="A36" s="233"/>
      <c r="B36" s="233"/>
      <c r="C36" s="233"/>
      <c r="D36" s="233" t="s">
        <v>347</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636</v>
      </c>
      <c r="E38" s="233" t="s">
        <v>658</v>
      </c>
      <c r="F38" s="233"/>
      <c r="G38" s="233"/>
      <c r="H38" s="233"/>
      <c r="I38" s="233"/>
      <c r="J38" s="233"/>
      <c r="K38" s="233"/>
      <c r="L38" s="233"/>
      <c r="M38" s="233"/>
      <c r="N38" s="233"/>
      <c r="O38" s="233"/>
      <c r="P38" s="233"/>
      <c r="Q38" s="233"/>
      <c r="R38" s="233"/>
      <c r="S38" s="233"/>
    </row>
    <row r="39" spans="1:19">
      <c r="A39" s="233"/>
      <c r="B39" s="233"/>
      <c r="C39" s="233"/>
      <c r="D39" s="233" t="s">
        <v>357</v>
      </c>
      <c r="E39" s="233"/>
      <c r="F39" s="233"/>
      <c r="G39" s="233"/>
      <c r="H39" s="233"/>
      <c r="I39" s="233"/>
      <c r="J39" s="233"/>
      <c r="K39" s="233"/>
      <c r="L39" s="233"/>
      <c r="M39" s="233"/>
      <c r="N39" s="233"/>
      <c r="O39" s="233"/>
      <c r="P39" s="233"/>
      <c r="Q39" s="233"/>
      <c r="R39" s="233"/>
      <c r="S39" s="233"/>
    </row>
    <row r="40" spans="1:19">
      <c r="A40" s="233"/>
      <c r="B40" s="233"/>
      <c r="C40" s="233"/>
      <c r="D40" s="233" t="s">
        <v>637</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52"/>
      <c r="C42" s="233"/>
      <c r="D42" s="606" t="s">
        <v>636</v>
      </c>
      <c r="E42" s="233" t="s">
        <v>358</v>
      </c>
      <c r="F42" s="233"/>
      <c r="G42" s="233"/>
      <c r="H42" s="233"/>
      <c r="I42" s="233"/>
      <c r="J42" s="233"/>
      <c r="K42" s="233"/>
      <c r="L42" s="233"/>
      <c r="M42" s="233"/>
      <c r="N42" s="233"/>
      <c r="O42" s="233"/>
      <c r="P42" s="233"/>
      <c r="Q42" s="233"/>
      <c r="R42" s="233"/>
      <c r="S42" s="233"/>
    </row>
    <row r="43" spans="1:19">
      <c r="A43" s="233"/>
      <c r="B43" s="233"/>
      <c r="C43" s="233"/>
      <c r="D43" s="653"/>
      <c r="E43" s="233" t="s">
        <v>359</v>
      </c>
      <c r="F43" s="233"/>
      <c r="G43" s="233"/>
      <c r="H43" s="233"/>
      <c r="I43" s="233"/>
      <c r="J43" s="233"/>
      <c r="K43" s="233"/>
      <c r="L43" s="233"/>
      <c r="M43" s="233"/>
      <c r="N43" s="233"/>
      <c r="O43" s="233"/>
      <c r="P43" s="233"/>
      <c r="Q43" s="233"/>
      <c r="R43" s="233"/>
      <c r="S43" s="233"/>
    </row>
    <row r="44" spans="1:19">
      <c r="A44" s="233"/>
      <c r="B44" s="233"/>
      <c r="C44" s="233"/>
      <c r="D44" s="651"/>
      <c r="E44" s="233"/>
      <c r="F44" s="233"/>
      <c r="G44" s="233"/>
      <c r="H44" s="233"/>
      <c r="I44" s="233"/>
      <c r="J44" s="233"/>
      <c r="K44" s="233"/>
      <c r="L44" s="233"/>
      <c r="M44" s="233"/>
      <c r="N44" s="233"/>
      <c r="O44" s="233"/>
      <c r="P44" s="233"/>
      <c r="Q44" s="233"/>
      <c r="R44" s="233"/>
      <c r="S44" s="233"/>
    </row>
    <row r="45" spans="1:19" ht="13">
      <c r="A45" s="233"/>
      <c r="B45" s="233"/>
      <c r="C45" s="233"/>
      <c r="D45" s="654" t="s">
        <v>636</v>
      </c>
      <c r="E45" s="233" t="s">
        <v>657</v>
      </c>
      <c r="F45" s="233"/>
      <c r="G45" s="233"/>
      <c r="H45" s="233"/>
      <c r="I45" s="233"/>
      <c r="J45" s="233"/>
      <c r="K45" s="233"/>
      <c r="L45" s="233"/>
      <c r="M45" s="233"/>
      <c r="N45" s="233"/>
      <c r="O45" s="233"/>
      <c r="P45" s="233"/>
      <c r="Q45" s="233"/>
      <c r="R45" s="233"/>
      <c r="S45" s="233"/>
    </row>
    <row r="46" spans="1:19">
      <c r="A46" s="233"/>
      <c r="B46" s="233"/>
      <c r="C46" s="233"/>
      <c r="D46" s="233" t="s">
        <v>640</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636</v>
      </c>
      <c r="E48" s="245" t="s">
        <v>230</v>
      </c>
      <c r="F48" s="607" t="s">
        <v>636</v>
      </c>
      <c r="G48" s="233" t="s">
        <v>348</v>
      </c>
      <c r="H48" s="233"/>
      <c r="I48" s="233"/>
      <c r="J48" s="233"/>
      <c r="K48" s="233"/>
      <c r="L48" s="233"/>
      <c r="M48" s="233"/>
      <c r="N48" s="233"/>
      <c r="O48" s="233"/>
      <c r="P48" s="233"/>
      <c r="Q48" s="233"/>
      <c r="R48" s="233"/>
      <c r="S48" s="233"/>
    </row>
    <row r="49" spans="1:19">
      <c r="A49" s="233"/>
      <c r="B49" s="233"/>
      <c r="C49" s="233"/>
      <c r="D49" s="233" t="s">
        <v>351</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636</v>
      </c>
      <c r="E51" s="233" t="s">
        <v>654</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8" t="s">
        <v>746</v>
      </c>
      <c r="E53" s="245" t="s">
        <v>230</v>
      </c>
      <c r="F53" s="609" t="s">
        <v>746</v>
      </c>
      <c r="G53" s="18" t="s">
        <v>230</v>
      </c>
      <c r="H53" s="610" t="s">
        <v>746</v>
      </c>
      <c r="I53" t="s">
        <v>648</v>
      </c>
      <c r="Q53" s="86"/>
      <c r="R53" s="86"/>
      <c r="S53" s="233"/>
    </row>
    <row r="54" spans="1:19">
      <c r="A54" s="233"/>
      <c r="B54" s="233"/>
      <c r="C54" s="233"/>
      <c r="D54" s="233" t="s">
        <v>641</v>
      </c>
      <c r="E54" s="233"/>
      <c r="F54" s="233"/>
      <c r="G54" s="233"/>
      <c r="H54" s="233"/>
      <c r="I54" s="233"/>
      <c r="J54" s="233"/>
      <c r="K54" s="233"/>
      <c r="L54" s="233"/>
      <c r="M54" s="233"/>
      <c r="N54" s="233"/>
      <c r="O54" s="233"/>
      <c r="P54" s="233"/>
      <c r="Q54" s="233"/>
      <c r="R54" s="233"/>
      <c r="S54" s="233"/>
    </row>
    <row r="55" spans="1:19">
      <c r="A55" s="233"/>
      <c r="B55" s="233"/>
      <c r="C55" s="233"/>
      <c r="D55" s="233" t="s">
        <v>642</v>
      </c>
      <c r="E55" s="233"/>
      <c r="F55" s="233"/>
      <c r="G55" s="233"/>
      <c r="H55" s="233"/>
      <c r="I55" s="233"/>
      <c r="J55" s="233"/>
      <c r="K55" s="233"/>
      <c r="L55" s="233"/>
      <c r="M55" s="233"/>
      <c r="N55" s="233"/>
      <c r="O55" s="233"/>
      <c r="P55" s="233"/>
      <c r="Q55" s="233"/>
      <c r="R55" s="233"/>
      <c r="S55" s="233"/>
    </row>
    <row r="56" spans="1:19">
      <c r="A56" s="233"/>
      <c r="B56" s="233"/>
      <c r="C56" s="233"/>
      <c r="D56" s="233" t="s">
        <v>477</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643</v>
      </c>
      <c r="E58" s="248"/>
      <c r="F58" t="s">
        <v>651</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5" t="s">
        <v>636</v>
      </c>
      <c r="E60" s="233" t="s">
        <v>650</v>
      </c>
      <c r="F60" s="233"/>
      <c r="G60" s="233"/>
      <c r="H60" s="233"/>
      <c r="I60" s="233"/>
      <c r="J60" s="233"/>
      <c r="K60" s="233"/>
      <c r="L60" s="233"/>
      <c r="M60" s="233"/>
      <c r="N60" s="233"/>
      <c r="O60" s="233"/>
      <c r="P60" s="233"/>
      <c r="Q60" s="233"/>
      <c r="R60" s="233"/>
      <c r="S60" s="233"/>
    </row>
    <row r="61" spans="1:19">
      <c r="A61" s="233"/>
      <c r="B61" s="233"/>
      <c r="C61" s="233"/>
      <c r="D61" s="233" t="s">
        <v>644</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4" t="s">
        <v>645</v>
      </c>
      <c r="E63" s="233" t="s">
        <v>360</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5" t="s">
        <v>646</v>
      </c>
      <c r="E65" s="469"/>
      <c r="F65" s="233" t="s">
        <v>635</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32" t="s">
        <v>688</v>
      </c>
      <c r="D70" s="634"/>
      <c r="E70" s="233" t="s">
        <v>164</v>
      </c>
      <c r="F70" s="233"/>
      <c r="G70" s="233"/>
      <c r="H70" s="233"/>
      <c r="I70" s="233"/>
      <c r="J70" s="233"/>
      <c r="K70" s="233"/>
      <c r="L70" s="233"/>
      <c r="M70" s="233"/>
      <c r="N70" s="233"/>
      <c r="O70" s="233"/>
      <c r="P70" s="233"/>
      <c r="Q70" s="233"/>
      <c r="R70" s="233"/>
    </row>
    <row r="71" spans="1:19">
      <c r="A71" s="233"/>
      <c r="B71" s="233"/>
      <c r="C71" s="233" t="s">
        <v>479</v>
      </c>
      <c r="D71" s="233"/>
      <c r="E71" s="233"/>
      <c r="F71" s="233"/>
      <c r="G71" s="233"/>
      <c r="H71" s="233"/>
      <c r="I71" s="233"/>
      <c r="J71" s="233"/>
      <c r="K71" s="233"/>
      <c r="L71" s="233"/>
      <c r="M71" s="233"/>
      <c r="N71" s="233"/>
      <c r="O71" s="233"/>
      <c r="P71" s="233"/>
      <c r="Q71" s="233"/>
      <c r="R71" s="233"/>
    </row>
    <row r="72" spans="1:19">
      <c r="A72" s="233"/>
      <c r="B72" s="233"/>
      <c r="C72" s="233" t="s">
        <v>649</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686</v>
      </c>
      <c r="D74" s="233"/>
      <c r="E74" s="233"/>
      <c r="F74" s="233"/>
      <c r="G74" s="233"/>
      <c r="H74" s="233"/>
      <c r="I74" s="233"/>
      <c r="J74" s="233"/>
      <c r="K74" s="233"/>
      <c r="L74" s="233"/>
      <c r="M74" s="233"/>
      <c r="N74" s="233"/>
      <c r="O74" s="233"/>
      <c r="P74" s="233"/>
      <c r="Q74" s="233"/>
      <c r="R74" s="233"/>
    </row>
    <row r="75" spans="1:19" ht="13">
      <c r="A75" s="233"/>
      <c r="B75" s="233"/>
      <c r="C75" s="233" t="s">
        <v>365</v>
      </c>
      <c r="D75" s="233"/>
      <c r="E75" s="233"/>
      <c r="F75" s="233"/>
      <c r="G75" s="233"/>
      <c r="H75" s="233"/>
      <c r="I75" s="233"/>
      <c r="J75" s="233"/>
      <c r="K75" s="233"/>
      <c r="L75" s="233"/>
      <c r="M75" s="233"/>
      <c r="N75" s="233"/>
      <c r="O75" s="233"/>
      <c r="P75" s="233"/>
      <c r="Q75" s="233"/>
      <c r="R75" s="233"/>
    </row>
    <row r="76" spans="1:19">
      <c r="A76" s="233"/>
      <c r="B76" s="233"/>
      <c r="C76" s="233" t="s">
        <v>480</v>
      </c>
      <c r="D76" s="233"/>
      <c r="E76" s="233"/>
      <c r="F76" s="233"/>
      <c r="G76" s="233"/>
      <c r="H76" s="233"/>
      <c r="I76" s="233"/>
      <c r="J76" s="233"/>
      <c r="K76" s="233"/>
      <c r="L76" s="233"/>
      <c r="M76" s="233"/>
      <c r="N76" s="233"/>
      <c r="O76" s="233"/>
      <c r="P76" s="233"/>
      <c r="Q76" s="233"/>
      <c r="R76" s="233"/>
    </row>
    <row r="77" spans="1:19" ht="13">
      <c r="A77" s="233"/>
      <c r="B77" s="233"/>
      <c r="C77" s="233" t="s">
        <v>366</v>
      </c>
      <c r="D77" s="233"/>
      <c r="E77" s="233"/>
      <c r="F77" s="233"/>
      <c r="G77" s="233"/>
      <c r="H77" s="233"/>
      <c r="I77" s="233"/>
      <c r="J77" s="233"/>
      <c r="K77" s="233"/>
      <c r="L77" s="233"/>
      <c r="M77" s="233"/>
      <c r="N77" s="233"/>
      <c r="O77" s="233"/>
      <c r="P77" s="233"/>
      <c r="Q77" s="233"/>
      <c r="R77" s="233"/>
    </row>
    <row r="78" spans="1:19" ht="13">
      <c r="A78" s="233"/>
      <c r="B78" s="233"/>
      <c r="C78" s="233" t="s">
        <v>367</v>
      </c>
      <c r="D78" s="233"/>
      <c r="E78" s="233"/>
      <c r="F78" s="233"/>
      <c r="G78" s="233"/>
      <c r="H78" s="233"/>
      <c r="I78" s="233"/>
      <c r="J78" s="233"/>
      <c r="K78" s="233"/>
      <c r="L78" s="233"/>
      <c r="M78" s="233"/>
      <c r="N78" s="233"/>
      <c r="O78" s="233"/>
      <c r="P78" s="233"/>
      <c r="Q78" s="233"/>
      <c r="R78" s="233"/>
    </row>
    <row r="79" spans="1:19">
      <c r="A79" s="233"/>
      <c r="B79" s="233"/>
      <c r="C79" s="233" t="s">
        <v>368</v>
      </c>
      <c r="D79" s="233"/>
      <c r="E79" s="233"/>
      <c r="F79" s="233"/>
      <c r="G79" s="233"/>
      <c r="H79" s="233"/>
      <c r="I79" s="233"/>
      <c r="J79" s="233"/>
      <c r="K79" s="233"/>
      <c r="L79" s="233"/>
      <c r="M79" s="233"/>
      <c r="N79" s="233"/>
      <c r="O79" s="233"/>
      <c r="P79" s="233"/>
      <c r="Q79" s="233"/>
      <c r="R79" s="233"/>
    </row>
    <row r="80" spans="1:19">
      <c r="A80" s="233"/>
      <c r="B80" s="233"/>
      <c r="C80" s="233" t="s">
        <v>728</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32" t="s">
        <v>687</v>
      </c>
      <c r="D83" s="633"/>
      <c r="E83" s="634"/>
      <c r="F83" s="233" t="s">
        <v>685</v>
      </c>
      <c r="G83" s="233"/>
      <c r="H83" s="233"/>
      <c r="I83" s="233"/>
      <c r="J83" s="233"/>
      <c r="K83" s="233"/>
      <c r="L83" s="233"/>
      <c r="M83" s="233"/>
      <c r="N83" s="233"/>
      <c r="O83" s="233"/>
      <c r="P83" s="233"/>
      <c r="Q83" s="233"/>
      <c r="R83" s="233"/>
    </row>
    <row r="84" spans="1:18">
      <c r="A84" s="233"/>
      <c r="B84" s="233"/>
      <c r="C84" s="233" t="s">
        <v>481</v>
      </c>
      <c r="D84" s="233"/>
      <c r="E84" s="233"/>
      <c r="F84" s="233"/>
      <c r="G84" s="233"/>
      <c r="H84" s="233"/>
      <c r="I84" s="233"/>
      <c r="J84" s="233"/>
      <c r="K84" s="233"/>
      <c r="L84" s="233"/>
      <c r="M84" s="233"/>
      <c r="N84" s="233"/>
      <c r="O84" s="233"/>
      <c r="P84" s="233"/>
      <c r="Q84" s="233"/>
      <c r="R84" s="233"/>
    </row>
    <row r="85" spans="1:18" ht="13">
      <c r="A85" s="233"/>
      <c r="B85" s="233"/>
      <c r="C85" s="233" t="s">
        <v>684</v>
      </c>
      <c r="D85" s="233"/>
      <c r="E85" s="233"/>
      <c r="F85" s="233"/>
      <c r="G85" s="233"/>
      <c r="H85" s="233"/>
      <c r="I85" s="233"/>
      <c r="J85" s="233"/>
      <c r="K85" s="233"/>
      <c r="L85" s="233"/>
      <c r="M85" s="233"/>
      <c r="N85" s="233"/>
      <c r="O85" s="233"/>
      <c r="P85" s="233"/>
      <c r="Q85" s="233"/>
      <c r="R85" s="233"/>
    </row>
    <row r="86" spans="1:18">
      <c r="A86" s="233"/>
      <c r="B86" s="233"/>
      <c r="C86" s="233" t="s">
        <v>689</v>
      </c>
      <c r="D86" s="233"/>
      <c r="E86" s="233"/>
      <c r="F86" s="233"/>
      <c r="G86" s="233"/>
      <c r="H86" s="233"/>
      <c r="I86" s="233"/>
      <c r="J86" s="233"/>
      <c r="K86" s="233"/>
      <c r="L86" s="233"/>
      <c r="M86" s="233"/>
      <c r="N86" s="233"/>
      <c r="O86" s="233"/>
      <c r="P86" s="233"/>
      <c r="Q86" s="233"/>
      <c r="R86" s="233"/>
    </row>
    <row r="87" spans="1:18" ht="13">
      <c r="A87" s="233"/>
      <c r="B87" s="233"/>
      <c r="C87" s="233" t="s">
        <v>297</v>
      </c>
      <c r="D87" s="233"/>
      <c r="E87" s="233"/>
      <c r="F87" s="233"/>
      <c r="G87" s="233"/>
      <c r="H87" s="233"/>
      <c r="I87" s="233"/>
      <c r="J87" s="233"/>
      <c r="K87" s="233"/>
      <c r="L87" s="233"/>
      <c r="M87" s="233"/>
      <c r="N87" s="233"/>
      <c r="O87" s="233"/>
      <c r="P87" s="233"/>
      <c r="Q87" s="233"/>
      <c r="R87" s="233"/>
    </row>
    <row r="88" spans="1:18">
      <c r="A88" s="233"/>
      <c r="B88" s="233"/>
      <c r="C88" s="233" t="s">
        <v>370</v>
      </c>
      <c r="D88" s="233"/>
      <c r="E88" s="233"/>
      <c r="F88" s="233"/>
      <c r="G88" s="233"/>
      <c r="H88" s="233"/>
      <c r="I88" s="233"/>
      <c r="J88" s="233"/>
      <c r="K88" s="233"/>
      <c r="L88" s="233"/>
      <c r="M88" s="233"/>
      <c r="N88" s="233"/>
      <c r="O88" s="233"/>
      <c r="P88" s="233"/>
      <c r="Q88" s="233"/>
      <c r="R88" s="233"/>
    </row>
    <row r="89" spans="1:18">
      <c r="A89" s="233"/>
      <c r="B89" s="233"/>
      <c r="C89" s="233" t="s">
        <v>369</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694</v>
      </c>
      <c r="D91" s="233"/>
      <c r="E91" s="233"/>
      <c r="F91" s="233"/>
      <c r="G91" s="233"/>
      <c r="H91" s="233"/>
      <c r="I91" s="233"/>
      <c r="J91" s="233"/>
      <c r="K91" s="233"/>
      <c r="L91" s="233"/>
      <c r="M91" s="233"/>
      <c r="N91" s="233"/>
      <c r="O91" s="233"/>
      <c r="P91" s="233"/>
      <c r="Q91" s="233"/>
      <c r="R91" s="233"/>
    </row>
    <row r="92" spans="1:18" ht="13">
      <c r="A92" s="233"/>
      <c r="B92" s="233"/>
      <c r="C92" s="233" t="s">
        <v>691</v>
      </c>
      <c r="D92" s="233"/>
      <c r="E92" s="233"/>
      <c r="F92" s="233"/>
      <c r="G92" s="233"/>
      <c r="H92" s="233"/>
      <c r="I92" s="233"/>
      <c r="J92" s="233"/>
      <c r="K92" s="233"/>
      <c r="L92" s="233"/>
      <c r="M92" s="233"/>
      <c r="N92" s="233"/>
      <c r="O92" s="233"/>
      <c r="P92" s="233"/>
      <c r="Q92" s="233"/>
      <c r="R92" s="233"/>
    </row>
    <row r="93" spans="1:18" ht="13">
      <c r="A93" s="233"/>
      <c r="B93" s="233"/>
      <c r="C93" s="233" t="s">
        <v>693</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728</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32" t="s">
        <v>696</v>
      </c>
      <c r="D98" s="636"/>
      <c r="E98" s="636"/>
      <c r="F98" s="634"/>
      <c r="G98" s="233" t="s">
        <v>371</v>
      </c>
      <c r="H98" s="233"/>
      <c r="I98" s="233"/>
      <c r="J98" s="233"/>
      <c r="K98" s="233"/>
      <c r="L98" s="233"/>
      <c r="M98" s="233"/>
      <c r="N98" s="233"/>
      <c r="O98" s="233"/>
      <c r="P98" s="233"/>
      <c r="Q98" s="233"/>
      <c r="R98" s="233"/>
    </row>
    <row r="99" spans="1:19">
      <c r="A99" s="233"/>
      <c r="B99" s="233"/>
      <c r="C99" s="233" t="s">
        <v>372</v>
      </c>
      <c r="D99" s="233"/>
      <c r="E99" s="233"/>
      <c r="F99" s="233"/>
      <c r="G99" s="233"/>
      <c r="H99" s="233"/>
      <c r="I99" s="233"/>
      <c r="J99" s="233"/>
      <c r="K99" s="233"/>
      <c r="L99" s="233"/>
      <c r="M99" s="233"/>
      <c r="N99" s="233"/>
      <c r="O99" s="233"/>
      <c r="P99" s="233"/>
      <c r="Q99" s="233"/>
      <c r="R99" s="233"/>
    </row>
    <row r="100" spans="1:19">
      <c r="A100" s="233"/>
      <c r="B100" s="233"/>
      <c r="C100" s="233" t="s">
        <v>698</v>
      </c>
      <c r="D100" s="233"/>
      <c r="E100" s="233"/>
      <c r="F100" s="233"/>
      <c r="G100" s="233"/>
      <c r="H100" s="233"/>
      <c r="I100" s="233"/>
      <c r="J100" s="233"/>
      <c r="K100" s="233"/>
      <c r="L100" s="233"/>
      <c r="M100" s="233"/>
      <c r="N100" s="233"/>
      <c r="O100" s="233"/>
      <c r="P100" s="233"/>
      <c r="Q100" s="233"/>
      <c r="R100" s="233"/>
    </row>
    <row r="101" spans="1:19" ht="13">
      <c r="A101" s="233"/>
      <c r="B101" s="233"/>
      <c r="C101" s="233" t="s">
        <v>373</v>
      </c>
      <c r="D101" s="233"/>
      <c r="E101" s="233"/>
      <c r="F101" s="233"/>
      <c r="G101" s="233"/>
      <c r="H101" s="233"/>
      <c r="I101" s="233"/>
      <c r="J101" s="233"/>
      <c r="K101" s="233"/>
      <c r="L101" s="233"/>
      <c r="M101" s="233"/>
      <c r="N101" s="233"/>
      <c r="O101" s="233"/>
      <c r="P101" s="233"/>
      <c r="Q101" s="233"/>
      <c r="R101" s="233"/>
    </row>
    <row r="102" spans="1:19">
      <c r="A102" s="233"/>
      <c r="B102" s="233"/>
      <c r="C102" s="233" t="s">
        <v>697</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708</v>
      </c>
      <c r="C107" s="190"/>
      <c r="D107" s="233" t="s">
        <v>709</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7">
        <v>1</v>
      </c>
      <c r="C109" s="233" t="s">
        <v>710</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820</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711</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712</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713</v>
      </c>
      <c r="D117" s="233"/>
      <c r="E117" s="233"/>
      <c r="F117" s="233"/>
      <c r="G117" s="233"/>
      <c r="H117" s="233"/>
      <c r="I117" s="233"/>
      <c r="J117" s="233"/>
      <c r="K117" s="233"/>
      <c r="L117" s="233"/>
      <c r="M117" s="233"/>
      <c r="N117" s="233"/>
      <c r="O117" s="233"/>
      <c r="P117" s="233"/>
      <c r="Q117" s="233"/>
      <c r="R117" s="233"/>
      <c r="S117" s="233"/>
    </row>
    <row r="118" spans="1:19">
      <c r="A118" s="233"/>
      <c r="B118" s="245"/>
      <c r="C118" s="233" t="s">
        <v>714</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715</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716</v>
      </c>
      <c r="D122" s="233"/>
      <c r="E122" s="233"/>
      <c r="F122" s="233"/>
      <c r="G122" s="233"/>
      <c r="H122" s="233"/>
      <c r="I122" s="233"/>
      <c r="J122" s="233"/>
      <c r="K122" s="233"/>
      <c r="L122" s="233"/>
      <c r="M122" s="233"/>
      <c r="N122" s="233"/>
      <c r="O122" s="233"/>
      <c r="P122" s="233"/>
      <c r="Q122" s="233"/>
      <c r="R122" s="233"/>
      <c r="S122" s="233"/>
    </row>
    <row r="123" spans="1:19">
      <c r="A123" s="233"/>
      <c r="B123" s="638"/>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717</v>
      </c>
      <c r="D124" s="233"/>
      <c r="E124" s="233"/>
      <c r="F124" s="233"/>
      <c r="G124" s="233"/>
      <c r="H124" s="233"/>
      <c r="I124" s="233"/>
      <c r="J124" s="233"/>
      <c r="K124" s="233"/>
      <c r="L124" s="233"/>
      <c r="M124" s="233"/>
      <c r="N124" s="233"/>
      <c r="O124" s="233"/>
      <c r="P124" s="233"/>
      <c r="Q124" s="233"/>
      <c r="R124" s="233"/>
      <c r="S124" s="233"/>
    </row>
    <row r="125" spans="1:19">
      <c r="A125" s="233"/>
      <c r="B125" s="638"/>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374</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718</v>
      </c>
      <c r="C129" s="190"/>
      <c r="D129" s="233" t="s">
        <v>719</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4" t="s">
        <v>720</v>
      </c>
      <c r="C131" s="844" t="s">
        <v>721</v>
      </c>
      <c r="D131" s="846" t="s">
        <v>195</v>
      </c>
      <c r="E131" s="845"/>
      <c r="F131" s="618"/>
      <c r="G131" s="618"/>
      <c r="H131" s="618"/>
      <c r="I131" s="618"/>
      <c r="J131" s="618"/>
      <c r="K131" s="618"/>
      <c r="L131" s="618"/>
      <c r="M131" s="618"/>
      <c r="N131" s="618"/>
      <c r="O131" s="635"/>
      <c r="P131" s="233"/>
      <c r="Q131" s="233"/>
      <c r="R131" s="233"/>
      <c r="S131" s="233"/>
    </row>
    <row r="132" spans="1:19">
      <c r="A132" s="233"/>
      <c r="B132" s="640">
        <v>2</v>
      </c>
      <c r="C132" s="674">
        <v>38382</v>
      </c>
      <c r="D132" s="641" t="s">
        <v>722</v>
      </c>
      <c r="E132" s="618"/>
      <c r="F132" s="618"/>
      <c r="G132" s="618"/>
      <c r="H132" s="618"/>
      <c r="I132" s="618"/>
      <c r="J132" s="618"/>
      <c r="K132" s="618"/>
      <c r="L132" s="618"/>
      <c r="M132" s="618"/>
      <c r="N132" s="618"/>
      <c r="O132" s="635"/>
      <c r="P132" s="233"/>
      <c r="Q132" s="233"/>
      <c r="R132" s="233"/>
      <c r="S132" s="233"/>
    </row>
    <row r="133" spans="1:19">
      <c r="A133" s="233"/>
      <c r="B133" s="675">
        <v>2.1</v>
      </c>
      <c r="C133" s="674">
        <v>38390</v>
      </c>
      <c r="D133" s="639" t="s">
        <v>484</v>
      </c>
      <c r="E133" s="618"/>
      <c r="F133" s="618"/>
      <c r="G133" s="618"/>
      <c r="H133" s="618"/>
      <c r="I133" s="618"/>
      <c r="J133" s="618"/>
      <c r="K133" s="618"/>
      <c r="L133" s="618"/>
      <c r="M133" s="618"/>
      <c r="N133" s="618"/>
      <c r="O133" s="635"/>
      <c r="P133" s="233"/>
      <c r="Q133" s="233"/>
      <c r="R133" s="233"/>
      <c r="S133" s="233"/>
    </row>
    <row r="134" spans="1:19">
      <c r="A134" s="233"/>
      <c r="B134" s="675" t="s">
        <v>652</v>
      </c>
      <c r="C134" s="674">
        <v>38395</v>
      </c>
      <c r="D134" s="639" t="s">
        <v>653</v>
      </c>
      <c r="E134" s="618"/>
      <c r="F134" s="618"/>
      <c r="G134" s="618"/>
      <c r="H134" s="618"/>
      <c r="I134" s="618"/>
      <c r="J134" s="618"/>
      <c r="K134" s="618"/>
      <c r="L134" s="618"/>
      <c r="M134" s="618"/>
      <c r="N134" s="618"/>
      <c r="O134" s="635"/>
      <c r="P134" s="233"/>
      <c r="Q134" s="233"/>
      <c r="R134" s="233"/>
      <c r="S134" s="233"/>
    </row>
    <row r="135" spans="1:19">
      <c r="A135" s="233"/>
      <c r="B135" s="675" t="s">
        <v>146</v>
      </c>
      <c r="C135" s="674">
        <v>38404</v>
      </c>
      <c r="D135" s="639" t="s">
        <v>147</v>
      </c>
      <c r="E135" s="618"/>
      <c r="F135" s="618"/>
      <c r="G135" s="618"/>
      <c r="H135" s="618"/>
      <c r="I135" s="618"/>
      <c r="J135" s="618"/>
      <c r="K135" s="618"/>
      <c r="L135" s="618"/>
      <c r="M135" s="618"/>
      <c r="N135" s="618"/>
      <c r="O135" s="635"/>
      <c r="P135" s="233"/>
      <c r="Q135" s="233"/>
      <c r="R135" s="233"/>
      <c r="S135" s="233"/>
    </row>
    <row r="136" spans="1:19">
      <c r="A136" s="233"/>
      <c r="B136" s="675" t="s">
        <v>674</v>
      </c>
      <c r="C136" s="674">
        <v>38409</v>
      </c>
      <c r="D136" s="639" t="s">
        <v>675</v>
      </c>
      <c r="E136" s="618"/>
      <c r="F136" s="618"/>
      <c r="G136" s="618"/>
      <c r="H136" s="618"/>
      <c r="I136" s="618"/>
      <c r="J136" s="618"/>
      <c r="K136" s="618"/>
      <c r="L136" s="618"/>
      <c r="M136" s="618"/>
      <c r="N136" s="618"/>
      <c r="O136" s="635"/>
      <c r="P136" s="233"/>
      <c r="Q136" s="233"/>
      <c r="R136" s="233"/>
      <c r="S136" s="233"/>
    </row>
    <row r="137" spans="1:19">
      <c r="A137" s="233"/>
      <c r="B137" s="675" t="s">
        <v>554</v>
      </c>
      <c r="C137" s="674">
        <v>38410</v>
      </c>
      <c r="D137" s="639" t="s">
        <v>555</v>
      </c>
      <c r="E137" s="618"/>
      <c r="F137" s="618"/>
      <c r="G137" s="618"/>
      <c r="H137" s="618"/>
      <c r="I137" s="618"/>
      <c r="J137" s="618"/>
      <c r="K137" s="618"/>
      <c r="L137" s="618"/>
      <c r="M137" s="618"/>
      <c r="N137" s="618"/>
      <c r="O137" s="635"/>
      <c r="P137" s="233"/>
      <c r="Q137" s="233"/>
      <c r="R137" s="233"/>
      <c r="S137" s="233"/>
    </row>
    <row r="138" spans="1:19">
      <c r="A138" s="233"/>
      <c r="B138" s="675">
        <v>2.2000000000000002</v>
      </c>
      <c r="C138" s="674">
        <v>38410</v>
      </c>
      <c r="D138" s="639" t="s">
        <v>78</v>
      </c>
      <c r="E138" s="618"/>
      <c r="F138" s="618"/>
      <c r="G138" s="618"/>
      <c r="H138" s="618"/>
      <c r="I138" s="618"/>
      <c r="J138" s="618"/>
      <c r="K138" s="618"/>
      <c r="L138" s="618"/>
      <c r="M138" s="618"/>
      <c r="N138" s="618"/>
      <c r="O138" s="635"/>
      <c r="P138" s="233"/>
      <c r="Q138" s="233"/>
      <c r="R138" s="233"/>
      <c r="S138" s="233"/>
    </row>
    <row r="139" spans="1:19">
      <c r="A139" s="233"/>
      <c r="B139" s="675" t="s">
        <v>165</v>
      </c>
      <c r="C139" s="674">
        <v>38487</v>
      </c>
      <c r="D139" s="639" t="s">
        <v>166</v>
      </c>
      <c r="E139" s="618"/>
      <c r="F139" s="618"/>
      <c r="G139" s="618"/>
      <c r="H139" s="618"/>
      <c r="I139" s="618"/>
      <c r="J139" s="618"/>
      <c r="K139" s="618"/>
      <c r="L139" s="618"/>
      <c r="M139" s="618"/>
      <c r="N139" s="618"/>
      <c r="O139" s="635"/>
      <c r="P139" s="233"/>
      <c r="Q139" s="233"/>
      <c r="R139" s="233"/>
      <c r="S139" s="233"/>
    </row>
    <row r="140" spans="1:19">
      <c r="A140" s="233"/>
      <c r="B140" s="675" t="s">
        <v>655</v>
      </c>
      <c r="C140" s="674">
        <v>38526</v>
      </c>
      <c r="D140" s="639" t="s">
        <v>656</v>
      </c>
      <c r="E140" s="618"/>
      <c r="F140" s="618"/>
      <c r="G140" s="618"/>
      <c r="H140" s="618"/>
      <c r="I140" s="618"/>
      <c r="J140" s="618"/>
      <c r="K140" s="618"/>
      <c r="L140" s="618"/>
      <c r="M140" s="618"/>
      <c r="N140" s="618"/>
      <c r="O140" s="635"/>
      <c r="P140" s="233"/>
      <c r="Q140" s="233"/>
      <c r="R140" s="233"/>
      <c r="S140" s="233"/>
    </row>
    <row r="141" spans="1:19">
      <c r="A141" s="233"/>
      <c r="B141" s="675">
        <v>2.2999999999999998</v>
      </c>
      <c r="C141" s="674">
        <v>38549</v>
      </c>
      <c r="D141" s="639" t="s">
        <v>671</v>
      </c>
      <c r="E141" s="618"/>
      <c r="F141" s="618"/>
      <c r="G141" s="618"/>
      <c r="H141" s="618"/>
      <c r="I141" s="618"/>
      <c r="J141" s="618"/>
      <c r="K141" s="618"/>
      <c r="L141" s="618"/>
      <c r="M141" s="618"/>
      <c r="N141" s="618"/>
      <c r="O141" s="635"/>
      <c r="P141" s="233"/>
      <c r="Q141" s="233"/>
      <c r="R141" s="233"/>
      <c r="S141" s="233"/>
    </row>
    <row r="142" spans="1:19" ht="13">
      <c r="A142" s="233"/>
      <c r="B142" s="675" t="s">
        <v>298</v>
      </c>
      <c r="C142" s="674">
        <v>38623</v>
      </c>
      <c r="D142" s="639" t="s">
        <v>299</v>
      </c>
      <c r="E142" s="618"/>
      <c r="F142" s="618"/>
      <c r="G142" s="618"/>
      <c r="H142" s="618"/>
      <c r="I142" s="618"/>
      <c r="J142" s="618"/>
      <c r="K142" s="618"/>
      <c r="L142" s="618"/>
      <c r="M142" s="618"/>
      <c r="N142" s="618"/>
      <c r="O142" s="635"/>
      <c r="P142" s="233"/>
      <c r="Q142" s="233"/>
      <c r="R142" s="233"/>
      <c r="S142" s="233"/>
    </row>
    <row r="143" spans="1:19">
      <c r="A143" s="233"/>
      <c r="B143" s="675" t="s">
        <v>761</v>
      </c>
      <c r="C143" s="674">
        <v>38629</v>
      </c>
      <c r="D143" s="639" t="s">
        <v>762</v>
      </c>
      <c r="E143" s="618"/>
      <c r="F143" s="618"/>
      <c r="G143" s="618"/>
      <c r="H143" s="618"/>
      <c r="I143" s="618"/>
      <c r="J143" s="618"/>
      <c r="K143" s="618"/>
      <c r="L143" s="618"/>
      <c r="M143" s="618"/>
      <c r="N143" s="618"/>
      <c r="O143" s="635"/>
      <c r="P143" s="233"/>
      <c r="Q143" s="233"/>
      <c r="R143" s="233"/>
      <c r="S143" s="233"/>
    </row>
    <row r="144" spans="1:19">
      <c r="A144" s="233"/>
      <c r="B144" s="675">
        <v>2.4</v>
      </c>
      <c r="C144" s="674">
        <v>39012</v>
      </c>
      <c r="D144" s="639" t="s">
        <v>15</v>
      </c>
      <c r="E144" s="618"/>
      <c r="F144" s="618"/>
      <c r="G144" s="618"/>
      <c r="H144" s="618"/>
      <c r="I144" s="618"/>
      <c r="J144" s="618"/>
      <c r="K144" s="618"/>
      <c r="L144" s="618"/>
      <c r="M144" s="618"/>
      <c r="N144" s="618"/>
      <c r="O144" s="635"/>
      <c r="P144" s="233"/>
      <c r="Q144" s="233"/>
      <c r="R144" s="233"/>
      <c r="S144" s="233"/>
    </row>
    <row r="145" spans="1:19">
      <c r="A145" s="233"/>
      <c r="B145" s="675">
        <v>2.5</v>
      </c>
      <c r="C145" s="847" t="s">
        <v>210</v>
      </c>
      <c r="D145" s="639" t="s">
        <v>209</v>
      </c>
      <c r="E145" s="618"/>
      <c r="F145" s="618"/>
      <c r="G145" s="618"/>
      <c r="H145" s="618"/>
      <c r="I145" s="618"/>
      <c r="J145" s="618"/>
      <c r="K145" s="618"/>
      <c r="L145" s="618"/>
      <c r="M145" s="618"/>
      <c r="N145" s="618"/>
      <c r="O145" s="635"/>
      <c r="P145" s="233"/>
      <c r="Q145" s="233"/>
      <c r="R145" s="233"/>
      <c r="S145" s="233"/>
    </row>
    <row r="146" spans="1:19">
      <c r="A146" s="233"/>
      <c r="B146" s="865" t="s">
        <v>933</v>
      </c>
      <c r="C146" s="674">
        <v>39513</v>
      </c>
      <c r="D146" s="866" t="s">
        <v>935</v>
      </c>
      <c r="E146" s="618"/>
      <c r="F146" s="618"/>
      <c r="G146" s="618"/>
      <c r="H146" s="618"/>
      <c r="I146" s="618"/>
      <c r="J146" s="618"/>
      <c r="K146" s="618"/>
      <c r="L146" s="618"/>
      <c r="M146" s="618"/>
      <c r="N146" s="618"/>
      <c r="O146" s="635"/>
      <c r="P146" s="233"/>
      <c r="Q146" s="233"/>
      <c r="R146" s="233"/>
      <c r="S146" s="233"/>
    </row>
    <row r="147" spans="1:19">
      <c r="A147" s="233"/>
      <c r="B147" s="675" t="s">
        <v>934</v>
      </c>
      <c r="C147" s="674">
        <v>39525</v>
      </c>
      <c r="D147" s="639" t="s">
        <v>936</v>
      </c>
      <c r="E147" s="618"/>
      <c r="F147" s="618"/>
      <c r="G147" s="618"/>
      <c r="H147" s="618"/>
      <c r="I147" s="618"/>
      <c r="J147" s="618"/>
      <c r="K147" s="618"/>
      <c r="L147" s="618"/>
      <c r="M147" s="618"/>
      <c r="N147" s="618"/>
      <c r="O147" s="635"/>
      <c r="P147" s="233"/>
      <c r="Q147" s="233"/>
      <c r="R147" s="233"/>
      <c r="S147" s="233"/>
    </row>
    <row r="148" spans="1:19">
      <c r="A148" s="233"/>
      <c r="B148" s="865" t="s">
        <v>937</v>
      </c>
      <c r="C148" s="674">
        <v>39799</v>
      </c>
      <c r="D148" s="866" t="s">
        <v>938</v>
      </c>
      <c r="E148" s="618"/>
      <c r="F148" s="618"/>
      <c r="G148" s="618"/>
      <c r="H148" s="618"/>
      <c r="I148" s="618"/>
      <c r="J148" s="618"/>
      <c r="K148" s="618"/>
      <c r="L148" s="618"/>
      <c r="M148" s="618"/>
      <c r="N148" s="618"/>
      <c r="O148" s="635"/>
      <c r="P148" s="233"/>
      <c r="Q148" s="233"/>
      <c r="R148" s="233"/>
      <c r="S148" s="233"/>
    </row>
    <row r="149" spans="1:19">
      <c r="A149" s="233"/>
      <c r="B149" s="675" t="s">
        <v>940</v>
      </c>
      <c r="C149" s="674">
        <v>41709</v>
      </c>
      <c r="D149" s="639" t="s">
        <v>955</v>
      </c>
      <c r="E149" s="618"/>
      <c r="F149" s="618"/>
      <c r="G149" s="618"/>
      <c r="H149" s="618"/>
      <c r="I149" s="618"/>
      <c r="J149" s="618"/>
      <c r="K149" s="618"/>
      <c r="L149" s="618"/>
      <c r="M149" s="618"/>
      <c r="N149" s="618"/>
      <c r="O149" s="635"/>
      <c r="P149" s="233"/>
      <c r="Q149" s="233"/>
      <c r="R149" s="233"/>
      <c r="S149" s="233"/>
    </row>
    <row r="150" spans="1:19">
      <c r="A150" s="233"/>
      <c r="B150" s="926" t="s">
        <v>958</v>
      </c>
      <c r="C150" s="925">
        <v>42663</v>
      </c>
      <c r="D150" s="639" t="s">
        <v>960</v>
      </c>
      <c r="E150" s="618"/>
      <c r="F150" s="618"/>
      <c r="G150" s="618"/>
      <c r="H150" s="618"/>
      <c r="I150" s="618"/>
      <c r="J150" s="618"/>
      <c r="K150" s="618"/>
      <c r="L150" s="618"/>
      <c r="M150" s="618"/>
      <c r="N150" s="618"/>
      <c r="O150" s="635"/>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31"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32" t="s">
        <v>512</v>
      </c>
      <c r="C3" s="101"/>
      <c r="D3" s="101"/>
      <c r="E3" s="101"/>
      <c r="F3" s="101"/>
      <c r="G3" s="101"/>
      <c r="H3" s="101"/>
      <c r="I3" s="101"/>
      <c r="J3" s="105"/>
      <c r="K3" s="23"/>
      <c r="L3" s="23"/>
      <c r="M3" s="23"/>
      <c r="N3" s="23"/>
      <c r="O3" s="23"/>
      <c r="P3" s="23"/>
      <c r="Q3" s="23"/>
      <c r="R3" s="23"/>
      <c r="S3" s="23"/>
      <c r="T3" s="23"/>
      <c r="U3" s="23"/>
    </row>
    <row r="4" spans="1:21">
      <c r="A4" s="23"/>
      <c r="B4" s="100" t="s">
        <v>311</v>
      </c>
      <c r="C4" s="101"/>
      <c r="D4" s="101"/>
      <c r="E4" s="101"/>
      <c r="F4" s="101"/>
      <c r="G4" s="101"/>
      <c r="H4" s="101"/>
      <c r="I4" s="101"/>
      <c r="J4" s="105"/>
      <c r="K4" s="23"/>
      <c r="L4" s="23"/>
      <c r="M4" s="23"/>
      <c r="N4" s="23"/>
      <c r="O4" s="23"/>
      <c r="P4" s="23"/>
      <c r="Q4" s="23"/>
      <c r="R4" s="23"/>
      <c r="S4" s="23"/>
      <c r="T4" s="23"/>
      <c r="U4" s="23"/>
    </row>
    <row r="5" spans="1:21" ht="13">
      <c r="A5" s="23"/>
      <c r="B5" s="826" t="s">
        <v>320</v>
      </c>
      <c r="C5" s="823">
        <f>Orbit!B98</f>
        <v>19.062200000000001</v>
      </c>
      <c r="D5" s="101" t="s">
        <v>4</v>
      </c>
      <c r="E5" s="101"/>
      <c r="F5" s="101"/>
      <c r="G5" s="101"/>
      <c r="H5" s="101"/>
      <c r="I5" s="101"/>
      <c r="J5" s="105"/>
      <c r="K5" s="23"/>
      <c r="L5" s="23"/>
      <c r="M5" s="23"/>
      <c r="N5" s="23"/>
      <c r="O5" s="23"/>
      <c r="P5" s="23"/>
      <c r="Q5" s="23"/>
      <c r="R5" s="23"/>
      <c r="S5" s="23"/>
      <c r="T5" s="23"/>
      <c r="U5" s="23"/>
    </row>
    <row r="6" spans="1:21">
      <c r="A6" s="23"/>
      <c r="B6" s="100" t="s">
        <v>321</v>
      </c>
      <c r="C6" s="31">
        <f>IF(C5&gt;0,1,0)</f>
        <v>1</v>
      </c>
      <c r="D6" s="101"/>
      <c r="E6" s="101" t="s">
        <v>728</v>
      </c>
      <c r="F6" s="101"/>
      <c r="G6" s="101" t="s">
        <v>322</v>
      </c>
      <c r="H6" s="101"/>
      <c r="I6" s="101"/>
      <c r="J6" s="105"/>
      <c r="K6" s="23"/>
      <c r="L6" s="23"/>
      <c r="M6" s="23"/>
      <c r="N6" s="23"/>
      <c r="O6" s="23"/>
      <c r="P6" s="23"/>
      <c r="Q6" s="23"/>
      <c r="R6" s="23"/>
      <c r="S6" s="23"/>
      <c r="T6" s="23"/>
      <c r="U6" s="23"/>
    </row>
    <row r="7" spans="1:21">
      <c r="A7" s="23"/>
      <c r="B7" s="100"/>
      <c r="C7" s="31">
        <f>N(NOT(C6))</f>
        <v>0</v>
      </c>
      <c r="D7" s="101"/>
      <c r="E7" s="101"/>
      <c r="F7" s="101"/>
      <c r="G7" s="101" t="s">
        <v>323</v>
      </c>
      <c r="H7" s="101"/>
      <c r="I7" s="101"/>
      <c r="J7" s="105"/>
      <c r="K7" s="23"/>
      <c r="L7" s="23"/>
      <c r="M7" s="23"/>
      <c r="N7" s="23"/>
      <c r="O7" s="23"/>
      <c r="P7" s="23"/>
      <c r="Q7" s="23"/>
      <c r="R7" s="23"/>
      <c r="S7" s="23"/>
      <c r="T7" s="23"/>
      <c r="U7" s="23"/>
    </row>
    <row r="8" spans="1:21" ht="13">
      <c r="A8" s="23"/>
      <c r="B8" s="827" t="s">
        <v>327</v>
      </c>
      <c r="C8" s="823">
        <f>Orbit!B101</f>
        <v>-16.625799999999998</v>
      </c>
      <c r="D8" s="101" t="s">
        <v>4</v>
      </c>
      <c r="E8" s="101" t="s">
        <v>728</v>
      </c>
      <c r="F8" s="101"/>
      <c r="G8" s="101" t="s">
        <v>728</v>
      </c>
      <c r="H8" s="101"/>
      <c r="I8" s="101"/>
      <c r="J8" s="105"/>
      <c r="K8" s="23"/>
      <c r="L8" s="23"/>
      <c r="M8" s="23"/>
      <c r="N8" s="23"/>
      <c r="O8" s="23"/>
      <c r="P8" s="23"/>
      <c r="Q8" s="23"/>
      <c r="R8" s="23"/>
      <c r="S8" s="23"/>
      <c r="T8" s="23"/>
      <c r="U8" s="23"/>
    </row>
    <row r="9" spans="1:21">
      <c r="A9" s="23"/>
      <c r="B9" s="100" t="s">
        <v>312</v>
      </c>
      <c r="C9" s="31">
        <f>IF(C8&gt;0,1,0)</f>
        <v>0</v>
      </c>
      <c r="D9" s="101"/>
      <c r="E9" s="101"/>
      <c r="F9" s="101"/>
      <c r="G9" s="101" t="s">
        <v>324</v>
      </c>
      <c r="H9" s="101"/>
      <c r="I9" s="101"/>
      <c r="J9" s="105"/>
      <c r="K9" s="23"/>
      <c r="L9" s="23"/>
      <c r="M9" s="23"/>
      <c r="N9" s="23"/>
      <c r="O9" s="23"/>
      <c r="P9" s="23"/>
      <c r="Q9" s="23"/>
      <c r="R9" s="23"/>
      <c r="S9" s="23"/>
      <c r="T9" s="23"/>
      <c r="U9" s="23"/>
    </row>
    <row r="10" spans="1:21">
      <c r="A10" s="23"/>
      <c r="B10" s="100"/>
      <c r="C10" s="31">
        <f>N(NOT(C9))</f>
        <v>1</v>
      </c>
      <c r="D10" s="101"/>
      <c r="E10" s="101"/>
      <c r="F10" s="101"/>
      <c r="G10" s="101" t="s">
        <v>325</v>
      </c>
      <c r="H10" s="101"/>
      <c r="I10" s="101"/>
      <c r="J10" s="105"/>
      <c r="K10" s="23"/>
      <c r="L10" s="23"/>
      <c r="M10" s="23"/>
      <c r="N10" s="23"/>
      <c r="O10" s="23"/>
      <c r="P10" s="23"/>
      <c r="Q10" s="23"/>
      <c r="R10" s="23"/>
      <c r="S10" s="23"/>
      <c r="T10" s="23"/>
      <c r="U10" s="23"/>
    </row>
    <row r="11" spans="1:21">
      <c r="A11" s="23"/>
      <c r="B11" s="100"/>
      <c r="C11" s="830" t="s">
        <v>335</v>
      </c>
      <c r="D11" s="101"/>
      <c r="E11" s="830" t="s">
        <v>333</v>
      </c>
      <c r="F11" s="101"/>
      <c r="G11" s="830" t="s">
        <v>208</v>
      </c>
      <c r="H11" s="101"/>
      <c r="I11" s="101"/>
      <c r="J11" s="105"/>
      <c r="K11" s="23"/>
      <c r="L11" s="23"/>
      <c r="M11" s="23"/>
      <c r="N11" s="23"/>
      <c r="O11" s="23"/>
      <c r="P11" s="23"/>
      <c r="Q11" s="23"/>
      <c r="R11" s="23"/>
      <c r="S11" s="23"/>
      <c r="T11" s="23"/>
      <c r="U11" s="23"/>
    </row>
    <row r="12" spans="1:21">
      <c r="A12" s="23"/>
      <c r="B12" s="828" t="s">
        <v>313</v>
      </c>
      <c r="C12" s="31">
        <f>N(AND(C7,C10))</f>
        <v>0</v>
      </c>
      <c r="D12" s="101"/>
      <c r="E12" s="829">
        <f>C12*(-C17)</f>
        <v>0</v>
      </c>
      <c r="F12" s="101" t="s">
        <v>4</v>
      </c>
      <c r="G12" s="101" t="s">
        <v>317</v>
      </c>
      <c r="H12" s="101"/>
      <c r="I12" s="101"/>
      <c r="J12" s="105"/>
      <c r="K12" s="23"/>
      <c r="L12" s="23"/>
      <c r="M12" s="23"/>
      <c r="N12" s="23"/>
      <c r="O12" s="23"/>
      <c r="P12" s="23"/>
      <c r="Q12" s="23"/>
      <c r="R12" s="23"/>
      <c r="S12" s="23"/>
      <c r="T12" s="23"/>
      <c r="U12" s="23"/>
    </row>
    <row r="13" spans="1:21">
      <c r="A13" s="23"/>
      <c r="B13" s="100" t="s">
        <v>315</v>
      </c>
      <c r="C13" s="31">
        <f>N(AND(C6,C10))</f>
        <v>1</v>
      </c>
      <c r="D13" s="101"/>
      <c r="E13" s="829">
        <f>C13*(180-C17)</f>
        <v>137.56350986344964</v>
      </c>
      <c r="F13" s="101" t="s">
        <v>4</v>
      </c>
      <c r="G13" s="101" t="s">
        <v>319</v>
      </c>
      <c r="H13" s="101"/>
      <c r="I13" s="101"/>
      <c r="J13" s="105"/>
      <c r="K13" s="23"/>
      <c r="L13" s="23"/>
      <c r="M13" s="23"/>
      <c r="N13" s="23"/>
      <c r="O13" s="23"/>
      <c r="P13" s="23"/>
      <c r="Q13" s="23"/>
      <c r="R13" s="23"/>
      <c r="S13" s="23"/>
      <c r="T13" s="23"/>
      <c r="U13" s="23"/>
    </row>
    <row r="14" spans="1:21">
      <c r="A14" s="23"/>
      <c r="B14" s="828" t="s">
        <v>316</v>
      </c>
      <c r="C14" s="31">
        <f>N(AND(C6,C9))</f>
        <v>0</v>
      </c>
      <c r="D14" s="101"/>
      <c r="E14" s="829">
        <f>C14*(180-C17)</f>
        <v>0</v>
      </c>
      <c r="F14" s="101" t="s">
        <v>4</v>
      </c>
      <c r="G14" s="101" t="s">
        <v>326</v>
      </c>
      <c r="H14" s="101"/>
      <c r="I14" s="101"/>
      <c r="J14" s="105"/>
      <c r="K14" s="23"/>
      <c r="L14" s="23"/>
      <c r="M14" s="23"/>
      <c r="N14" s="23"/>
      <c r="O14" s="23"/>
      <c r="P14" s="23"/>
      <c r="Q14" s="23"/>
      <c r="R14" s="23"/>
      <c r="S14" s="23"/>
      <c r="T14" s="23"/>
      <c r="U14" s="23"/>
    </row>
    <row r="15" spans="1:21">
      <c r="A15" s="23"/>
      <c r="B15" s="828" t="s">
        <v>314</v>
      </c>
      <c r="C15" s="31">
        <f>N(AND(C7,C9))</f>
        <v>0</v>
      </c>
      <c r="D15" s="101"/>
      <c r="E15" s="829">
        <f>C15*(360-C17)</f>
        <v>0</v>
      </c>
      <c r="F15" s="101" t="s">
        <v>4</v>
      </c>
      <c r="G15" s="101" t="s">
        <v>318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6" t="s">
        <v>328</v>
      </c>
      <c r="C17" s="822">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6" t="s">
        <v>329</v>
      </c>
      <c r="C19" s="101"/>
      <c r="D19" s="101"/>
      <c r="E19" s="824">
        <f>SUM(E12:E15)</f>
        <v>137.56350986344964</v>
      </c>
      <c r="F19" s="418"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4"/>
      <c r="C23" s="834"/>
      <c r="D23" s="834"/>
      <c r="E23" s="834"/>
      <c r="F23" s="834"/>
      <c r="G23" s="834"/>
      <c r="H23" s="834"/>
      <c r="I23" s="834"/>
      <c r="J23" s="834"/>
      <c r="K23" s="23"/>
      <c r="L23" s="23"/>
      <c r="M23" s="23"/>
      <c r="N23" s="23"/>
      <c r="O23" s="23"/>
      <c r="P23" s="23"/>
      <c r="Q23" s="23"/>
      <c r="R23" s="23"/>
      <c r="S23" s="23"/>
      <c r="T23" s="23"/>
      <c r="U23" s="23"/>
    </row>
    <row r="24" spans="1:21" ht="13">
      <c r="A24" s="23"/>
      <c r="B24" s="832" t="s">
        <v>28</v>
      </c>
      <c r="C24" s="101"/>
      <c r="D24" s="101"/>
      <c r="E24" s="101"/>
      <c r="F24" s="101"/>
      <c r="G24" s="101"/>
      <c r="H24" s="101"/>
      <c r="I24" s="101"/>
      <c r="J24" s="105"/>
      <c r="K24" s="23"/>
      <c r="L24" s="23"/>
      <c r="M24" s="23"/>
      <c r="N24" s="23"/>
      <c r="O24" s="23"/>
      <c r="P24" s="23"/>
      <c r="Q24" s="23"/>
      <c r="R24" s="23"/>
      <c r="S24" s="23"/>
      <c r="T24" s="23"/>
      <c r="U24" s="23"/>
    </row>
    <row r="25" spans="1:21">
      <c r="A25" s="23"/>
      <c r="B25" s="100" t="s">
        <v>311</v>
      </c>
      <c r="C25" s="101"/>
      <c r="D25" s="101"/>
      <c r="E25" s="101"/>
      <c r="F25" s="101"/>
      <c r="G25" s="101"/>
      <c r="H25" s="101"/>
      <c r="I25" s="101"/>
      <c r="J25" s="105"/>
      <c r="K25" s="23"/>
      <c r="L25" s="23"/>
      <c r="M25" s="23"/>
      <c r="N25" s="23"/>
      <c r="O25" s="23"/>
      <c r="P25" s="23"/>
      <c r="Q25" s="23"/>
      <c r="R25" s="23"/>
      <c r="S25" s="23"/>
      <c r="T25" s="23"/>
      <c r="U25" s="23"/>
    </row>
    <row r="26" spans="1:21" ht="13">
      <c r="A26" s="23"/>
      <c r="B26" s="826" t="s">
        <v>320</v>
      </c>
      <c r="C26" s="823">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321</v>
      </c>
      <c r="C27" s="31">
        <f>IF(C26&gt;0,1,0)</f>
        <v>1</v>
      </c>
      <c r="D27" s="101"/>
      <c r="E27" s="101" t="s">
        <v>728</v>
      </c>
      <c r="F27" s="101"/>
      <c r="G27" s="101" t="s">
        <v>322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323</v>
      </c>
      <c r="H28" s="101"/>
      <c r="I28" s="101"/>
      <c r="J28" s="105"/>
      <c r="K28" s="23"/>
      <c r="L28" s="23"/>
      <c r="M28" s="23"/>
      <c r="N28" s="23"/>
      <c r="O28" s="23"/>
      <c r="P28" s="23"/>
      <c r="Q28" s="23"/>
      <c r="R28" s="23"/>
      <c r="S28" s="23"/>
      <c r="T28" s="23"/>
      <c r="U28" s="23"/>
    </row>
    <row r="29" spans="1:21" ht="13">
      <c r="A29" s="23"/>
      <c r="B29" s="827" t="s">
        <v>327</v>
      </c>
      <c r="C29" s="823">
        <f>Orbit!O101</f>
        <v>-11.034199999999998</v>
      </c>
      <c r="D29" s="101" t="s">
        <v>4</v>
      </c>
      <c r="E29" s="101" t="s">
        <v>728</v>
      </c>
      <c r="F29" s="101"/>
      <c r="G29" s="101" t="s">
        <v>728</v>
      </c>
      <c r="H29" s="101"/>
      <c r="I29" s="101"/>
      <c r="J29" s="105"/>
      <c r="K29" s="23"/>
      <c r="L29" s="23"/>
      <c r="M29" s="23"/>
      <c r="N29" s="23" t="s">
        <v>728</v>
      </c>
      <c r="O29" s="23"/>
      <c r="P29" s="23"/>
      <c r="Q29" s="23"/>
      <c r="R29" s="23"/>
      <c r="S29" s="23"/>
      <c r="T29" s="23"/>
      <c r="U29" s="23"/>
    </row>
    <row r="30" spans="1:21">
      <c r="A30" s="23"/>
      <c r="B30" s="100" t="s">
        <v>312</v>
      </c>
      <c r="C30" s="31">
        <f>IF(C29&gt;0,1,0)</f>
        <v>0</v>
      </c>
      <c r="D30" s="101"/>
      <c r="E30" s="101"/>
      <c r="F30" s="101"/>
      <c r="G30" s="101" t="s">
        <v>324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325</v>
      </c>
      <c r="H31" s="101"/>
      <c r="I31" s="101"/>
      <c r="J31" s="105"/>
      <c r="K31" s="23"/>
      <c r="L31" s="23"/>
      <c r="M31" s="23"/>
      <c r="N31" s="23"/>
      <c r="O31" s="23"/>
      <c r="P31" s="23"/>
      <c r="Q31" s="23"/>
      <c r="R31" s="23"/>
      <c r="S31" s="23"/>
      <c r="T31" s="23"/>
      <c r="U31" s="23"/>
    </row>
    <row r="32" spans="1:21">
      <c r="A32" s="23"/>
      <c r="B32" s="100"/>
      <c r="C32" s="830" t="s">
        <v>335</v>
      </c>
      <c r="D32" s="101"/>
      <c r="E32" s="830" t="s">
        <v>333</v>
      </c>
      <c r="F32" s="101"/>
      <c r="G32" s="830" t="s">
        <v>334</v>
      </c>
      <c r="H32" s="101"/>
      <c r="I32" s="101"/>
      <c r="J32" s="105"/>
      <c r="K32" s="23"/>
      <c r="L32" s="23"/>
      <c r="M32" s="23"/>
      <c r="N32" s="23"/>
      <c r="O32" s="23"/>
      <c r="P32" s="23"/>
      <c r="Q32" s="23"/>
      <c r="R32" s="23"/>
      <c r="S32" s="23"/>
      <c r="T32" s="23"/>
      <c r="U32" s="23"/>
    </row>
    <row r="33" spans="1:21">
      <c r="A33" s="23"/>
      <c r="B33" s="828" t="s">
        <v>313</v>
      </c>
      <c r="C33" s="31">
        <f>N(AND(C28,C31))</f>
        <v>0</v>
      </c>
      <c r="D33" s="101"/>
      <c r="E33" s="829">
        <f>C33*(-C38)</f>
        <v>0</v>
      </c>
      <c r="F33" s="101" t="s">
        <v>4</v>
      </c>
      <c r="G33" s="101" t="s">
        <v>317</v>
      </c>
      <c r="H33" s="101"/>
      <c r="I33" s="101"/>
      <c r="J33" s="105"/>
      <c r="K33" s="23"/>
      <c r="L33" s="23"/>
      <c r="M33" s="23"/>
      <c r="N33" s="23"/>
      <c r="O33" s="23"/>
      <c r="P33" s="23"/>
      <c r="Q33" s="23"/>
      <c r="R33" s="23"/>
      <c r="S33" s="23"/>
      <c r="T33" s="23"/>
      <c r="U33" s="23"/>
    </row>
    <row r="34" spans="1:21">
      <c r="A34" s="23"/>
      <c r="B34" s="100" t="s">
        <v>315</v>
      </c>
      <c r="C34" s="31">
        <f>N(AND(C27,C31))</f>
        <v>1</v>
      </c>
      <c r="D34" s="101"/>
      <c r="E34" s="829">
        <f>C34*(180-C38)</f>
        <v>146.93483583660557</v>
      </c>
      <c r="F34" s="101" t="s">
        <v>4</v>
      </c>
      <c r="G34" s="101" t="s">
        <v>319</v>
      </c>
      <c r="H34" s="101"/>
      <c r="I34" s="101"/>
      <c r="J34" s="105"/>
      <c r="K34" s="23"/>
      <c r="L34" s="23"/>
      <c r="M34" s="23"/>
      <c r="N34" s="23"/>
      <c r="O34" s="23"/>
      <c r="P34" s="23"/>
      <c r="Q34" s="23"/>
      <c r="R34" s="23"/>
      <c r="S34" s="23"/>
      <c r="T34" s="23"/>
      <c r="U34" s="23"/>
    </row>
    <row r="35" spans="1:21">
      <c r="A35" s="23"/>
      <c r="B35" s="828" t="s">
        <v>316</v>
      </c>
      <c r="C35" s="31">
        <f>N(AND(C27,C30))</f>
        <v>0</v>
      </c>
      <c r="D35" s="101"/>
      <c r="E35" s="829">
        <f>C35*(180-C38)</f>
        <v>0</v>
      </c>
      <c r="F35" s="101" t="s">
        <v>4</v>
      </c>
      <c r="G35" s="101" t="s">
        <v>326</v>
      </c>
      <c r="H35" s="101"/>
      <c r="I35" s="101"/>
      <c r="J35" s="105"/>
      <c r="K35" s="23"/>
      <c r="L35" s="23"/>
      <c r="M35" s="23"/>
      <c r="N35" s="23"/>
      <c r="O35" s="23"/>
      <c r="P35" s="23"/>
      <c r="Q35" s="23"/>
      <c r="R35" s="23"/>
      <c r="S35" s="23"/>
      <c r="T35" s="23"/>
      <c r="U35" s="23"/>
    </row>
    <row r="36" spans="1:21">
      <c r="A36" s="23"/>
      <c r="B36" s="828" t="s">
        <v>314</v>
      </c>
      <c r="C36" s="31">
        <f>N(AND(C28,C30))</f>
        <v>0</v>
      </c>
      <c r="D36" s="101"/>
      <c r="E36" s="829">
        <f>C36*(360-C38)</f>
        <v>0</v>
      </c>
      <c r="F36" s="101" t="s">
        <v>4</v>
      </c>
      <c r="G36" s="101" t="s">
        <v>318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6" t="s">
        <v>328</v>
      </c>
      <c r="C38" s="822">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6" t="s">
        <v>329</v>
      </c>
      <c r="C40" s="101"/>
      <c r="D40" s="101"/>
      <c r="E40" s="824">
        <f>SUM(E33:E36)</f>
        <v>146.93483583660557</v>
      </c>
      <c r="F40" s="418"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283</v>
      </c>
      <c r="B1" s="18"/>
      <c r="C1" s="18"/>
      <c r="D1" s="18"/>
    </row>
    <row r="2" spans="1:9">
      <c r="A2" s="349" t="s">
        <v>140</v>
      </c>
      <c r="B2" s="18" t="s">
        <v>747</v>
      </c>
      <c r="C2" s="18" t="s">
        <v>746</v>
      </c>
      <c r="D2" s="18" t="s">
        <v>748</v>
      </c>
      <c r="E2" s="18" t="s">
        <v>750</v>
      </c>
      <c r="F2" s="18" t="s">
        <v>749</v>
      </c>
      <c r="G2" s="18" t="s">
        <v>751</v>
      </c>
      <c r="I2" t="s">
        <v>728</v>
      </c>
    </row>
    <row r="3" spans="1:9">
      <c r="B3" s="18">
        <f>SQRT(D3-(C3)^2)</f>
        <v>3.5199431813596083</v>
      </c>
      <c r="C3" s="19">
        <v>-1.9</v>
      </c>
      <c r="D3" s="19">
        <v>16</v>
      </c>
      <c r="E3" s="18">
        <f>SQRT(G3-(F4)^2)</f>
        <v>3.5745629103430252</v>
      </c>
      <c r="F3" s="18">
        <v>-1.9</v>
      </c>
      <c r="G3" s="19">
        <v>16.2</v>
      </c>
      <c r="I3" t="s">
        <v>728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3" sqref="B23"/>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505</v>
      </c>
      <c r="B1" s="24"/>
      <c r="C1" s="24"/>
      <c r="D1" s="24"/>
      <c r="E1" s="644" t="str">
        <f>'Title Page'!F3</f>
        <v>OreSat - CS0</v>
      </c>
      <c r="F1" s="24"/>
      <c r="G1" s="51" t="s">
        <v>728</v>
      </c>
      <c r="H1" s="24"/>
      <c r="I1" s="51" t="str">
        <f>'Title Page'!F23</f>
        <v>2019 May 6</v>
      </c>
      <c r="J1" s="51"/>
      <c r="K1" s="51" t="str">
        <f>'Title Page'!G1</f>
        <v xml:space="preserve"> Version: 2.5.5</v>
      </c>
      <c r="L1" s="51"/>
      <c r="M1" s="24"/>
      <c r="N1" s="24"/>
      <c r="O1" s="24"/>
      <c r="P1" s="24"/>
      <c r="Q1" s="127"/>
      <c r="R1" s="127"/>
      <c r="S1" s="127"/>
      <c r="T1" s="127"/>
      <c r="U1" s="291"/>
    </row>
    <row r="2" spans="1:21" ht="12.75" customHeight="1">
      <c r="A2" s="850" t="s">
        <v>600</v>
      </c>
      <c r="B2" s="101"/>
      <c r="C2" s="101"/>
      <c r="D2" s="101"/>
      <c r="E2" s="769"/>
      <c r="F2" s="101"/>
      <c r="G2" s="466"/>
      <c r="H2" s="101"/>
      <c r="I2" s="466"/>
      <c r="J2" s="466"/>
      <c r="K2" s="466"/>
      <c r="L2" s="466"/>
      <c r="M2" s="101"/>
      <c r="N2" s="101"/>
      <c r="O2" s="101"/>
      <c r="P2" s="101"/>
      <c r="Q2" s="101"/>
      <c r="R2" s="101"/>
      <c r="S2" s="101"/>
      <c r="T2" s="101"/>
      <c r="U2" s="101"/>
    </row>
    <row r="3" spans="1:21" s="770" customFormat="1" ht="12.75" customHeight="1" thickBot="1">
      <c r="A3" s="850" t="s">
        <v>601</v>
      </c>
      <c r="B3" s="518"/>
      <c r="C3" s="518"/>
      <c r="D3" s="518"/>
      <c r="E3" s="769"/>
      <c r="F3" s="518"/>
      <c r="G3" s="466"/>
      <c r="H3" s="518"/>
      <c r="I3" s="466"/>
      <c r="J3" s="466"/>
      <c r="K3" s="466"/>
      <c r="L3" s="466"/>
      <c r="M3" s="518"/>
      <c r="N3" s="518"/>
      <c r="O3" s="518"/>
      <c r="P3" s="518"/>
      <c r="Q3" s="518"/>
      <c r="R3" s="518"/>
      <c r="S3" s="518"/>
      <c r="T3" s="518"/>
      <c r="U3" s="518"/>
    </row>
    <row r="4" spans="1:21" s="770" customFormat="1" ht="12.75" customHeight="1" thickBot="1">
      <c r="A4" s="851" t="s">
        <v>599</v>
      </c>
      <c r="B4" s="773" t="s">
        <v>536</v>
      </c>
      <c r="C4" s="389">
        <v>1</v>
      </c>
      <c r="D4" s="809" t="str">
        <f>INDEX(C6:DC9,C4,1)</f>
        <v>LEO</v>
      </c>
      <c r="E4" s="769"/>
      <c r="F4" s="773" t="s">
        <v>705</v>
      </c>
      <c r="G4" s="811">
        <f>INDEX(D6:D9,C4,1)</f>
        <v>1454.4339505997034</v>
      </c>
      <c r="H4" s="810" t="s">
        <v>733</v>
      </c>
      <c r="I4" s="518" t="s">
        <v>538</v>
      </c>
      <c r="J4" s="466"/>
      <c r="K4" s="466"/>
      <c r="L4" s="466"/>
      <c r="M4" s="518"/>
      <c r="N4" s="518"/>
      <c r="O4" s="518"/>
      <c r="P4" s="518"/>
      <c r="Q4" s="518"/>
      <c r="R4" s="518"/>
      <c r="S4" s="518"/>
      <c r="T4" s="518"/>
      <c r="U4" s="518"/>
    </row>
    <row r="5" spans="1:21" s="770" customFormat="1" ht="12.75" customHeight="1">
      <c r="A5" s="466"/>
      <c r="B5" s="771" t="s">
        <v>539</v>
      </c>
      <c r="C5" s="771" t="s">
        <v>725</v>
      </c>
      <c r="D5" s="771" t="s">
        <v>537</v>
      </c>
      <c r="E5" s="769"/>
      <c r="F5" s="774"/>
      <c r="G5" s="466"/>
      <c r="H5" s="518"/>
      <c r="I5" s="518"/>
      <c r="J5" s="466"/>
      <c r="K5" s="466"/>
      <c r="L5" s="466"/>
      <c r="M5" s="518"/>
      <c r="N5" s="518"/>
      <c r="O5" s="518"/>
      <c r="P5" s="518"/>
      <c r="Q5" s="518"/>
      <c r="R5" s="518"/>
      <c r="S5" s="518"/>
      <c r="T5" s="518"/>
      <c r="U5" s="518"/>
    </row>
    <row r="6" spans="1:21" ht="12.75" customHeight="1">
      <c r="A6" s="768"/>
      <c r="B6" s="772">
        <v>1</v>
      </c>
      <c r="C6" s="772" t="s">
        <v>533</v>
      </c>
      <c r="D6" s="777">
        <f>B36</f>
        <v>1454.4339505997034</v>
      </c>
      <c r="E6" s="518" t="s">
        <v>733</v>
      </c>
      <c r="F6" s="101"/>
      <c r="G6" s="466"/>
      <c r="H6" s="101"/>
      <c r="I6" s="466"/>
      <c r="J6" s="466"/>
      <c r="K6" s="466"/>
      <c r="L6" s="466"/>
      <c r="M6" s="101" t="s">
        <v>728</v>
      </c>
      <c r="N6" s="101"/>
      <c r="O6" s="101"/>
      <c r="P6" s="101"/>
      <c r="Q6" s="101"/>
      <c r="R6" s="101"/>
      <c r="S6" s="101"/>
      <c r="T6" s="101"/>
      <c r="U6" s="101"/>
    </row>
    <row r="7" spans="1:21" ht="12.75" customHeight="1">
      <c r="A7" s="768"/>
      <c r="B7" s="772">
        <v>2</v>
      </c>
      <c r="C7" s="772" t="s">
        <v>534</v>
      </c>
      <c r="D7" s="782">
        <f>K63</f>
        <v>41126.753187550428</v>
      </c>
      <c r="E7" s="518" t="s">
        <v>733</v>
      </c>
      <c r="F7" s="101"/>
      <c r="G7" s="466"/>
      <c r="H7" s="101"/>
      <c r="I7" s="466"/>
      <c r="J7" s="466"/>
      <c r="K7" s="466"/>
      <c r="L7" s="466"/>
      <c r="M7" s="101"/>
      <c r="N7" s="101"/>
      <c r="O7" s="101"/>
      <c r="P7" s="101"/>
      <c r="Q7" s="101"/>
      <c r="R7" s="101"/>
      <c r="S7" s="101"/>
      <c r="T7" s="101"/>
      <c r="U7" s="101"/>
    </row>
    <row r="8" spans="1:21" ht="12.75" customHeight="1">
      <c r="A8" s="768"/>
      <c r="B8" s="772">
        <v>3</v>
      </c>
      <c r="C8" s="772" t="s">
        <v>535</v>
      </c>
      <c r="D8" s="777">
        <f>B104</f>
        <v>36488.15588571554</v>
      </c>
      <c r="E8" s="518" t="s">
        <v>733</v>
      </c>
      <c r="F8" s="101"/>
      <c r="G8" s="466"/>
      <c r="H8" s="101"/>
      <c r="I8" s="466"/>
      <c r="J8" s="466"/>
      <c r="K8" s="466"/>
      <c r="L8" s="466"/>
      <c r="M8" s="101"/>
      <c r="N8" s="101"/>
      <c r="O8" s="101"/>
      <c r="P8" s="101"/>
      <c r="Q8" s="101"/>
      <c r="R8" s="101"/>
      <c r="S8" s="101"/>
      <c r="T8" s="101"/>
      <c r="U8" s="101"/>
    </row>
    <row r="9" spans="1:21" ht="12.75" customHeight="1">
      <c r="A9" s="768"/>
      <c r="B9" s="772">
        <v>4</v>
      </c>
      <c r="C9" s="808" t="s">
        <v>704</v>
      </c>
      <c r="D9" s="854">
        <f>D125</f>
        <v>315000000.00000006</v>
      </c>
      <c r="E9" s="518" t="s">
        <v>733</v>
      </c>
      <c r="F9" s="101"/>
      <c r="G9" s="466"/>
      <c r="H9" s="101"/>
      <c r="I9" s="466"/>
      <c r="J9" s="466"/>
      <c r="K9" s="466"/>
      <c r="L9" s="466"/>
      <c r="M9" s="101"/>
      <c r="N9" s="101"/>
      <c r="O9" s="101"/>
      <c r="P9" s="101"/>
      <c r="Q9" s="101"/>
      <c r="R9" s="101"/>
      <c r="S9" s="101"/>
      <c r="T9" s="101"/>
      <c r="U9" s="101"/>
    </row>
    <row r="10" spans="1:21" ht="12.75" customHeight="1" thickBot="1">
      <c r="A10" s="756"/>
      <c r="B10" s="3"/>
      <c r="C10" s="3"/>
      <c r="D10" s="3"/>
      <c r="E10" s="3"/>
      <c r="F10" s="3"/>
      <c r="G10" s="3"/>
      <c r="H10" s="3"/>
      <c r="I10" s="3"/>
      <c r="J10" s="3"/>
      <c r="K10" s="3"/>
      <c r="L10" s="3"/>
      <c r="M10" s="3"/>
      <c r="N10" s="3"/>
      <c r="O10" s="3"/>
      <c r="P10" s="3"/>
      <c r="Q10" s="3"/>
      <c r="R10" s="3"/>
      <c r="S10" s="3"/>
      <c r="T10" s="3"/>
      <c r="U10" s="3"/>
    </row>
    <row r="11" spans="1:21" ht="13.5" thickBot="1">
      <c r="A11" s="3"/>
      <c r="B11" s="496"/>
      <c r="C11" s="3"/>
      <c r="D11" s="684" t="s">
        <v>754</v>
      </c>
      <c r="E11" s="26" t="s">
        <v>755</v>
      </c>
      <c r="F11" s="26"/>
      <c r="G11" s="3"/>
      <c r="H11" s="3"/>
      <c r="I11" s="48" t="s">
        <v>756</v>
      </c>
      <c r="J11" s="27" t="s">
        <v>757</v>
      </c>
      <c r="K11" s="3"/>
      <c r="L11" s="4" t="s">
        <v>837</v>
      </c>
      <c r="M11" s="3"/>
      <c r="N11" s="3"/>
      <c r="O11" s="3"/>
      <c r="P11" s="3"/>
      <c r="Q11" s="3"/>
      <c r="R11" s="3"/>
      <c r="S11" s="3"/>
      <c r="T11" s="3"/>
      <c r="U11" s="3"/>
    </row>
    <row r="12" spans="1:21" ht="13">
      <c r="A12" s="3" t="s">
        <v>840</v>
      </c>
      <c r="B12" s="688" t="s">
        <v>167</v>
      </c>
      <c r="C12" s="3"/>
      <c r="D12" s="49" t="s">
        <v>758</v>
      </c>
      <c r="E12" s="26" t="s">
        <v>847</v>
      </c>
      <c r="F12" s="26"/>
      <c r="G12" s="3"/>
      <c r="H12" s="3"/>
      <c r="I12" s="385" t="s">
        <v>834</v>
      </c>
      <c r="J12" s="27" t="s">
        <v>839</v>
      </c>
      <c r="K12" s="3"/>
      <c r="L12" s="3"/>
      <c r="M12" s="3"/>
      <c r="N12" s="3"/>
      <c r="O12" s="3"/>
      <c r="P12" s="3"/>
      <c r="Q12" s="3"/>
      <c r="R12" s="3"/>
      <c r="S12" s="3"/>
      <c r="T12" s="3"/>
      <c r="U12" s="3"/>
    </row>
    <row r="13" spans="1:21" ht="13" thickBot="1">
      <c r="A13" s="112"/>
      <c r="B13" s="784"/>
      <c r="C13" s="112"/>
      <c r="D13" s="785"/>
      <c r="E13" s="786"/>
      <c r="F13" s="786"/>
      <c r="G13" s="112"/>
      <c r="H13" s="112"/>
      <c r="I13" s="787"/>
      <c r="J13" s="788"/>
      <c r="K13" s="112"/>
      <c r="L13" s="112"/>
      <c r="M13" s="112"/>
      <c r="N13" s="112"/>
      <c r="O13" s="112"/>
      <c r="P13" s="112"/>
      <c r="Q13" s="112"/>
      <c r="R13" s="112"/>
      <c r="S13" s="112"/>
      <c r="T13" s="112"/>
      <c r="U13" s="112"/>
    </row>
    <row r="14" spans="1:21" ht="15.5">
      <c r="A14" s="836" t="s">
        <v>524</v>
      </c>
      <c r="B14" s="349" t="s">
        <v>257</v>
      </c>
      <c r="C14" s="23"/>
      <c r="D14" s="23"/>
      <c r="E14" s="23"/>
      <c r="F14" s="23"/>
      <c r="G14" s="23"/>
      <c r="H14" s="23"/>
      <c r="I14" s="23"/>
      <c r="J14" s="23"/>
      <c r="K14" s="23"/>
      <c r="L14" s="23"/>
      <c r="M14" s="23"/>
      <c r="N14" s="23"/>
      <c r="O14" s="23"/>
      <c r="P14" s="23"/>
      <c r="Q14" s="23"/>
      <c r="R14" s="23"/>
      <c r="S14" s="23"/>
      <c r="T14" s="23"/>
      <c r="U14" s="23"/>
    </row>
    <row r="15" spans="1:21" ht="15.5">
      <c r="A15" s="757" t="s">
        <v>506</v>
      </c>
      <c r="B15" s="755"/>
      <c r="C15" s="755"/>
      <c r="Q15" s="3"/>
      <c r="R15" s="3"/>
      <c r="S15" s="3"/>
      <c r="T15" s="3"/>
      <c r="U15" s="3"/>
    </row>
    <row r="16" spans="1:21" ht="13">
      <c r="A16" s="4" t="s">
        <v>763</v>
      </c>
      <c r="B16" s="4"/>
      <c r="C16" s="4"/>
      <c r="Q16" s="3"/>
      <c r="R16" s="3"/>
      <c r="S16" s="3"/>
      <c r="T16" s="3"/>
      <c r="U16" s="3"/>
    </row>
    <row r="17" spans="1:21" ht="13">
      <c r="A17" s="9" t="s">
        <v>729</v>
      </c>
      <c r="B17" s="10" t="s">
        <v>730</v>
      </c>
      <c r="C17" s="11" t="s">
        <v>731</v>
      </c>
      <c r="Q17" s="3"/>
      <c r="R17" s="3"/>
      <c r="S17" s="3"/>
      <c r="T17" s="3"/>
      <c r="U17" s="3"/>
    </row>
    <row r="18" spans="1:21">
      <c r="A18" s="12" t="s">
        <v>732</v>
      </c>
      <c r="B18" s="13">
        <v>6378.1360000000004</v>
      </c>
      <c r="C18" s="12" t="s">
        <v>733</v>
      </c>
      <c r="Q18" s="3"/>
      <c r="R18" s="3"/>
      <c r="S18" s="3"/>
      <c r="T18" s="3"/>
      <c r="U18" s="3"/>
    </row>
    <row r="19" spans="1:21">
      <c r="A19" s="12" t="s">
        <v>752</v>
      </c>
      <c r="B19" s="663">
        <v>408</v>
      </c>
      <c r="C19" s="12" t="s">
        <v>733</v>
      </c>
      <c r="Q19" s="3"/>
      <c r="R19" s="3"/>
      <c r="S19" s="3"/>
      <c r="T19" s="3"/>
      <c r="U19" s="3"/>
    </row>
    <row r="20" spans="1:21">
      <c r="A20" s="12" t="s">
        <v>753</v>
      </c>
      <c r="B20" s="662">
        <v>403</v>
      </c>
      <c r="C20" s="12" t="s">
        <v>733</v>
      </c>
      <c r="Q20" s="3"/>
      <c r="R20" s="3"/>
      <c r="S20" s="3"/>
      <c r="T20" s="3"/>
      <c r="U20" s="3"/>
    </row>
    <row r="21" spans="1:21">
      <c r="A21" s="3" t="s">
        <v>734</v>
      </c>
      <c r="B21" s="664">
        <f>(B19+B20+2*B18)/2</f>
        <v>6783.6360000000004</v>
      </c>
      <c r="C21" s="3" t="s">
        <v>733</v>
      </c>
      <c r="Q21" s="3"/>
      <c r="R21" s="3"/>
      <c r="S21" s="3"/>
      <c r="T21" s="3"/>
      <c r="U21" s="3"/>
    </row>
    <row r="22" spans="1:21">
      <c r="A22" s="3" t="s">
        <v>735</v>
      </c>
      <c r="B22" s="14">
        <f>((B19+B18)-(B20+B18))/((B19+B18)+(B20+B18))</f>
        <v>3.6853392487450683E-4</v>
      </c>
      <c r="C22" s="3"/>
      <c r="Q22" s="3"/>
      <c r="R22" s="3"/>
      <c r="S22" s="3"/>
      <c r="T22" s="3"/>
      <c r="U22" s="3"/>
    </row>
    <row r="23" spans="1:21">
      <c r="A23" s="3" t="s">
        <v>736</v>
      </c>
      <c r="B23" s="60">
        <v>51.6</v>
      </c>
      <c r="C23" s="3" t="s">
        <v>4</v>
      </c>
      <c r="Q23" s="3"/>
      <c r="R23" s="3"/>
      <c r="S23" s="3"/>
      <c r="T23" s="3"/>
      <c r="U23" s="3"/>
    </row>
    <row r="24" spans="1:21">
      <c r="A24" s="3" t="s">
        <v>738</v>
      </c>
      <c r="B24" s="61">
        <v>180</v>
      </c>
      <c r="C24" s="3" t="s">
        <v>4</v>
      </c>
      <c r="Q24" s="3"/>
      <c r="R24" s="3"/>
      <c r="S24" s="3"/>
      <c r="T24" s="3"/>
      <c r="U24" s="3"/>
    </row>
    <row r="25" spans="1:21">
      <c r="A25" s="3" t="s">
        <v>739</v>
      </c>
      <c r="B25" s="792">
        <v>123.7</v>
      </c>
      <c r="C25" s="3" t="s">
        <v>4</v>
      </c>
      <c r="Q25" s="3"/>
      <c r="R25" s="3"/>
      <c r="S25" s="3"/>
      <c r="T25" s="3"/>
      <c r="U25" s="3"/>
    </row>
    <row r="26" spans="1:21">
      <c r="A26" s="3" t="s">
        <v>740</v>
      </c>
      <c r="B26" s="62">
        <v>0</v>
      </c>
      <c r="C26" s="3" t="s">
        <v>4</v>
      </c>
      <c r="Q26" s="3"/>
      <c r="R26" s="3"/>
      <c r="S26" s="3"/>
      <c r="T26" s="3"/>
      <c r="U26" s="3"/>
    </row>
    <row r="27" spans="1:21">
      <c r="A27" s="3" t="s">
        <v>741</v>
      </c>
      <c r="B27" s="32">
        <f xml:space="preserve"> 84.4892*((B21/B18)^1.5)</f>
        <v>92.673238367165595</v>
      </c>
      <c r="C27" s="3" t="s">
        <v>742</v>
      </c>
      <c r="Q27" s="3"/>
      <c r="R27" s="3"/>
      <c r="S27" s="3"/>
      <c r="T27" s="3"/>
      <c r="U27" s="3"/>
    </row>
    <row r="28" spans="1:21">
      <c r="A28" s="3" t="s">
        <v>743</v>
      </c>
      <c r="B28" s="16">
        <f>19.919482*((B18/B21)^3.5)*(1-1.25*((SIN(B23/57.29578))^2))/((1-B22^2)^2)</f>
        <v>3.7290709859689151</v>
      </c>
      <c r="C28" s="3" t="s">
        <v>744</v>
      </c>
      <c r="Q28" s="3"/>
      <c r="R28" s="3"/>
      <c r="S28" s="3"/>
      <c r="T28" s="3"/>
      <c r="U28" s="3"/>
    </row>
    <row r="29" spans="1:21">
      <c r="A29" s="3" t="s">
        <v>745</v>
      </c>
      <c r="B29" s="16">
        <f>(-9.9597408/(1-B22^2)^2)*((B18/B21)^3.5)*COS(B23/57.29578)</f>
        <v>-4.9860018218750062</v>
      </c>
      <c r="C29" s="3" t="s">
        <v>744</v>
      </c>
      <c r="Q29" s="3"/>
      <c r="R29" s="3"/>
      <c r="S29" s="3"/>
      <c r="T29" s="3"/>
      <c r="U29" s="3"/>
    </row>
    <row r="30" spans="1:21">
      <c r="A30" s="3" t="s">
        <v>833</v>
      </c>
      <c r="B30" s="49" t="s">
        <v>850</v>
      </c>
      <c r="C30" s="3" t="s">
        <v>744</v>
      </c>
      <c r="Q30" s="3"/>
      <c r="R30" s="3"/>
      <c r="S30" s="3"/>
      <c r="T30" s="3"/>
      <c r="U30" s="3"/>
    </row>
    <row r="31" spans="1:21">
      <c r="A31" s="3" t="s">
        <v>759</v>
      </c>
      <c r="B31" s="15">
        <f>(B19+B20)/2</f>
        <v>405.5</v>
      </c>
      <c r="C31" s="3" t="s">
        <v>733</v>
      </c>
      <c r="Q31" s="3"/>
      <c r="R31" s="3"/>
      <c r="S31" s="3"/>
      <c r="T31" s="3"/>
      <c r="U31" s="3"/>
    </row>
    <row r="32" spans="1:21">
      <c r="A32" s="3" t="s">
        <v>765</v>
      </c>
      <c r="B32" s="30">
        <f>B31+B18</f>
        <v>6783.6360000000004</v>
      </c>
      <c r="C32" s="3" t="s">
        <v>733</v>
      </c>
      <c r="Q32" s="3"/>
      <c r="R32" s="3"/>
      <c r="S32" s="3"/>
      <c r="T32" s="3"/>
      <c r="U32" s="3"/>
    </row>
    <row r="33" spans="1:21">
      <c r="A33" s="3" t="s">
        <v>774</v>
      </c>
      <c r="B33" s="15">
        <f>57.2958*ACOS((0.98561)/(-9.95974/(((1-B22^2)^2))*(B18/B21)^3.5))</f>
        <v>97.052932990475142</v>
      </c>
      <c r="C33" s="3" t="s">
        <v>135</v>
      </c>
      <c r="Q33" s="3"/>
      <c r="R33" s="3"/>
      <c r="S33" s="3"/>
      <c r="T33" s="3"/>
      <c r="U33" s="3"/>
    </row>
    <row r="34" spans="1:21" ht="13">
      <c r="A34" s="3" t="s">
        <v>760</v>
      </c>
      <c r="B34" s="388">
        <v>10</v>
      </c>
      <c r="C34" s="3" t="s">
        <v>135</v>
      </c>
      <c r="Q34" s="3"/>
      <c r="R34" s="3"/>
      <c r="S34" s="3"/>
      <c r="T34" s="3"/>
      <c r="U34" s="3"/>
    </row>
    <row r="35" spans="1:21" ht="13" thickBot="1">
      <c r="A35" s="3"/>
      <c r="B35" s="17"/>
      <c r="C35" s="3"/>
      <c r="Q35" s="3"/>
      <c r="R35" s="3"/>
      <c r="S35" s="3"/>
      <c r="T35" s="3"/>
      <c r="U35" s="3"/>
    </row>
    <row r="36" spans="1:21" ht="13.5" thickBot="1">
      <c r="A36" s="3" t="s">
        <v>852</v>
      </c>
      <c r="B36" s="776">
        <f>B18*((((B32^2/B18^2)-(COS(B34/57.2958))^2)^0.5)-SIN(B34/57.2958))</f>
        <v>1454.4339505997034</v>
      </c>
      <c r="C36" s="3" t="s">
        <v>764</v>
      </c>
      <c r="Q36" s="3"/>
      <c r="R36" s="3"/>
      <c r="S36" s="3"/>
      <c r="T36" s="3"/>
      <c r="U36" s="3"/>
    </row>
    <row r="37" spans="1:21" ht="13" thickBot="1">
      <c r="A37" s="112"/>
      <c r="B37" s="722"/>
      <c r="C37" s="112"/>
      <c r="D37" s="723"/>
      <c r="E37" s="723"/>
      <c r="F37" s="723"/>
      <c r="G37" s="723"/>
      <c r="H37" s="723"/>
      <c r="I37" s="723"/>
      <c r="J37" s="723"/>
      <c r="K37" s="723"/>
      <c r="L37" s="723"/>
      <c r="M37" s="723"/>
      <c r="N37" s="723"/>
      <c r="O37" s="723"/>
      <c r="P37" s="723"/>
      <c r="Q37" s="112"/>
      <c r="R37" s="112"/>
      <c r="S37" s="112"/>
      <c r="T37" s="112"/>
      <c r="U37" s="112"/>
    </row>
    <row r="38" spans="1:21" ht="16" thickBot="1">
      <c r="A38" s="837" t="s">
        <v>525</v>
      </c>
      <c r="B38" s="23"/>
      <c r="C38" s="818" t="s">
        <v>140</v>
      </c>
      <c r="D38" s="23"/>
      <c r="E38" s="23"/>
      <c r="F38" s="23"/>
      <c r="G38" s="724"/>
      <c r="H38" s="23"/>
      <c r="I38" s="23"/>
      <c r="J38" s="23" t="s">
        <v>666</v>
      </c>
      <c r="K38" s="23"/>
      <c r="L38" s="23"/>
      <c r="M38" s="23"/>
      <c r="N38" s="23"/>
      <c r="O38" s="23"/>
      <c r="P38" s="23"/>
      <c r="Q38" s="23"/>
      <c r="R38" s="23"/>
      <c r="S38" s="23"/>
      <c r="T38" s="23"/>
      <c r="U38" s="23"/>
    </row>
    <row r="39" spans="1:21" ht="15.5">
      <c r="A39" s="757" t="s">
        <v>507</v>
      </c>
      <c r="B39" s="755"/>
      <c r="C39" s="755"/>
      <c r="D39" s="725"/>
      <c r="E39" s="726"/>
      <c r="F39" s="726"/>
      <c r="G39" s="726"/>
      <c r="H39" s="726"/>
      <c r="I39" s="726"/>
      <c r="J39" s="726"/>
      <c r="K39" s="726"/>
      <c r="L39" s="726"/>
      <c r="M39" s="727"/>
      <c r="N39" s="3"/>
      <c r="O39" s="3"/>
      <c r="P39" s="3"/>
      <c r="Q39" s="3"/>
      <c r="R39" s="3"/>
      <c r="S39" s="3"/>
      <c r="T39" s="3"/>
      <c r="U39" s="3"/>
    </row>
    <row r="40" spans="1:21" ht="13">
      <c r="A40" s="4" t="s">
        <v>490</v>
      </c>
      <c r="B40" s="4"/>
      <c r="C40" s="4"/>
      <c r="D40" s="728"/>
      <c r="E40" s="729"/>
      <c r="F40" s="729"/>
      <c r="G40" s="729"/>
      <c r="H40" s="729"/>
      <c r="I40" s="729"/>
      <c r="J40" s="729"/>
      <c r="K40" s="729"/>
      <c r="L40" s="729"/>
      <c r="M40" s="730"/>
      <c r="N40" s="3"/>
      <c r="O40" s="3"/>
      <c r="P40" s="3"/>
      <c r="Q40" s="3"/>
      <c r="R40" s="3"/>
      <c r="S40" s="3"/>
      <c r="T40" s="3"/>
      <c r="U40" s="3"/>
    </row>
    <row r="41" spans="1:21" ht="13">
      <c r="A41" s="9" t="s">
        <v>729</v>
      </c>
      <c r="B41" s="10" t="s">
        <v>730</v>
      </c>
      <c r="C41" s="10" t="s">
        <v>731</v>
      </c>
      <c r="D41" s="728"/>
      <c r="E41" s="729"/>
      <c r="F41" s="729"/>
      <c r="G41" s="729"/>
      <c r="H41" s="729"/>
      <c r="I41" s="729"/>
      <c r="J41" s="729"/>
      <c r="K41" s="729"/>
      <c r="L41" s="729"/>
      <c r="M41" s="730"/>
      <c r="N41" s="3"/>
      <c r="O41" s="3"/>
      <c r="P41" s="3"/>
      <c r="Q41" s="3"/>
      <c r="R41" s="3"/>
      <c r="S41" s="3"/>
      <c r="T41" s="3"/>
      <c r="U41" s="3"/>
    </row>
    <row r="42" spans="1:21">
      <c r="A42" s="12" t="s">
        <v>732</v>
      </c>
      <c r="B42" s="13">
        <v>6378.1369999999997</v>
      </c>
      <c r="C42" s="12" t="s">
        <v>733</v>
      </c>
      <c r="D42" s="728"/>
      <c r="E42" s="729"/>
      <c r="F42" s="729"/>
      <c r="G42" s="729"/>
      <c r="H42" s="729"/>
      <c r="I42" s="729"/>
      <c r="J42" s="729"/>
      <c r="K42" s="729"/>
      <c r="L42" s="729"/>
      <c r="M42" s="730"/>
      <c r="N42" s="3"/>
      <c r="O42" s="3"/>
      <c r="P42" s="3"/>
      <c r="Q42" s="3"/>
      <c r="R42" s="3"/>
      <c r="S42" s="3"/>
      <c r="T42" s="3"/>
      <c r="U42" s="3"/>
    </row>
    <row r="43" spans="1:21">
      <c r="A43" s="12" t="s">
        <v>491</v>
      </c>
      <c r="B43" s="839">
        <v>35786</v>
      </c>
      <c r="C43" s="12" t="s">
        <v>733</v>
      </c>
      <c r="D43" s="728"/>
      <c r="E43" s="729"/>
      <c r="F43" s="729"/>
      <c r="G43" s="729"/>
      <c r="H43" s="729"/>
      <c r="I43" s="729"/>
      <c r="J43" s="729"/>
      <c r="K43" s="729"/>
      <c r="L43" s="729"/>
      <c r="M43" s="730"/>
      <c r="N43" s="3"/>
      <c r="O43" s="3"/>
      <c r="P43" s="3"/>
      <c r="Q43" s="3"/>
      <c r="R43" s="3"/>
      <c r="S43" s="3"/>
      <c r="T43" s="3"/>
      <c r="U43" s="3"/>
    </row>
    <row r="44" spans="1:21">
      <c r="A44" s="12" t="s">
        <v>492</v>
      </c>
      <c r="B44" s="840">
        <v>500</v>
      </c>
      <c r="C44" s="12" t="s">
        <v>733</v>
      </c>
      <c r="D44" s="728"/>
      <c r="E44" s="729"/>
      <c r="F44" s="729"/>
      <c r="G44" s="729"/>
      <c r="H44" s="729"/>
      <c r="I44" s="729"/>
      <c r="J44" s="729"/>
      <c r="K44" s="729"/>
      <c r="L44" s="729"/>
      <c r="M44" s="730"/>
      <c r="N44" s="3"/>
      <c r="O44" s="3"/>
      <c r="P44" s="3"/>
      <c r="Q44" s="3"/>
      <c r="R44" s="3"/>
      <c r="S44" s="3"/>
      <c r="T44" s="3"/>
      <c r="U44" s="3"/>
    </row>
    <row r="45" spans="1:21">
      <c r="A45" s="3" t="s">
        <v>734</v>
      </c>
      <c r="B45" s="13">
        <f>(B43+B44+2*B42)/2</f>
        <v>24521.136999999999</v>
      </c>
      <c r="C45" s="3" t="s">
        <v>733</v>
      </c>
      <c r="D45" s="728"/>
      <c r="E45" s="729"/>
      <c r="F45" s="729"/>
      <c r="G45" s="729"/>
      <c r="H45" s="729"/>
      <c r="I45" s="729"/>
      <c r="J45" s="729"/>
      <c r="K45" s="729"/>
      <c r="L45" s="729"/>
      <c r="M45" s="730"/>
      <c r="N45" s="3"/>
      <c r="O45" s="3"/>
      <c r="P45" s="3"/>
      <c r="Q45" s="3"/>
      <c r="R45" s="3"/>
      <c r="S45" s="3"/>
      <c r="T45" s="3"/>
      <c r="U45" s="3"/>
    </row>
    <row r="46" spans="1:21">
      <c r="A46" s="3" t="s">
        <v>735</v>
      </c>
      <c r="B46" s="14">
        <f>((B43+B42)-(B44+B42))/((B43+B42)+(B44+B42))</f>
        <v>0.71950170989216355</v>
      </c>
      <c r="C46" s="3"/>
      <c r="D46" s="728"/>
      <c r="E46" s="729"/>
      <c r="F46" s="729"/>
      <c r="G46" s="729"/>
      <c r="H46" s="729"/>
      <c r="I46" s="729"/>
      <c r="J46" s="729"/>
      <c r="K46" s="729"/>
      <c r="L46" s="729"/>
      <c r="M46" s="730"/>
      <c r="N46" s="3"/>
      <c r="O46" s="3"/>
      <c r="P46" s="3"/>
      <c r="Q46" s="3"/>
      <c r="R46" s="3"/>
      <c r="S46" s="3"/>
      <c r="T46" s="3"/>
      <c r="U46" s="3"/>
    </row>
    <row r="47" spans="1:21">
      <c r="A47" s="3" t="s">
        <v>736</v>
      </c>
      <c r="B47" s="60">
        <v>7</v>
      </c>
      <c r="C47" s="3" t="s">
        <v>737</v>
      </c>
      <c r="D47" s="728"/>
      <c r="E47" s="729"/>
      <c r="F47" s="729"/>
      <c r="G47" s="729"/>
      <c r="H47" s="729"/>
      <c r="I47" s="729"/>
      <c r="J47" s="729"/>
      <c r="K47" s="729"/>
      <c r="L47" s="729"/>
      <c r="M47" s="730"/>
      <c r="N47" s="3"/>
      <c r="O47" s="3"/>
      <c r="P47" s="3"/>
      <c r="Q47" s="3"/>
      <c r="R47" s="3"/>
      <c r="S47" s="3"/>
      <c r="T47" s="3"/>
      <c r="U47" s="3"/>
    </row>
    <row r="48" spans="1:21">
      <c r="A48" s="3" t="s">
        <v>738</v>
      </c>
      <c r="B48" s="61">
        <v>180</v>
      </c>
      <c r="C48" s="3" t="s">
        <v>737</v>
      </c>
      <c r="D48" s="728"/>
      <c r="E48" s="729"/>
      <c r="F48" s="729"/>
      <c r="G48" s="729"/>
      <c r="H48" s="729"/>
      <c r="I48" s="729"/>
      <c r="J48" s="729"/>
      <c r="K48" s="729"/>
      <c r="L48" s="729"/>
      <c r="M48" s="730"/>
      <c r="N48" s="3"/>
      <c r="O48" s="3"/>
      <c r="P48" s="3"/>
      <c r="Q48" s="3"/>
      <c r="R48" s="3"/>
      <c r="S48" s="3"/>
      <c r="T48" s="3"/>
      <c r="U48" s="3"/>
    </row>
    <row r="49" spans="1:21">
      <c r="A49" s="3" t="s">
        <v>739</v>
      </c>
      <c r="B49" s="62">
        <v>0</v>
      </c>
      <c r="C49" s="3" t="s">
        <v>737</v>
      </c>
      <c r="D49" s="728"/>
      <c r="E49" s="729"/>
      <c r="F49" s="729"/>
      <c r="G49" s="729"/>
      <c r="H49" s="729"/>
      <c r="I49" s="729"/>
      <c r="J49" s="729"/>
      <c r="K49" s="729"/>
      <c r="L49" s="729"/>
      <c r="M49" s="730"/>
      <c r="N49" s="3"/>
      <c r="O49" s="3"/>
      <c r="P49" s="3"/>
      <c r="Q49" s="3"/>
      <c r="R49" s="3"/>
      <c r="S49" s="3"/>
      <c r="T49" s="3"/>
      <c r="U49" s="3"/>
    </row>
    <row r="50" spans="1:21">
      <c r="A50" s="3" t="s">
        <v>740</v>
      </c>
      <c r="B50" s="843">
        <f>INDEX(C65:C78,B63,1)</f>
        <v>179.99999</v>
      </c>
      <c r="C50" s="3" t="s">
        <v>737</v>
      </c>
      <c r="D50" s="728"/>
      <c r="E50" s="729"/>
      <c r="F50" s="729"/>
      <c r="G50" s="729"/>
      <c r="H50" s="729"/>
      <c r="I50" s="729"/>
      <c r="J50" s="729"/>
      <c r="K50" s="729"/>
      <c r="L50" s="729"/>
      <c r="M50" s="730"/>
      <c r="N50" s="3"/>
      <c r="O50" s="3"/>
      <c r="P50" s="3"/>
      <c r="Q50" s="3"/>
      <c r="R50" s="3"/>
      <c r="S50" s="3"/>
      <c r="T50" s="3"/>
      <c r="U50" s="3"/>
    </row>
    <row r="51" spans="1:21">
      <c r="A51" s="3" t="s">
        <v>741</v>
      </c>
      <c r="B51" s="15">
        <f xml:space="preserve"> 84.4892*((B45/B42)^1.5)</f>
        <v>636.90013117168326</v>
      </c>
      <c r="C51" s="3" t="s">
        <v>742</v>
      </c>
      <c r="D51" s="728"/>
      <c r="E51" s="729"/>
      <c r="F51" s="729"/>
      <c r="G51" s="729"/>
      <c r="H51" s="729"/>
      <c r="I51" s="729"/>
      <c r="J51" s="729"/>
      <c r="K51" s="729"/>
      <c r="L51" s="729"/>
      <c r="M51" s="730"/>
      <c r="N51" s="3"/>
      <c r="O51" s="3"/>
      <c r="P51" s="3"/>
      <c r="Q51" s="3"/>
      <c r="R51" s="3"/>
      <c r="S51" s="3"/>
      <c r="T51" s="3"/>
      <c r="U51" s="3"/>
    </row>
    <row r="52" spans="1:21">
      <c r="A52" s="3" t="s">
        <v>743</v>
      </c>
      <c r="B52" s="16">
        <f>19.919482*((B42/B45)^3.5)*(1-1.25*((SIN(B47/57.29578))^2))/((1-B46^2)^2)</f>
        <v>0.75424108469762274</v>
      </c>
      <c r="C52" s="3" t="s">
        <v>744</v>
      </c>
      <c r="D52" s="728"/>
      <c r="E52" s="729"/>
      <c r="F52" s="729"/>
      <c r="G52" s="729"/>
      <c r="H52" s="729"/>
      <c r="I52" s="729"/>
      <c r="J52" s="729"/>
      <c r="K52" s="729"/>
      <c r="L52" s="729"/>
      <c r="M52" s="730"/>
      <c r="N52" s="3"/>
      <c r="O52" s="3"/>
      <c r="P52" s="3"/>
      <c r="Q52" s="3"/>
      <c r="R52" s="3"/>
      <c r="S52" s="3"/>
      <c r="T52" s="3"/>
      <c r="U52" s="3"/>
    </row>
    <row r="53" spans="1:21">
      <c r="A53" s="3" t="s">
        <v>745</v>
      </c>
      <c r="B53" s="16">
        <f>(-9.9597408/(1-B46^2)^2)*((B42/B45)^3.5)*COS(B47/57.29578)</f>
        <v>-0.38139010802751916</v>
      </c>
      <c r="C53" s="3" t="s">
        <v>744</v>
      </c>
      <c r="D53" s="728"/>
      <c r="E53" s="729"/>
      <c r="F53" s="729"/>
      <c r="G53" s="729"/>
      <c r="H53" s="729"/>
      <c r="I53" s="729"/>
      <c r="J53" s="729"/>
      <c r="K53" s="729"/>
      <c r="L53" s="729"/>
      <c r="M53" s="730"/>
      <c r="N53" s="3"/>
      <c r="O53" s="3"/>
      <c r="P53" s="3"/>
      <c r="Q53" s="3"/>
      <c r="R53" s="3"/>
      <c r="S53" s="3"/>
      <c r="T53" s="3"/>
      <c r="U53" s="3"/>
    </row>
    <row r="54" spans="1:21">
      <c r="A54" s="3"/>
      <c r="B54" s="17"/>
      <c r="C54" s="3"/>
      <c r="D54" s="728"/>
      <c r="E54" s="729"/>
      <c r="F54" s="729"/>
      <c r="G54" s="729"/>
      <c r="H54" s="729"/>
      <c r="I54" s="729"/>
      <c r="J54" s="729"/>
      <c r="K54" s="729"/>
      <c r="L54" s="729"/>
      <c r="M54" s="730"/>
      <c r="N54" s="3"/>
      <c r="O54" s="3"/>
      <c r="P54" s="3"/>
      <c r="Q54" s="3"/>
      <c r="R54" s="3"/>
      <c r="S54" s="3"/>
      <c r="T54" s="3"/>
      <c r="U54" s="3"/>
    </row>
    <row r="55" spans="1:21">
      <c r="A55" s="3"/>
      <c r="B55" s="17" t="s">
        <v>728</v>
      </c>
      <c r="C55" s="3"/>
      <c r="D55" s="728"/>
      <c r="E55" s="729"/>
      <c r="F55" s="729"/>
      <c r="G55" s="729"/>
      <c r="H55" s="729"/>
      <c r="I55" s="729"/>
      <c r="J55" s="729"/>
      <c r="K55" s="729"/>
      <c r="L55" s="729"/>
      <c r="M55" s="730"/>
      <c r="N55" s="3"/>
      <c r="O55" s="3"/>
      <c r="P55" s="3"/>
      <c r="Q55" s="3"/>
      <c r="R55" s="3"/>
      <c r="S55" s="3"/>
      <c r="T55" s="3"/>
      <c r="U55" s="3"/>
    </row>
    <row r="56" spans="1:21">
      <c r="A56" s="3"/>
      <c r="B56" s="17"/>
      <c r="C56" s="3"/>
      <c r="D56" s="728"/>
      <c r="E56" s="729"/>
      <c r="F56" s="729"/>
      <c r="G56" s="729"/>
      <c r="H56" s="729"/>
      <c r="I56" s="729"/>
      <c r="J56" s="729"/>
      <c r="K56" s="729"/>
      <c r="L56" s="729"/>
      <c r="M56" s="730"/>
      <c r="N56" s="3"/>
      <c r="O56" s="3"/>
      <c r="P56" s="3"/>
      <c r="Q56" s="3"/>
      <c r="R56" s="3"/>
      <c r="S56" s="3"/>
      <c r="T56" s="3"/>
      <c r="U56" s="3"/>
    </row>
    <row r="57" spans="1:21">
      <c r="A57" s="3"/>
      <c r="B57" s="17"/>
      <c r="C57" s="3"/>
      <c r="D57" s="728"/>
      <c r="E57" s="729"/>
      <c r="F57" s="729"/>
      <c r="G57" s="729"/>
      <c r="H57" s="729"/>
      <c r="I57" s="729"/>
      <c r="J57" s="729"/>
      <c r="K57" s="729"/>
      <c r="L57" s="729"/>
      <c r="M57" s="730"/>
      <c r="N57" s="3"/>
      <c r="O57" s="3"/>
      <c r="P57" s="3"/>
      <c r="Q57" s="3"/>
      <c r="R57" s="3"/>
      <c r="S57" s="3"/>
      <c r="T57" s="3"/>
      <c r="U57" s="3"/>
    </row>
    <row r="58" spans="1:21" ht="13">
      <c r="A58" s="3"/>
      <c r="B58" s="17"/>
      <c r="C58" s="852" t="s">
        <v>534</v>
      </c>
      <c r="D58" s="728"/>
      <c r="E58" s="729"/>
      <c r="F58" s="729"/>
      <c r="G58" s="729"/>
      <c r="H58" s="729"/>
      <c r="I58" s="729"/>
      <c r="J58" s="729"/>
      <c r="K58" s="729"/>
      <c r="L58" s="729"/>
      <c r="M58" s="730"/>
      <c r="N58" s="3"/>
      <c r="O58" s="3"/>
      <c r="P58" s="3"/>
      <c r="Q58" s="3"/>
      <c r="R58" s="3"/>
      <c r="S58" s="3"/>
      <c r="T58" s="3"/>
      <c r="U58" s="3"/>
    </row>
    <row r="59" spans="1:21" ht="13">
      <c r="A59" s="3"/>
      <c r="B59" s="17"/>
      <c r="C59" s="852" t="s">
        <v>667</v>
      </c>
      <c r="D59" s="728"/>
      <c r="E59" s="729"/>
      <c r="F59" s="729"/>
      <c r="G59" s="729"/>
      <c r="H59" s="729"/>
      <c r="I59" s="729"/>
      <c r="J59" s="729"/>
      <c r="K59" s="729"/>
      <c r="L59" s="731"/>
      <c r="M59" s="730"/>
      <c r="N59" s="3"/>
      <c r="O59" s="3"/>
      <c r="P59" s="3"/>
      <c r="Q59" s="3"/>
      <c r="R59" s="3"/>
      <c r="S59" s="3"/>
      <c r="T59" s="3"/>
      <c r="U59" s="3"/>
    </row>
    <row r="60" spans="1:21" ht="13">
      <c r="A60" s="3"/>
      <c r="B60" s="17"/>
      <c r="C60" s="852" t="s">
        <v>668</v>
      </c>
      <c r="D60" s="728"/>
      <c r="E60" s="729"/>
      <c r="F60" s="729"/>
      <c r="G60" s="729"/>
      <c r="H60" s="729"/>
      <c r="I60" s="729"/>
      <c r="J60" s="729"/>
      <c r="K60" s="729"/>
      <c r="L60" s="729"/>
      <c r="M60" s="730"/>
      <c r="N60" s="3"/>
      <c r="O60" s="3"/>
      <c r="P60" s="3"/>
      <c r="Q60" s="3"/>
      <c r="R60" s="3"/>
      <c r="S60" s="3"/>
      <c r="T60" s="3"/>
      <c r="U60" s="3"/>
    </row>
    <row r="61" spans="1:21" ht="13" thickBot="1">
      <c r="A61" s="3"/>
      <c r="B61" s="17"/>
      <c r="C61" s="3"/>
      <c r="D61" s="766"/>
      <c r="E61" s="732"/>
      <c r="F61" s="732"/>
      <c r="G61" s="732"/>
      <c r="H61" s="732"/>
      <c r="I61" s="732"/>
      <c r="J61" s="732"/>
      <c r="K61" s="732"/>
      <c r="L61" s="732"/>
      <c r="M61" s="733"/>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4" t="s">
        <v>493</v>
      </c>
      <c r="B63" s="841">
        <v>13</v>
      </c>
      <c r="C63" s="735">
        <f>INDEX(D65:D78,B63,1)</f>
        <v>35785.99999999781</v>
      </c>
      <c r="D63" s="736" t="s">
        <v>494</v>
      </c>
      <c r="E63" s="3"/>
      <c r="F63" s="780" t="s">
        <v>2</v>
      </c>
      <c r="G63" s="775">
        <v>5</v>
      </c>
      <c r="H63" s="94" t="s">
        <v>4</v>
      </c>
      <c r="I63" s="781" t="s">
        <v>540</v>
      </c>
      <c r="J63" s="3"/>
      <c r="K63" s="813">
        <f>B90*(((((C63+B90)^2/B90^2)-(COS(G63/57.2958))^2)^0.5)-SIN(G63/57.2958))</f>
        <v>41126.753187550428</v>
      </c>
      <c r="L63" s="221" t="s">
        <v>733</v>
      </c>
      <c r="M63" s="3"/>
      <c r="N63" s="3"/>
      <c r="O63" s="3"/>
      <c r="P63" s="3"/>
      <c r="Q63" s="3"/>
      <c r="R63" s="3"/>
      <c r="S63" s="3"/>
      <c r="T63" s="3"/>
      <c r="U63" s="3"/>
    </row>
    <row r="64" spans="1:21" ht="13">
      <c r="A64" s="778" t="s">
        <v>495</v>
      </c>
      <c r="B64" s="778" t="s">
        <v>496</v>
      </c>
      <c r="C64" s="778" t="s">
        <v>497</v>
      </c>
      <c r="D64" s="778" t="s">
        <v>498</v>
      </c>
      <c r="E64" s="779" t="s">
        <v>499</v>
      </c>
      <c r="F64" s="3"/>
      <c r="G64" s="779" t="s">
        <v>500</v>
      </c>
      <c r="H64" s="3"/>
      <c r="I64" s="3"/>
      <c r="J64" s="3"/>
      <c r="K64" s="3"/>
      <c r="L64" s="3"/>
      <c r="M64" s="3"/>
      <c r="N64" s="3"/>
      <c r="O64" s="3"/>
      <c r="P64" s="3"/>
      <c r="Q64" s="3"/>
      <c r="R64" s="3"/>
      <c r="S64" s="3"/>
      <c r="T64" s="3"/>
      <c r="U64" s="3"/>
    </row>
    <row r="65" spans="1:21">
      <c r="A65" s="214">
        <v>1</v>
      </c>
      <c r="B65" s="737">
        <f>(B45*(1-(B46)^2))/(1+B46*COS(C65/57.29578))</f>
        <v>6878.1370000000024</v>
      </c>
      <c r="C65" s="738">
        <v>0</v>
      </c>
      <c r="D65" s="739">
        <f>B65-B42</f>
        <v>500.00000000000273</v>
      </c>
      <c r="E65" s="64">
        <f t="shared" ref="E65:E75" si="0">180-C65</f>
        <v>180</v>
      </c>
      <c r="F65" s="23" t="s">
        <v>12</v>
      </c>
      <c r="G65" s="740">
        <v>35</v>
      </c>
      <c r="H65" s="23" t="s">
        <v>728</v>
      </c>
      <c r="I65" s="23"/>
      <c r="J65" s="23"/>
      <c r="K65" s="23"/>
      <c r="L65" s="23"/>
      <c r="M65" s="23"/>
      <c r="N65" s="3"/>
      <c r="O65" s="3"/>
      <c r="P65" s="3"/>
      <c r="Q65" s="3"/>
      <c r="R65" s="3"/>
      <c r="S65" s="3"/>
      <c r="T65" s="3"/>
      <c r="U65" s="3"/>
    </row>
    <row r="66" spans="1:21" ht="13" thickBot="1">
      <c r="A66" s="214">
        <v>2</v>
      </c>
      <c r="B66" s="737">
        <f>(B45*(1-(B46)^2))/(1+B46*COS(C66/57.29578))</f>
        <v>6977.6230175021201</v>
      </c>
      <c r="C66" s="214">
        <v>15</v>
      </c>
      <c r="D66" s="739">
        <f>B66-B42</f>
        <v>599.48601750212038</v>
      </c>
      <c r="E66" s="64">
        <f t="shared" si="0"/>
        <v>165</v>
      </c>
      <c r="F66" s="23" t="s">
        <v>12</v>
      </c>
      <c r="G66" s="740">
        <v>35</v>
      </c>
      <c r="H66" s="23"/>
      <c r="I66" s="23"/>
      <c r="J66" s="23"/>
      <c r="K66" s="23"/>
      <c r="L66" s="23"/>
      <c r="M66" s="23"/>
      <c r="N66" s="3"/>
      <c r="O66" s="3"/>
      <c r="P66" s="3"/>
      <c r="Q66" s="3"/>
      <c r="R66" s="3"/>
      <c r="S66" s="3"/>
      <c r="T66" s="3"/>
      <c r="U66" s="3"/>
    </row>
    <row r="67" spans="1:21" ht="13" thickBot="1">
      <c r="A67" s="214">
        <v>3</v>
      </c>
      <c r="B67" s="737">
        <f>(B45*(1-(B46)^2))/(1+B46*COS(C67/57.29578))</f>
        <v>7286.6237888209216</v>
      </c>
      <c r="C67" s="214">
        <v>30</v>
      </c>
      <c r="D67" s="739">
        <f>B67-B42</f>
        <v>908.4867888209219</v>
      </c>
      <c r="E67" s="64">
        <f t="shared" si="0"/>
        <v>150</v>
      </c>
      <c r="F67" s="23" t="s">
        <v>12</v>
      </c>
      <c r="G67" s="740">
        <v>35</v>
      </c>
      <c r="H67" s="741"/>
      <c r="I67" s="742" t="s">
        <v>438</v>
      </c>
      <c r="J67" s="742"/>
      <c r="K67" s="742"/>
      <c r="L67" s="743"/>
      <c r="M67" s="23"/>
      <c r="N67" s="3"/>
      <c r="O67" s="3"/>
      <c r="P67" s="3"/>
      <c r="Q67" s="3"/>
      <c r="R67" s="3"/>
      <c r="S67" s="3"/>
      <c r="T67" s="3"/>
      <c r="U67" s="3"/>
    </row>
    <row r="68" spans="1:21" ht="13" thickBot="1">
      <c r="A68" s="214">
        <v>4</v>
      </c>
      <c r="B68" s="737">
        <f>(B45*(1-(B46)^2))/(1+B46*COS(C68/57.29578))</f>
        <v>7838.8429783306747</v>
      </c>
      <c r="C68" s="214">
        <v>45</v>
      </c>
      <c r="D68" s="739">
        <f>B68-B42</f>
        <v>1460.705978330675</v>
      </c>
      <c r="E68" s="64">
        <f t="shared" si="0"/>
        <v>135</v>
      </c>
      <c r="F68" s="23" t="s">
        <v>12</v>
      </c>
      <c r="G68" s="740">
        <v>35</v>
      </c>
      <c r="H68" s="855" t="s">
        <v>891</v>
      </c>
      <c r="I68" s="24"/>
      <c r="J68" s="399"/>
      <c r="K68" s="744">
        <f>2*((ASIN(B42/(B42+C63)))*57.2958)</f>
        <v>17.400982397943942</v>
      </c>
      <c r="L68" s="858" t="s">
        <v>4</v>
      </c>
      <c r="M68" s="23"/>
      <c r="N68" s="3"/>
      <c r="O68" s="3"/>
      <c r="P68" s="3"/>
      <c r="Q68" s="3"/>
      <c r="R68" s="3"/>
      <c r="S68" s="3"/>
      <c r="T68" s="3"/>
      <c r="U68" s="3"/>
    </row>
    <row r="69" spans="1:21" ht="13" thickBot="1">
      <c r="A69" s="214">
        <v>5</v>
      </c>
      <c r="B69" s="737">
        <f>(B45*(1-(B46)^2))/(1+B46*COS(C69/57.29578))</f>
        <v>8697.8936186138471</v>
      </c>
      <c r="C69" s="214">
        <v>60</v>
      </c>
      <c r="D69" s="739">
        <f>B69-B42</f>
        <v>2319.7566186138474</v>
      </c>
      <c r="E69" s="64">
        <f t="shared" si="0"/>
        <v>120</v>
      </c>
      <c r="F69" s="23" t="s">
        <v>12</v>
      </c>
      <c r="G69" s="740">
        <v>35</v>
      </c>
      <c r="H69" s="856" t="s">
        <v>892</v>
      </c>
      <c r="I69" s="24"/>
      <c r="J69" s="399"/>
      <c r="K69" s="857">
        <v>10</v>
      </c>
      <c r="L69" s="859" t="s">
        <v>4</v>
      </c>
      <c r="M69" s="23"/>
      <c r="N69" s="3"/>
      <c r="O69" s="3"/>
      <c r="P69" s="3"/>
      <c r="Q69" s="3"/>
      <c r="R69" s="3"/>
      <c r="S69" s="3"/>
      <c r="T69" s="3"/>
      <c r="U69" s="3"/>
    </row>
    <row r="70" spans="1:21" ht="13" thickBot="1">
      <c r="A70" s="214">
        <v>6</v>
      </c>
      <c r="B70" s="737">
        <f>(B45*(1-(B46)^2))/(1+B46*COS(C70/57.29578))</f>
        <v>9970.292881925574</v>
      </c>
      <c r="C70" s="214">
        <v>75</v>
      </c>
      <c r="D70" s="739">
        <f>B70-B42</f>
        <v>3592.1558819255742</v>
      </c>
      <c r="E70" s="64">
        <f t="shared" si="0"/>
        <v>105</v>
      </c>
      <c r="F70" s="23" t="s">
        <v>12</v>
      </c>
      <c r="G70" s="740">
        <v>35</v>
      </c>
      <c r="H70" s="249" t="s">
        <v>501</v>
      </c>
      <c r="I70" s="24"/>
      <c r="J70" s="399"/>
      <c r="K70" s="744">
        <f>K68/2+K69</f>
        <v>18.700491198971971</v>
      </c>
      <c r="L70" s="858" t="s">
        <v>4</v>
      </c>
      <c r="M70" s="23"/>
      <c r="N70" s="3"/>
      <c r="O70" s="3"/>
      <c r="P70" s="3"/>
      <c r="Q70" s="3"/>
      <c r="R70" s="3"/>
      <c r="S70" s="3"/>
      <c r="T70" s="3"/>
      <c r="U70" s="3"/>
    </row>
    <row r="71" spans="1:21" ht="13" thickBot="1">
      <c r="A71" s="214">
        <v>7</v>
      </c>
      <c r="B71" s="737">
        <f>(B45*(1-(B46)^2))/(1+B46*COS(C71/57.29578))</f>
        <v>11826.968218777867</v>
      </c>
      <c r="C71" s="214">
        <v>90</v>
      </c>
      <c r="D71" s="739">
        <f>B71-B42</f>
        <v>5448.8312187778674</v>
      </c>
      <c r="E71" s="64">
        <f t="shared" si="0"/>
        <v>90</v>
      </c>
      <c r="F71" s="23" t="s">
        <v>12</v>
      </c>
      <c r="G71" s="740">
        <v>35</v>
      </c>
      <c r="H71" s="249" t="s">
        <v>502</v>
      </c>
      <c r="I71" s="24"/>
      <c r="J71" s="399"/>
      <c r="K71" s="746">
        <f>'Antenna Pointing Losses'!K63</f>
        <v>0</v>
      </c>
      <c r="L71" s="745" t="s">
        <v>770</v>
      </c>
      <c r="M71" s="23"/>
      <c r="N71" s="3"/>
      <c r="O71" s="3"/>
      <c r="P71" s="3"/>
      <c r="Q71" s="3"/>
      <c r="R71" s="3"/>
      <c r="S71" s="3"/>
      <c r="T71" s="3"/>
      <c r="U71" s="3"/>
    </row>
    <row r="72" spans="1:21" ht="13" thickBot="1">
      <c r="A72" s="214">
        <v>8</v>
      </c>
      <c r="B72" s="737">
        <f>(B45*(1-(B46)^2))/(1+B46*COS(C72/57.29578))</f>
        <v>14533.386185165687</v>
      </c>
      <c r="C72" s="214">
        <v>105</v>
      </c>
      <c r="D72" s="739">
        <f>B72-B42</f>
        <v>8155.2491851656878</v>
      </c>
      <c r="E72" s="64">
        <f t="shared" si="0"/>
        <v>75</v>
      </c>
      <c r="F72" s="23" t="s">
        <v>12</v>
      </c>
      <c r="G72" s="740">
        <v>35</v>
      </c>
      <c r="H72" s="249" t="s">
        <v>503</v>
      </c>
      <c r="I72" s="24"/>
      <c r="J72" s="399"/>
      <c r="K72" s="746">
        <f>'Antenna Pointing Losses'!K85</f>
        <v>0</v>
      </c>
      <c r="L72" s="745" t="s">
        <v>770</v>
      </c>
      <c r="M72" s="23"/>
      <c r="N72" s="3"/>
      <c r="O72" s="3"/>
      <c r="P72" s="3"/>
      <c r="Q72" s="3"/>
      <c r="R72" s="3"/>
      <c r="S72" s="3"/>
      <c r="T72" s="3"/>
      <c r="U72" s="3"/>
    </row>
    <row r="73" spans="1:21" ht="13" thickBot="1">
      <c r="A73" s="214">
        <v>9</v>
      </c>
      <c r="B73" s="737">
        <f>(B45*(1-(B46)^2))/(1+B46*COS(C73/57.29578))</f>
        <v>18472.446576256712</v>
      </c>
      <c r="C73" s="214">
        <v>120</v>
      </c>
      <c r="D73" s="739">
        <f>B73-B42</f>
        <v>12094.309576256714</v>
      </c>
      <c r="E73" s="64">
        <f t="shared" si="0"/>
        <v>60</v>
      </c>
      <c r="F73" s="23" t="s">
        <v>12</v>
      </c>
      <c r="G73" s="740">
        <v>35</v>
      </c>
      <c r="H73" s="249" t="s">
        <v>437</v>
      </c>
      <c r="I73" s="24"/>
      <c r="J73" s="399"/>
      <c r="K73" s="744">
        <f>'Downlink Budget'!B30</f>
        <v>13.322631647375097</v>
      </c>
      <c r="L73" s="745" t="s">
        <v>770</v>
      </c>
      <c r="M73" s="23"/>
      <c r="N73" s="3"/>
      <c r="O73" s="3"/>
      <c r="P73" s="3"/>
      <c r="Q73" s="3"/>
      <c r="R73" s="3"/>
      <c r="S73" s="3"/>
      <c r="T73" s="3"/>
      <c r="U73" s="3"/>
    </row>
    <row r="74" spans="1:21" ht="13" thickBot="1">
      <c r="A74" s="214">
        <v>10</v>
      </c>
      <c r="B74" s="737">
        <f>(B45*(1-(B46)^2))/(1+B46*COS(C74/57.29578))</f>
        <v>24075.965611934313</v>
      </c>
      <c r="C74" s="214">
        <v>135</v>
      </c>
      <c r="D74" s="739">
        <f>B74-B42</f>
        <v>17697.828611934314</v>
      </c>
      <c r="E74" s="64">
        <f t="shared" si="0"/>
        <v>45</v>
      </c>
      <c r="F74" s="23" t="s">
        <v>12</v>
      </c>
      <c r="G74" s="740">
        <v>40</v>
      </c>
      <c r="H74" s="588" t="s">
        <v>893</v>
      </c>
      <c r="I74" s="127"/>
      <c r="J74" s="291"/>
      <c r="K74" s="860">
        <f>'Uplink Budget'!B30</f>
        <v>13.842074347941534</v>
      </c>
      <c r="L74" s="747" t="s">
        <v>770</v>
      </c>
      <c r="M74" s="23"/>
      <c r="N74" s="3"/>
      <c r="O74" s="3"/>
      <c r="P74" s="3"/>
      <c r="Q74" s="3"/>
      <c r="R74" s="3"/>
      <c r="S74" s="3"/>
      <c r="T74" s="3"/>
      <c r="U74" s="3"/>
    </row>
    <row r="75" spans="1:21">
      <c r="A75" s="214">
        <v>11</v>
      </c>
      <c r="B75" s="737">
        <f>(B45*(1-(B46)^2))/(1+B46*COS(C75/57.29578))</f>
        <v>31380.154349772623</v>
      </c>
      <c r="C75" s="214">
        <v>150</v>
      </c>
      <c r="D75" s="739">
        <f>B75-B42</f>
        <v>25002.017349772625</v>
      </c>
      <c r="E75" s="64">
        <f t="shared" si="0"/>
        <v>30</v>
      </c>
      <c r="F75" s="23" t="s">
        <v>12</v>
      </c>
      <c r="G75" s="740">
        <v>50</v>
      </c>
      <c r="H75" s="23"/>
      <c r="I75" s="23"/>
      <c r="J75" s="23"/>
      <c r="K75" s="23"/>
      <c r="L75" s="23"/>
      <c r="M75" s="23"/>
      <c r="N75" s="3"/>
      <c r="O75" s="3"/>
      <c r="P75" s="3"/>
      <c r="Q75" s="3"/>
      <c r="R75" s="3"/>
      <c r="S75" s="3"/>
      <c r="T75" s="3"/>
      <c r="U75" s="3"/>
    </row>
    <row r="76" spans="1:21">
      <c r="A76" s="214">
        <v>12</v>
      </c>
      <c r="B76" s="737">
        <f>(B45*(1-(B46)^2))/(1+B46*COS(C76/57.29578))</f>
        <v>38775.073861854115</v>
      </c>
      <c r="C76" s="214">
        <v>165</v>
      </c>
      <c r="D76" s="739">
        <f>B76-B42</f>
        <v>32396.936861854116</v>
      </c>
      <c r="E76" s="64">
        <f>180-C76</f>
        <v>15</v>
      </c>
      <c r="F76" s="23" t="s">
        <v>12</v>
      </c>
      <c r="G76" s="740">
        <v>90</v>
      </c>
      <c r="H76" s="23"/>
      <c r="I76" s="23"/>
      <c r="J76" s="23"/>
      <c r="K76" s="23"/>
      <c r="L76" s="23"/>
      <c r="M76" s="23"/>
      <c r="N76" s="3"/>
      <c r="O76" s="3"/>
      <c r="P76" s="3"/>
      <c r="Q76" s="3"/>
      <c r="R76" s="3"/>
      <c r="S76" s="3"/>
      <c r="T76" s="3"/>
      <c r="U76" s="3"/>
    </row>
    <row r="77" spans="1:21">
      <c r="A77" s="214">
        <v>13</v>
      </c>
      <c r="B77" s="737">
        <f>(B45*(1-(B46)^2))/(1+B46*COS(C77/57.29578))</f>
        <v>42164.136999997812</v>
      </c>
      <c r="C77" s="738">
        <v>179.99999</v>
      </c>
      <c r="D77" s="739">
        <f>B77-B42</f>
        <v>35785.99999999781</v>
      </c>
      <c r="E77" s="64">
        <f>180-C77</f>
        <v>1.0000000003174137E-5</v>
      </c>
      <c r="F77" s="23" t="s">
        <v>12</v>
      </c>
      <c r="G77" s="740">
        <v>170</v>
      </c>
      <c r="H77" s="23"/>
      <c r="I77" s="23"/>
      <c r="J77" s="23"/>
      <c r="K77" s="23"/>
      <c r="L77" s="23"/>
      <c r="M77" s="23"/>
      <c r="N77" s="3"/>
      <c r="O77" s="3"/>
      <c r="P77" s="3"/>
      <c r="Q77" s="3"/>
      <c r="R77" s="3"/>
      <c r="S77" s="3"/>
      <c r="T77" s="3"/>
      <c r="U77" s="3"/>
    </row>
    <row r="78" spans="1:21">
      <c r="A78" s="748">
        <v>14</v>
      </c>
      <c r="B78" s="749">
        <f>(B45*(1-(B46)^2))/(1+B46*COS(C78/57.29578))</f>
        <v>41756.554391673679</v>
      </c>
      <c r="C78" s="750">
        <v>175</v>
      </c>
      <c r="D78" s="751">
        <f>B78-B42</f>
        <v>35378.417391673676</v>
      </c>
      <c r="E78" s="752">
        <f>180-C78</f>
        <v>5</v>
      </c>
      <c r="F78" s="577" t="s">
        <v>12</v>
      </c>
      <c r="G78" s="753">
        <v>160</v>
      </c>
      <c r="H78" s="577"/>
      <c r="I78" s="754" t="s">
        <v>504</v>
      </c>
      <c r="J78" s="577"/>
      <c r="K78" s="577"/>
      <c r="L78" s="577"/>
      <c r="M78" s="371"/>
      <c r="N78" s="3"/>
      <c r="O78" s="3"/>
      <c r="P78" s="3"/>
      <c r="Q78" s="3"/>
      <c r="R78" s="3"/>
      <c r="S78" s="3"/>
      <c r="T78" s="3"/>
      <c r="U78" s="3"/>
    </row>
    <row r="79" spans="1:21">
      <c r="A79" s="3"/>
      <c r="B79" s="3" t="s">
        <v>728</v>
      </c>
      <c r="C79" s="3"/>
      <c r="D79" s="3"/>
      <c r="E79" s="3" t="s">
        <v>728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7" t="s">
        <v>531</v>
      </c>
      <c r="B85" s="23"/>
      <c r="C85" s="23"/>
      <c r="D85" s="818"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521</v>
      </c>
      <c r="B87" s="3"/>
      <c r="C87" s="3"/>
      <c r="D87" s="3"/>
      <c r="E87" s="3"/>
      <c r="F87" s="3"/>
      <c r="G87" s="3"/>
      <c r="H87" s="3"/>
      <c r="I87" s="3"/>
      <c r="J87" s="3"/>
      <c r="K87" s="3"/>
      <c r="L87" s="3"/>
      <c r="M87" s="3"/>
      <c r="N87" s="3"/>
      <c r="O87" s="3"/>
      <c r="P87" s="3"/>
      <c r="Q87" s="3"/>
      <c r="R87" s="3"/>
      <c r="S87" s="3"/>
      <c r="T87" s="3"/>
      <c r="U87" s="3"/>
    </row>
    <row r="88" spans="1:21" ht="13">
      <c r="A88" s="758" t="s">
        <v>729</v>
      </c>
      <c r="B88" s="759" t="s">
        <v>730</v>
      </c>
      <c r="C88" s="758" t="s">
        <v>731</v>
      </c>
      <c r="D88" s="765" t="s">
        <v>508</v>
      </c>
      <c r="E88" s="3"/>
      <c r="F88" s="3"/>
      <c r="G88" s="3"/>
      <c r="H88" s="3"/>
      <c r="I88" s="3"/>
      <c r="J88" s="3"/>
      <c r="K88" s="3"/>
      <c r="L88" s="3"/>
      <c r="M88" s="3"/>
      <c r="N88" s="3"/>
      <c r="O88" s="3"/>
      <c r="P88" s="3"/>
      <c r="Q88" s="3"/>
      <c r="R88" s="3"/>
      <c r="S88" s="3"/>
      <c r="T88" s="3"/>
      <c r="U88" s="3"/>
    </row>
    <row r="89" spans="1:21" ht="17.25" customHeight="1">
      <c r="A89" s="760" t="s">
        <v>513</v>
      </c>
      <c r="B89" s="761">
        <f>B91-B90</f>
        <v>35786.018697888401</v>
      </c>
      <c r="C89" s="760" t="s">
        <v>733</v>
      </c>
      <c r="D89" s="764" t="s">
        <v>514</v>
      </c>
      <c r="E89" s="3"/>
      <c r="F89" s="3"/>
      <c r="G89" s="3"/>
      <c r="H89" s="3"/>
      <c r="I89" s="3"/>
      <c r="J89" s="3"/>
      <c r="K89" s="3"/>
      <c r="L89" s="3"/>
      <c r="M89" s="3"/>
      <c r="N89" s="3"/>
      <c r="O89" s="3"/>
      <c r="P89" s="3"/>
      <c r="Q89" s="3"/>
      <c r="R89" s="3"/>
      <c r="S89" s="3"/>
      <c r="T89" s="3"/>
      <c r="U89" s="3"/>
    </row>
    <row r="90" spans="1:21">
      <c r="A90" s="760" t="s">
        <v>515</v>
      </c>
      <c r="B90" s="761">
        <v>6378.1369999999997</v>
      </c>
      <c r="C90" s="760" t="s">
        <v>733</v>
      </c>
      <c r="D90" s="762"/>
      <c r="E90" s="3"/>
      <c r="F90" s="3"/>
      <c r="G90" s="3"/>
      <c r="H90" s="3"/>
      <c r="I90" s="3"/>
      <c r="J90" s="3"/>
      <c r="K90" s="3"/>
      <c r="L90" s="3"/>
      <c r="M90" s="3"/>
      <c r="N90" s="3"/>
      <c r="O90" s="3"/>
      <c r="P90" s="3"/>
      <c r="Q90" s="3"/>
      <c r="R90" s="3"/>
      <c r="S90" s="3"/>
      <c r="T90" s="3"/>
      <c r="U90" s="3"/>
    </row>
    <row r="91" spans="1:21">
      <c r="A91" s="760" t="s">
        <v>516</v>
      </c>
      <c r="B91" s="761">
        <f>(398600000000000*(86400*(365.25/366.25)/(2*PI()))^2)^(1/3)/1000</f>
        <v>42164.155697888404</v>
      </c>
      <c r="C91" s="760" t="s">
        <v>733</v>
      </c>
      <c r="D91" s="518" t="s">
        <v>517</v>
      </c>
      <c r="E91" s="3"/>
      <c r="F91" s="3"/>
      <c r="G91" s="3"/>
      <c r="H91" s="3"/>
      <c r="I91" s="3"/>
      <c r="J91" s="3"/>
      <c r="K91" s="3"/>
      <c r="L91" s="3"/>
      <c r="M91" s="3"/>
      <c r="N91" s="3"/>
      <c r="O91" s="3"/>
      <c r="P91" s="3"/>
      <c r="Q91" s="3"/>
      <c r="R91" s="3"/>
      <c r="S91" s="3"/>
      <c r="T91" s="3"/>
      <c r="U91" s="3"/>
    </row>
    <row r="92" spans="1:21">
      <c r="A92" s="760" t="s">
        <v>518</v>
      </c>
      <c r="B92" s="761">
        <v>37410</v>
      </c>
      <c r="C92" s="101" t="s">
        <v>733</v>
      </c>
      <c r="D92" s="101" t="s">
        <v>522</v>
      </c>
      <c r="E92" s="3"/>
      <c r="F92" s="3"/>
      <c r="G92" s="3"/>
      <c r="H92" s="3"/>
      <c r="I92" s="3"/>
      <c r="J92" s="3"/>
      <c r="K92" s="3"/>
      <c r="L92" s="3"/>
      <c r="M92" s="3"/>
      <c r="N92" s="3"/>
      <c r="O92" s="3"/>
      <c r="P92" s="3"/>
      <c r="Q92" s="3"/>
      <c r="R92" s="3"/>
      <c r="S92" s="3"/>
      <c r="T92" s="3"/>
      <c r="U92" s="3"/>
    </row>
    <row r="93" spans="1:21">
      <c r="A93" s="760" t="s">
        <v>519</v>
      </c>
      <c r="B93" s="767">
        <v>35786.019</v>
      </c>
      <c r="C93" s="760" t="s">
        <v>733</v>
      </c>
      <c r="D93" s="101" t="s">
        <v>523</v>
      </c>
      <c r="E93" s="3"/>
      <c r="F93" s="3"/>
      <c r="G93" s="3"/>
      <c r="H93" s="3"/>
      <c r="I93" s="3"/>
      <c r="J93" s="3"/>
      <c r="K93" s="3"/>
      <c r="L93" s="3"/>
      <c r="M93" s="3"/>
      <c r="N93" s="3"/>
      <c r="O93" s="3"/>
      <c r="P93" s="3"/>
      <c r="Q93" s="3"/>
      <c r="R93" s="3"/>
      <c r="S93" s="3"/>
      <c r="T93" s="3"/>
      <c r="U93" s="3"/>
    </row>
    <row r="94" spans="1:21">
      <c r="A94" s="760" t="s">
        <v>520</v>
      </c>
      <c r="B94" s="767">
        <v>41678.957000000002</v>
      </c>
      <c r="C94" s="760" t="s">
        <v>733</v>
      </c>
      <c r="D94" s="101" t="s">
        <v>532</v>
      </c>
      <c r="E94" s="3"/>
      <c r="F94" s="3"/>
      <c r="G94" s="3"/>
      <c r="H94" s="3"/>
      <c r="I94" s="3"/>
      <c r="J94" s="3"/>
      <c r="K94" s="3"/>
      <c r="L94" s="3"/>
      <c r="M94" s="3"/>
      <c r="N94" s="3"/>
      <c r="O94" s="3"/>
      <c r="P94" s="3"/>
      <c r="Q94" s="3"/>
      <c r="R94" s="3"/>
      <c r="S94" s="3"/>
      <c r="T94" s="3"/>
      <c r="U94" s="3"/>
    </row>
    <row r="95" spans="1:21" ht="13.5" thickBot="1">
      <c r="A95" s="101" t="s">
        <v>728</v>
      </c>
      <c r="B95" s="763" t="s">
        <v>728</v>
      </c>
      <c r="C95" s="101" t="s">
        <v>728</v>
      </c>
      <c r="D95" s="101"/>
      <c r="E95" s="3"/>
      <c r="F95" s="3"/>
      <c r="G95" s="3"/>
      <c r="H95" s="3"/>
      <c r="I95" s="3"/>
      <c r="J95" s="3"/>
      <c r="K95" s="3"/>
      <c r="L95" s="3"/>
      <c r="M95" s="3"/>
      <c r="N95" s="3"/>
      <c r="O95" s="833" t="s">
        <v>28</v>
      </c>
      <c r="P95" s="3"/>
      <c r="Q95" s="3"/>
      <c r="R95" s="3"/>
      <c r="S95" s="3"/>
      <c r="T95" s="3"/>
      <c r="U95" s="3"/>
    </row>
    <row r="96" spans="1:21" ht="13.5" thickBot="1">
      <c r="A96" s="101" t="s">
        <v>728</v>
      </c>
      <c r="B96" s="789" t="s">
        <v>119</v>
      </c>
      <c r="C96" s="101"/>
      <c r="D96" s="101"/>
      <c r="E96" s="3"/>
      <c r="F96" s="3"/>
      <c r="G96" s="790" t="s">
        <v>350</v>
      </c>
      <c r="H96" s="3"/>
      <c r="I96" s="3"/>
      <c r="J96" s="3"/>
      <c r="K96" s="3"/>
      <c r="L96" s="3"/>
      <c r="M96" s="789" t="s">
        <v>122</v>
      </c>
      <c r="N96" s="101"/>
      <c r="O96" s="791" t="s">
        <v>140</v>
      </c>
      <c r="P96" s="3"/>
      <c r="Q96" s="3"/>
      <c r="R96" s="3"/>
      <c r="S96" s="3"/>
      <c r="T96" s="3"/>
      <c r="U96" s="3"/>
    </row>
    <row r="97" spans="1:21" ht="13.5" thickBot="1">
      <c r="A97" s="3"/>
      <c r="B97" s="833" t="s">
        <v>512</v>
      </c>
      <c r="C97" s="3"/>
      <c r="D97" s="3"/>
      <c r="E97" s="3"/>
      <c r="F97" s="3"/>
      <c r="G97" s="3"/>
      <c r="H97" s="3"/>
      <c r="I97" s="3"/>
      <c r="J97" s="3"/>
      <c r="K97" s="3"/>
      <c r="L97" s="3"/>
      <c r="M97" s="3"/>
      <c r="N97" s="3"/>
      <c r="O97" s="833" t="s">
        <v>728</v>
      </c>
      <c r="P97" s="3"/>
      <c r="Q97" s="3"/>
      <c r="R97" s="3"/>
      <c r="S97" s="3"/>
      <c r="T97" s="3"/>
      <c r="U97" s="3"/>
    </row>
    <row r="98" spans="1:21" ht="13" thickBot="1">
      <c r="A98" s="3" t="s">
        <v>526</v>
      </c>
      <c r="B98" s="819">
        <v>19.062200000000001</v>
      </c>
      <c r="C98" s="3" t="s">
        <v>4</v>
      </c>
      <c r="D98" s="26" t="s">
        <v>528</v>
      </c>
      <c r="E98" s="3"/>
      <c r="F98" s="3"/>
      <c r="G98" s="3"/>
      <c r="H98" s="3"/>
      <c r="I98" s="3"/>
      <c r="J98" s="3"/>
      <c r="K98" s="3"/>
      <c r="L98" s="3"/>
      <c r="M98" s="815" t="s">
        <v>526</v>
      </c>
      <c r="N98" s="3"/>
      <c r="O98" s="819">
        <v>17.429200000000002</v>
      </c>
      <c r="P98" s="3" t="s">
        <v>4</v>
      </c>
      <c r="Q98" s="3"/>
      <c r="R98" s="3"/>
      <c r="S98" s="3"/>
      <c r="T98" s="3"/>
      <c r="U98" s="3"/>
    </row>
    <row r="99" spans="1:21" ht="13" thickBot="1">
      <c r="A99" s="3"/>
      <c r="B99" s="820" t="s">
        <v>728</v>
      </c>
      <c r="C99" s="3"/>
      <c r="D99" s="3"/>
      <c r="E99" s="3"/>
      <c r="F99" s="3"/>
      <c r="G99" s="3"/>
      <c r="H99" s="3"/>
      <c r="I99" s="3"/>
      <c r="J99" s="3"/>
      <c r="K99" s="3"/>
      <c r="L99" s="3"/>
      <c r="M99" s="585"/>
      <c r="N99" s="3"/>
      <c r="O99" s="3"/>
      <c r="P99" s="3"/>
      <c r="Q99" s="3"/>
      <c r="R99" s="3"/>
      <c r="S99" s="3"/>
      <c r="T99" s="3"/>
      <c r="U99" s="3"/>
    </row>
    <row r="100" spans="1:21" ht="13" thickBot="1">
      <c r="A100" s="3" t="s">
        <v>527</v>
      </c>
      <c r="B100" s="819">
        <v>72.874200000000002</v>
      </c>
      <c r="C100" s="3" t="s">
        <v>4</v>
      </c>
      <c r="D100" s="26" t="s">
        <v>529</v>
      </c>
      <c r="E100" s="3"/>
      <c r="F100" s="3"/>
      <c r="G100" s="3"/>
      <c r="H100" s="3"/>
      <c r="I100" s="3"/>
      <c r="J100" s="3"/>
      <c r="K100" s="3"/>
      <c r="L100" s="3"/>
      <c r="M100" s="815" t="s">
        <v>527</v>
      </c>
      <c r="N100" s="3"/>
      <c r="O100" s="819">
        <v>78.465800000000002</v>
      </c>
      <c r="P100" s="3" t="s">
        <v>4</v>
      </c>
      <c r="Q100" s="3"/>
      <c r="R100" s="3"/>
      <c r="S100" s="3"/>
      <c r="T100" s="3"/>
      <c r="U100" s="3"/>
    </row>
    <row r="101" spans="1:21" ht="13" thickBot="1">
      <c r="A101" s="3"/>
      <c r="B101" s="863">
        <f>(B100-B102)</f>
        <v>-16.625799999999998</v>
      </c>
      <c r="C101" s="3"/>
      <c r="D101" s="3"/>
      <c r="E101" s="3"/>
      <c r="F101" s="3"/>
      <c r="G101" s="3"/>
      <c r="H101" s="3"/>
      <c r="I101" s="3"/>
      <c r="J101" s="3"/>
      <c r="K101" s="3"/>
      <c r="L101" s="3"/>
      <c r="M101" s="585"/>
      <c r="N101" s="3"/>
      <c r="O101" s="863">
        <f>O100-O102</f>
        <v>-11.034199999999998</v>
      </c>
      <c r="P101" s="3"/>
      <c r="Q101" s="3"/>
      <c r="R101" s="3"/>
      <c r="S101" s="3"/>
      <c r="T101" s="3"/>
      <c r="U101" s="3"/>
    </row>
    <row r="102" spans="1:21" ht="13" thickBot="1">
      <c r="A102" s="3" t="s">
        <v>310</v>
      </c>
      <c r="B102" s="819">
        <v>89.5</v>
      </c>
      <c r="C102" s="3" t="s">
        <v>4</v>
      </c>
      <c r="D102" s="3" t="s">
        <v>330</v>
      </c>
      <c r="E102" s="3"/>
      <c r="F102" s="3"/>
      <c r="G102" s="3"/>
      <c r="H102" s="3"/>
      <c r="I102" s="3"/>
      <c r="J102" s="3"/>
      <c r="K102" s="3"/>
      <c r="L102" s="3"/>
      <c r="M102" s="848" t="s">
        <v>835</v>
      </c>
      <c r="N102" s="3"/>
      <c r="O102" s="849">
        <f>B102</f>
        <v>89.5</v>
      </c>
      <c r="P102" s="3" t="s">
        <v>4</v>
      </c>
      <c r="Q102" s="3" t="s">
        <v>836</v>
      </c>
      <c r="R102" s="3"/>
      <c r="S102" s="3"/>
      <c r="T102" s="3"/>
      <c r="U102" s="3"/>
    </row>
    <row r="103" spans="1:21" ht="13" thickBot="1">
      <c r="A103" s="3"/>
      <c r="B103" s="3"/>
      <c r="C103" s="3"/>
      <c r="D103" s="3"/>
      <c r="E103" s="3"/>
      <c r="F103" s="3"/>
      <c r="G103" s="3"/>
      <c r="H103" s="3"/>
      <c r="I103" s="3"/>
      <c r="J103" s="3"/>
      <c r="K103" s="3"/>
      <c r="L103" s="3"/>
      <c r="M103" s="585"/>
      <c r="N103" s="3"/>
      <c r="O103" s="3"/>
      <c r="P103" s="3"/>
      <c r="Q103" s="3"/>
      <c r="R103" s="3"/>
      <c r="S103" s="3"/>
      <c r="T103" s="3"/>
      <c r="U103" s="3"/>
    </row>
    <row r="104" spans="1:21" ht="13.5" thickBot="1">
      <c r="A104" s="3" t="s">
        <v>530</v>
      </c>
      <c r="B104" s="783">
        <f>SQRT($B$91^2+$B$90^2-2*$B$91*$B$90*COS(B110/57.29578))</f>
        <v>36488.15588571554</v>
      </c>
      <c r="C104" s="3" t="s">
        <v>733</v>
      </c>
      <c r="D104" s="3" t="s">
        <v>331</v>
      </c>
      <c r="E104" s="3"/>
      <c r="F104" s="3"/>
      <c r="G104" s="3"/>
      <c r="H104" s="3"/>
      <c r="I104" s="3"/>
      <c r="J104" s="3"/>
      <c r="K104" s="3"/>
      <c r="L104" s="3"/>
      <c r="M104" s="814" t="s">
        <v>530</v>
      </c>
      <c r="N104" s="3"/>
      <c r="O104" s="783">
        <f>SQRT($B$91^2+$B$90^2-2*$B$91*$B$90*COS(O110/57.29578))</f>
        <v>36260.448781198123</v>
      </c>
      <c r="P104" s="3" t="s">
        <v>733</v>
      </c>
      <c r="Q104" s="3"/>
      <c r="R104" s="3"/>
      <c r="S104" s="3"/>
      <c r="T104" s="3"/>
      <c r="U104" s="3"/>
    </row>
    <row r="105" spans="1:21" ht="13" thickBot="1">
      <c r="A105" s="3"/>
      <c r="B105" s="3"/>
      <c r="C105" s="3"/>
      <c r="D105" s="3"/>
      <c r="E105" s="3"/>
      <c r="F105" s="3"/>
      <c r="G105" s="3"/>
      <c r="H105" s="3"/>
      <c r="I105" s="3"/>
      <c r="J105" s="3"/>
      <c r="K105" s="3"/>
      <c r="L105" s="3"/>
      <c r="M105" s="585"/>
      <c r="N105" s="3"/>
      <c r="O105" s="3"/>
      <c r="P105" s="3"/>
      <c r="Q105" s="3"/>
      <c r="R105" s="3"/>
      <c r="S105" s="3"/>
      <c r="T105" s="3"/>
      <c r="U105" s="3"/>
    </row>
    <row r="106" spans="1:21" ht="13" thickBot="1">
      <c r="A106" s="3" t="s">
        <v>541</v>
      </c>
      <c r="B106" s="842">
        <f>57.29578*ATAN((COS(B110/57.29578)-($B$90/$B$91))/SIN(B110/57.29578))</f>
        <v>60.660455833168932</v>
      </c>
      <c r="C106" s="3" t="s">
        <v>4</v>
      </c>
      <c r="D106" s="3" t="s">
        <v>332</v>
      </c>
      <c r="E106" s="3"/>
      <c r="F106" s="3"/>
      <c r="G106" s="3"/>
      <c r="H106" s="3"/>
      <c r="I106" s="3"/>
      <c r="J106" s="3"/>
      <c r="K106" s="3"/>
      <c r="L106" s="3"/>
      <c r="M106" s="815" t="s">
        <v>541</v>
      </c>
      <c r="N106" s="3"/>
      <c r="O106" s="842">
        <f>57.29578*ATAN((COS(O110/57.29578)-($B$90/$B$91))/SIN(O110/57.29578))</f>
        <v>65.925927773075983</v>
      </c>
      <c r="P106" s="3" t="s">
        <v>4</v>
      </c>
      <c r="Q106" s="3"/>
      <c r="R106" s="3"/>
      <c r="S106" s="3"/>
      <c r="T106" s="3"/>
      <c r="U106" s="3"/>
    </row>
    <row r="107" spans="1:21" ht="13" thickBot="1">
      <c r="A107" s="3"/>
      <c r="B107" s="864">
        <f>57.29578*ATAN(SIN($B$101/57.29578)/((-SIN($B$98/57.29578)*COS($B$101/57.29578))))</f>
        <v>42.436490136550354</v>
      </c>
      <c r="C107" s="3"/>
      <c r="D107" s="3"/>
      <c r="E107" s="3"/>
      <c r="F107" s="3"/>
      <c r="G107" s="3"/>
      <c r="H107" s="3"/>
      <c r="I107" s="3"/>
      <c r="J107" s="3"/>
      <c r="K107" s="3"/>
      <c r="L107" s="3"/>
      <c r="M107" s="815"/>
      <c r="N107" s="3"/>
      <c r="O107" s="864">
        <f>57.29578*ATAN(SIN(O101/57.29578)/((-SIN(O98/57.29578)*COS(O101/57.29578))))</f>
        <v>33.065164163394428</v>
      </c>
      <c r="P107" s="3"/>
      <c r="Q107" s="3"/>
      <c r="R107" s="3"/>
      <c r="S107" s="3"/>
      <c r="T107" s="3"/>
      <c r="U107" s="3"/>
    </row>
    <row r="108" spans="1:21" ht="13" thickBot="1">
      <c r="A108" s="3" t="s">
        <v>510</v>
      </c>
      <c r="B108" s="842">
        <f>'GEO Azimuth Calc Data'!E19</f>
        <v>137.56350986344964</v>
      </c>
      <c r="C108" s="3" t="s">
        <v>4</v>
      </c>
      <c r="D108" s="3" t="s">
        <v>511</v>
      </c>
      <c r="E108" s="3"/>
      <c r="F108" s="3"/>
      <c r="G108" s="3"/>
      <c r="H108" s="3"/>
      <c r="I108" s="3"/>
      <c r="J108" s="3"/>
      <c r="K108" s="3"/>
      <c r="L108" s="3"/>
      <c r="M108" s="815" t="s">
        <v>510</v>
      </c>
      <c r="N108" s="3"/>
      <c r="O108" s="842">
        <f>'GEO Azimuth Calc Data'!E40</f>
        <v>146.93483583660557</v>
      </c>
      <c r="P108" s="835" t="s">
        <v>4</v>
      </c>
      <c r="Q108" s="3"/>
      <c r="R108" s="3"/>
      <c r="S108" s="3"/>
      <c r="T108" s="3"/>
      <c r="U108" s="3"/>
    </row>
    <row r="109" spans="1:21" ht="13" thickBot="1">
      <c r="A109" s="3"/>
      <c r="B109" s="3" t="s">
        <v>728</v>
      </c>
      <c r="C109" s="3"/>
      <c r="D109" s="3"/>
      <c r="E109" s="3"/>
      <c r="F109" s="3"/>
      <c r="G109" s="3"/>
      <c r="H109" s="3"/>
      <c r="I109" s="3"/>
      <c r="J109" s="3"/>
      <c r="K109" s="3"/>
      <c r="L109" s="3"/>
      <c r="M109" s="3"/>
      <c r="N109" s="3"/>
      <c r="O109" s="3"/>
      <c r="P109" s="3"/>
      <c r="Q109" s="3"/>
      <c r="R109" s="3"/>
      <c r="S109" s="3"/>
      <c r="T109" s="3"/>
      <c r="U109" s="3"/>
    </row>
    <row r="110" spans="1:21" ht="13" thickBot="1">
      <c r="A110" s="3" t="s">
        <v>509</v>
      </c>
      <c r="B110" s="825">
        <f>57.29578*ACOS(COS(B98/57.29578)*COS(B101/57.29578))</f>
        <v>25.088911834355539</v>
      </c>
      <c r="C110" s="3" t="s">
        <v>4</v>
      </c>
      <c r="D110" s="3" t="s">
        <v>336</v>
      </c>
      <c r="E110" s="3"/>
      <c r="F110" s="3"/>
      <c r="G110" s="3"/>
      <c r="H110" s="3"/>
      <c r="I110" s="3"/>
      <c r="J110" s="3"/>
      <c r="K110" s="3"/>
      <c r="L110" s="3"/>
      <c r="M110" s="3" t="s">
        <v>509</v>
      </c>
      <c r="N110" s="3"/>
      <c r="O110" s="825">
        <f>57.29578*ACOS(COS(O98/57.29578)*COS(O101/57.29578))</f>
        <v>20.536371124162212</v>
      </c>
      <c r="P110" s="3" t="s">
        <v>4</v>
      </c>
      <c r="Q110" s="3"/>
      <c r="R110" s="3"/>
      <c r="S110" s="3"/>
      <c r="T110" s="3"/>
      <c r="U110" s="3"/>
    </row>
    <row r="111" spans="1:21">
      <c r="A111" s="3"/>
      <c r="B111" s="821"/>
      <c r="C111" s="3"/>
      <c r="D111" s="3"/>
      <c r="E111" s="3"/>
      <c r="F111" s="3"/>
      <c r="G111" s="3"/>
      <c r="H111" s="3"/>
      <c r="I111" s="3"/>
      <c r="J111" s="3"/>
      <c r="K111" s="3"/>
      <c r="L111" s="3"/>
      <c r="M111" s="3"/>
      <c r="N111" s="3"/>
      <c r="O111" s="481"/>
      <c r="P111" s="3"/>
      <c r="Q111" s="3"/>
      <c r="R111" s="3"/>
      <c r="S111" s="3"/>
      <c r="T111" s="3"/>
      <c r="U111" s="3"/>
    </row>
    <row r="112" spans="1:21">
      <c r="A112" s="3"/>
      <c r="B112" s="821" t="s">
        <v>728</v>
      </c>
      <c r="C112" s="3"/>
      <c r="D112" s="3"/>
      <c r="E112" s="3"/>
      <c r="F112" s="3"/>
      <c r="G112" s="3"/>
      <c r="H112" s="3"/>
      <c r="I112" s="3"/>
      <c r="J112" s="3"/>
      <c r="K112" s="3"/>
      <c r="L112" s="3"/>
      <c r="M112" s="3"/>
      <c r="N112" s="3"/>
      <c r="O112" s="481"/>
      <c r="P112" s="3"/>
      <c r="Q112" s="3"/>
      <c r="R112" s="3"/>
      <c r="S112" s="3"/>
      <c r="T112" s="3"/>
      <c r="U112" s="3"/>
    </row>
    <row r="113" spans="1:21">
      <c r="A113" s="3"/>
      <c r="B113" s="821"/>
      <c r="C113" s="3"/>
      <c r="D113" s="3"/>
      <c r="E113" s="3"/>
      <c r="F113" s="3"/>
      <c r="G113" s="3"/>
      <c r="H113" s="3"/>
      <c r="I113" s="3"/>
      <c r="J113" s="3"/>
      <c r="K113" s="3"/>
      <c r="L113" s="3"/>
      <c r="M113" s="3"/>
      <c r="N113" s="3"/>
      <c r="O113" s="481"/>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8" t="s">
        <v>30</v>
      </c>
      <c r="B115" s="817"/>
      <c r="C115" s="130"/>
      <c r="D115" s="130"/>
      <c r="E115" s="130"/>
      <c r="F115" s="130"/>
      <c r="G115" s="241" t="s">
        <v>140</v>
      </c>
      <c r="H115" s="130"/>
      <c r="I115" s="130"/>
      <c r="J115" s="130"/>
      <c r="K115" s="130"/>
      <c r="L115" s="130"/>
      <c r="M115" s="130"/>
      <c r="N115" s="130"/>
      <c r="O115" s="130"/>
      <c r="P115" s="130"/>
      <c r="Q115" s="130"/>
      <c r="R115" s="545"/>
      <c r="S115" s="545"/>
      <c r="T115" s="545"/>
      <c r="U115" s="54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3"/>
      <c r="N117" s="804"/>
      <c r="O117" s="769"/>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9"/>
      <c r="D120" s="800"/>
      <c r="E120" s="32"/>
      <c r="F120" s="3"/>
      <c r="G120" s="3"/>
      <c r="H120" s="33"/>
      <c r="I120" s="3"/>
      <c r="J120" s="3"/>
      <c r="K120" s="3"/>
      <c r="L120" s="101"/>
      <c r="M120" s="101"/>
      <c r="N120" s="101"/>
      <c r="O120" s="101"/>
      <c r="P120" s="101"/>
      <c r="Q120" s="3"/>
      <c r="R120" s="3"/>
      <c r="S120" s="3"/>
      <c r="T120" s="3"/>
      <c r="U120" s="3"/>
    </row>
    <row r="121" spans="1:21" ht="13">
      <c r="A121" s="805" t="s">
        <v>699</v>
      </c>
      <c r="B121" s="387" t="s">
        <v>700</v>
      </c>
      <c r="C121" s="65"/>
      <c r="D121" s="101" t="s">
        <v>701</v>
      </c>
      <c r="E121" s="32"/>
      <c r="F121" s="816">
        <v>2.1</v>
      </c>
      <c r="G121" s="371" t="s">
        <v>702</v>
      </c>
      <c r="H121" s="33"/>
      <c r="I121" s="101"/>
      <c r="J121" s="802"/>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3"/>
      <c r="N123" s="804"/>
      <c r="O123" s="769"/>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6" t="s">
        <v>703</v>
      </c>
      <c r="C125" s="65"/>
      <c r="D125" s="853">
        <f>F121*1.5*100000000</f>
        <v>315000000.00000006</v>
      </c>
      <c r="E125" s="807" t="s">
        <v>733</v>
      </c>
      <c r="F125" s="3"/>
      <c r="G125" s="3"/>
      <c r="H125" s="33"/>
      <c r="I125" s="3"/>
      <c r="J125" s="3"/>
      <c r="K125" s="3"/>
      <c r="L125" s="101"/>
      <c r="M125" s="101"/>
      <c r="N125" s="101"/>
      <c r="O125" s="101"/>
      <c r="P125" s="101"/>
      <c r="Q125" s="3"/>
      <c r="R125" s="3"/>
      <c r="S125" s="3"/>
      <c r="T125" s="3"/>
      <c r="U125" s="3"/>
    </row>
    <row r="126" spans="1:21">
      <c r="A126" s="228"/>
      <c r="B126" s="220"/>
      <c r="C126" s="801"/>
      <c r="D126" s="800"/>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728</v>
      </c>
      <c r="I129" s="3"/>
      <c r="J129" s="3"/>
      <c r="K129" s="3"/>
      <c r="L129" s="3"/>
      <c r="M129" s="3"/>
      <c r="N129" s="3"/>
      <c r="O129" s="3"/>
      <c r="P129" s="3"/>
      <c r="Q129" s="3"/>
      <c r="R129" s="3"/>
      <c r="S129" s="3"/>
      <c r="T129" s="3"/>
      <c r="U129" s="3"/>
    </row>
    <row r="130" spans="1:21">
      <c r="A130" s="3"/>
      <c r="B130" s="3" t="s">
        <v>728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9" t="s">
        <v>114</v>
      </c>
      <c r="B1" s="660"/>
      <c r="C1" s="661"/>
      <c r="D1" s="661"/>
      <c r="E1" s="661"/>
      <c r="F1" s="661"/>
      <c r="G1" s="661"/>
      <c r="H1" s="661"/>
      <c r="I1" s="661"/>
      <c r="J1" s="661"/>
      <c r="K1" s="661"/>
      <c r="L1" s="661"/>
      <c r="M1" s="661"/>
      <c r="N1" s="661"/>
      <c r="O1" s="661"/>
      <c r="P1" s="661"/>
      <c r="Q1" s="661"/>
      <c r="R1" s="127"/>
      <c r="S1" s="127"/>
      <c r="T1" s="127"/>
      <c r="U1" s="127"/>
    </row>
    <row r="2" spans="1:21" ht="18">
      <c r="A2" s="793"/>
      <c r="B2" s="589"/>
      <c r="C2" s="794"/>
      <c r="D2" s="794"/>
      <c r="E2" s="794"/>
      <c r="F2" s="794"/>
      <c r="G2" s="794"/>
      <c r="H2" s="794"/>
      <c r="I2" s="794"/>
      <c r="J2" s="794"/>
      <c r="K2" s="794"/>
      <c r="L2" s="794"/>
      <c r="M2" s="794"/>
      <c r="N2" s="794"/>
      <c r="O2" s="794"/>
      <c r="P2" s="794"/>
      <c r="Q2" s="794"/>
      <c r="R2" s="101"/>
      <c r="S2" s="101"/>
      <c r="T2" s="101"/>
      <c r="U2" s="101"/>
    </row>
    <row r="3" spans="1:21" ht="18">
      <c r="A3" s="793"/>
      <c r="B3" s="589"/>
      <c r="C3" s="794"/>
      <c r="D3" s="794"/>
      <c r="E3" s="794"/>
      <c r="F3" s="794"/>
      <c r="G3" s="794"/>
      <c r="H3" s="794"/>
      <c r="I3" s="794"/>
      <c r="J3" s="794"/>
      <c r="K3" s="794"/>
      <c r="L3" s="794"/>
      <c r="M3" s="794"/>
      <c r="N3" s="794"/>
      <c r="O3" s="794"/>
      <c r="P3" s="794"/>
      <c r="Q3" s="794"/>
      <c r="R3" s="101"/>
      <c r="S3" s="101"/>
      <c r="T3" s="101"/>
      <c r="U3" s="101"/>
    </row>
    <row r="4" spans="1:21" ht="18">
      <c r="A4" s="793"/>
      <c r="B4" s="589"/>
      <c r="C4" s="795" t="s">
        <v>728</v>
      </c>
      <c r="D4" s="795" t="s">
        <v>890</v>
      </c>
      <c r="E4" s="794"/>
      <c r="F4" s="794"/>
      <c r="G4" s="861" t="str">
        <f>Orbit!D4</f>
        <v>LEO</v>
      </c>
      <c r="H4" s="794"/>
      <c r="I4" s="794"/>
      <c r="J4" s="224" t="s">
        <v>773</v>
      </c>
      <c r="K4" s="123"/>
      <c r="L4" s="124"/>
      <c r="M4" s="794"/>
      <c r="N4" s="794"/>
      <c r="O4" s="794"/>
      <c r="P4" s="794"/>
      <c r="Q4" s="794"/>
      <c r="R4" s="101"/>
      <c r="S4" s="101"/>
      <c r="T4" s="101"/>
      <c r="U4" s="101"/>
    </row>
    <row r="5" spans="1:21" ht="13.5" customHeight="1">
      <c r="A5" s="793"/>
      <c r="B5" s="589"/>
      <c r="C5" s="794"/>
      <c r="D5" s="794"/>
      <c r="E5" s="794"/>
      <c r="F5" s="794"/>
      <c r="G5" s="794"/>
      <c r="H5" s="794"/>
      <c r="I5" s="794"/>
      <c r="J5" s="794"/>
      <c r="K5" s="794"/>
      <c r="L5" s="794"/>
      <c r="M5" s="794"/>
      <c r="N5" s="794"/>
      <c r="O5" s="794"/>
      <c r="P5" s="794"/>
      <c r="Q5" s="794"/>
      <c r="R5" s="101"/>
      <c r="S5" s="101"/>
      <c r="T5" s="101"/>
      <c r="U5" s="101"/>
    </row>
    <row r="6" spans="1:21" ht="13.5" customHeight="1">
      <c r="A6" s="793"/>
      <c r="B6" s="589"/>
      <c r="C6" s="795" t="s">
        <v>361</v>
      </c>
      <c r="D6" s="794"/>
      <c r="E6" s="794"/>
      <c r="F6" s="794"/>
      <c r="G6" s="862">
        <f>Orbit!G4</f>
        <v>1454.4339505997034</v>
      </c>
      <c r="H6" s="812" t="s">
        <v>733</v>
      </c>
      <c r="I6" s="794"/>
      <c r="J6" s="794"/>
      <c r="K6" s="794"/>
      <c r="L6" s="794"/>
      <c r="M6" s="794"/>
      <c r="N6" s="794"/>
      <c r="O6" s="794"/>
      <c r="P6" s="794"/>
      <c r="Q6" s="794"/>
      <c r="R6" s="101"/>
      <c r="S6" s="101"/>
      <c r="T6" s="101"/>
      <c r="U6" s="101"/>
    </row>
    <row r="7" spans="1:21" ht="13.5" customHeight="1">
      <c r="A7" s="793"/>
      <c r="B7" s="241" t="s">
        <v>140</v>
      </c>
      <c r="C7" s="794"/>
      <c r="D7" s="794"/>
      <c r="E7" s="794"/>
      <c r="F7" s="794"/>
      <c r="G7" s="794"/>
      <c r="H7" s="794"/>
      <c r="I7" s="794"/>
      <c r="J7" s="794"/>
      <c r="K7" s="794"/>
      <c r="L7" s="794"/>
      <c r="M7" s="794"/>
      <c r="N7" s="794"/>
      <c r="O7" s="794"/>
      <c r="P7" s="794"/>
      <c r="Q7" s="794"/>
      <c r="R7" s="101"/>
      <c r="S7" s="101"/>
      <c r="T7" s="101"/>
      <c r="U7" s="101"/>
    </row>
    <row r="8" spans="1:21" ht="13.5" customHeight="1">
      <c r="A8" s="793"/>
      <c r="B8" s="589"/>
      <c r="C8" s="794"/>
      <c r="D8" s="794"/>
      <c r="E8" s="794"/>
      <c r="F8" s="794"/>
      <c r="G8" s="794"/>
      <c r="H8" s="794"/>
      <c r="I8" s="794"/>
      <c r="J8" s="794"/>
      <c r="K8" s="794"/>
      <c r="L8" s="794"/>
      <c r="M8" s="794"/>
      <c r="N8" s="794"/>
      <c r="O8" s="794"/>
      <c r="P8" s="794"/>
      <c r="Q8" s="794"/>
      <c r="R8" s="101"/>
      <c r="S8" s="101"/>
      <c r="T8" s="101"/>
      <c r="U8" s="101"/>
    </row>
    <row r="9" spans="1:21" ht="13" thickBot="1">
      <c r="A9" s="3" t="s">
        <v>728</v>
      </c>
      <c r="B9" s="220" t="s">
        <v>855</v>
      </c>
      <c r="C9" s="50" t="s">
        <v>766</v>
      </c>
      <c r="D9" s="3"/>
      <c r="E9" s="50" t="s">
        <v>853</v>
      </c>
      <c r="F9" s="3"/>
      <c r="G9" s="50" t="s">
        <v>769</v>
      </c>
      <c r="H9" s="3"/>
      <c r="I9" s="3"/>
      <c r="J9" s="3"/>
      <c r="K9" s="3"/>
      <c r="L9" s="3"/>
      <c r="M9" s="3"/>
      <c r="N9" s="3"/>
      <c r="O9" s="3"/>
      <c r="P9" s="3"/>
      <c r="Q9" s="3"/>
      <c r="R9" s="3"/>
      <c r="S9" s="3"/>
      <c r="T9" s="3"/>
      <c r="U9" s="3"/>
    </row>
    <row r="10" spans="1:21" ht="13.5" thickBot="1">
      <c r="A10" s="798" t="s">
        <v>771</v>
      </c>
      <c r="B10" s="219" t="s">
        <v>111</v>
      </c>
      <c r="C10" s="223">
        <v>145.80000000000001</v>
      </c>
      <c r="D10" s="124" t="s">
        <v>767</v>
      </c>
      <c r="E10" s="32">
        <f>299.8/C10</f>
        <v>2.056241426611797</v>
      </c>
      <c r="F10" s="3" t="s">
        <v>768</v>
      </c>
      <c r="G10" s="33">
        <f>22+20*LOG10(($G$6*1000)/E10)</f>
        <v>138.99239798253504</v>
      </c>
      <c r="H10" s="3" t="s">
        <v>770</v>
      </c>
      <c r="I10" s="3" t="s">
        <v>116</v>
      </c>
      <c r="J10" s="3"/>
      <c r="K10" s="3"/>
      <c r="L10" s="389">
        <v>4</v>
      </c>
      <c r="M10" s="222">
        <f>INDEX(C10:C13,L10,1)</f>
        <v>1265</v>
      </c>
      <c r="N10" s="221" t="s">
        <v>767</v>
      </c>
      <c r="O10" s="3"/>
      <c r="P10" s="3"/>
      <c r="Q10" s="3"/>
      <c r="R10" s="3"/>
      <c r="S10" s="3"/>
      <c r="T10" s="3"/>
      <c r="U10" s="3"/>
    </row>
    <row r="11" spans="1:21">
      <c r="A11" s="50"/>
      <c r="B11" s="219" t="s">
        <v>112</v>
      </c>
      <c r="C11" s="223">
        <v>437.5</v>
      </c>
      <c r="D11" s="124" t="s">
        <v>767</v>
      </c>
      <c r="E11" s="32">
        <f t="shared" ref="E11:E18" si="0">299.8/C11</f>
        <v>0.6852571428571429</v>
      </c>
      <c r="F11" s="3" t="s">
        <v>768</v>
      </c>
      <c r="G11" s="33">
        <f>22+20*LOG10(($G$6*1000)/E11)</f>
        <v>148.53680865006257</v>
      </c>
      <c r="H11" s="3" t="s">
        <v>770</v>
      </c>
      <c r="I11" s="3"/>
      <c r="J11" s="3"/>
      <c r="K11" s="3"/>
      <c r="L11" s="3"/>
      <c r="M11" s="3"/>
      <c r="N11" s="3"/>
      <c r="O11" s="3"/>
      <c r="P11" s="3"/>
      <c r="Q11" s="3"/>
      <c r="R11" s="3"/>
      <c r="S11" s="3"/>
      <c r="T11" s="3"/>
      <c r="U11" s="3"/>
    </row>
    <row r="12" spans="1:21" ht="13">
      <c r="A12" s="50"/>
      <c r="B12" s="219" t="s">
        <v>113</v>
      </c>
      <c r="C12" s="223">
        <v>1269.9000000000001</v>
      </c>
      <c r="D12" s="124" t="s">
        <v>767</v>
      </c>
      <c r="E12" s="32">
        <f t="shared" si="0"/>
        <v>0.23608158122686826</v>
      </c>
      <c r="F12" s="3" t="s">
        <v>768</v>
      </c>
      <c r="G12" s="33">
        <f>22+20*LOG10(($G$6*1000)/E12)</f>
        <v>157.79263796676938</v>
      </c>
      <c r="H12" s="3" t="s">
        <v>770</v>
      </c>
      <c r="I12" s="3" t="s">
        <v>90</v>
      </c>
      <c r="J12" s="3"/>
      <c r="K12" s="3"/>
      <c r="L12" s="3"/>
      <c r="M12" s="796">
        <f>INDEX(G10:G13,L10,1)</f>
        <v>157.75905801313266</v>
      </c>
      <c r="N12" s="797" t="s">
        <v>770</v>
      </c>
      <c r="O12" s="3"/>
      <c r="P12" s="3"/>
      <c r="Q12" s="3"/>
      <c r="R12" s="3"/>
      <c r="S12" s="3"/>
      <c r="T12" s="3"/>
      <c r="U12" s="3"/>
    </row>
    <row r="13" spans="1:21">
      <c r="A13" s="228" t="s">
        <v>118</v>
      </c>
      <c r="B13" s="219" t="s">
        <v>117</v>
      </c>
      <c r="C13" s="225">
        <v>1265</v>
      </c>
      <c r="D13" s="226" t="s">
        <v>767</v>
      </c>
      <c r="E13" s="32">
        <f>299.8/C13</f>
        <v>0.23699604743083005</v>
      </c>
      <c r="F13" s="3" t="s">
        <v>768</v>
      </c>
      <c r="G13" s="33">
        <f>22+20*LOG10(($G$6*1000)/E13)</f>
        <v>157.75905801313266</v>
      </c>
      <c r="H13" s="3" t="s">
        <v>770</v>
      </c>
      <c r="I13" s="3"/>
      <c r="J13" s="3"/>
      <c r="K13" s="3"/>
      <c r="L13" s="3"/>
      <c r="M13" s="3"/>
      <c r="N13" s="3"/>
      <c r="O13" s="3"/>
      <c r="P13" s="3"/>
      <c r="Q13" s="3"/>
      <c r="R13" s="3"/>
      <c r="S13" s="3"/>
      <c r="T13" s="3"/>
      <c r="U13" s="3"/>
    </row>
    <row r="14" spans="1:21" ht="13">
      <c r="A14" s="50"/>
      <c r="B14" s="219"/>
      <c r="C14" s="65"/>
      <c r="D14" s="3"/>
      <c r="E14" s="32" t="s">
        <v>728</v>
      </c>
      <c r="F14" s="3"/>
      <c r="G14" s="33"/>
      <c r="H14" s="3"/>
      <c r="I14" s="802"/>
      <c r="J14" s="101"/>
      <c r="K14" s="101"/>
      <c r="L14" s="3"/>
      <c r="M14" s="3"/>
      <c r="N14" s="3"/>
      <c r="O14" s="3"/>
      <c r="P14" s="3"/>
      <c r="Q14" s="3"/>
      <c r="R14" s="3"/>
      <c r="S14" s="3"/>
      <c r="T14" s="3"/>
      <c r="U14" s="3"/>
    </row>
    <row r="15" spans="1:21" ht="13.5" thickBot="1">
      <c r="A15" s="3"/>
      <c r="B15" s="79"/>
      <c r="C15" s="218" t="s">
        <v>728</v>
      </c>
      <c r="D15" s="3"/>
      <c r="E15" s="32" t="s">
        <v>728</v>
      </c>
      <c r="F15" s="3"/>
      <c r="G15" s="3"/>
      <c r="H15" s="3"/>
      <c r="I15" s="34" t="s">
        <v>728</v>
      </c>
      <c r="J15" s="3"/>
      <c r="K15" s="3"/>
      <c r="L15" s="3"/>
      <c r="M15" s="3"/>
      <c r="N15" s="3"/>
      <c r="O15" s="3"/>
      <c r="P15" s="3"/>
      <c r="Q15" s="3"/>
      <c r="R15" s="3"/>
      <c r="S15" s="3"/>
      <c r="T15" s="3"/>
      <c r="U15" s="3"/>
    </row>
    <row r="16" spans="1:21" ht="13.5" thickBot="1">
      <c r="A16" s="798" t="s">
        <v>772</v>
      </c>
      <c r="B16" s="219" t="s">
        <v>111</v>
      </c>
      <c r="C16" s="223">
        <v>145.80000000000001</v>
      </c>
      <c r="D16" s="124" t="s">
        <v>767</v>
      </c>
      <c r="E16" s="32">
        <f t="shared" si="0"/>
        <v>2.056241426611797</v>
      </c>
      <c r="F16" s="3" t="s">
        <v>768</v>
      </c>
      <c r="G16" s="33">
        <f>22+20*LOG10(($G$6*1000)/E16)</f>
        <v>138.99239798253504</v>
      </c>
      <c r="H16" s="3" t="s">
        <v>770</v>
      </c>
      <c r="I16" s="3" t="s">
        <v>115</v>
      </c>
      <c r="J16" s="3"/>
      <c r="K16" s="3"/>
      <c r="L16" s="389">
        <v>4</v>
      </c>
      <c r="M16" s="222">
        <f>INDEX(C16:C19,L16,1)</f>
        <v>436.5</v>
      </c>
      <c r="N16" s="221" t="s">
        <v>767</v>
      </c>
      <c r="O16" s="3"/>
      <c r="P16" s="3"/>
      <c r="Q16" s="3"/>
      <c r="R16" s="3"/>
      <c r="S16" s="3"/>
      <c r="T16" s="3"/>
      <c r="U16" s="3"/>
    </row>
    <row r="17" spans="1:21">
      <c r="A17" s="3"/>
      <c r="B17" s="220" t="s">
        <v>112</v>
      </c>
      <c r="C17" s="223">
        <v>437.45</v>
      </c>
      <c r="D17" s="124" t="s">
        <v>767</v>
      </c>
      <c r="E17" s="32">
        <f t="shared" si="0"/>
        <v>0.68533546691050407</v>
      </c>
      <c r="F17" s="3" t="s">
        <v>768</v>
      </c>
      <c r="G17" s="33">
        <f>22+20*LOG10(($G$6*1000)/E17)</f>
        <v>148.53581592023258</v>
      </c>
      <c r="H17" s="3" t="s">
        <v>770</v>
      </c>
      <c r="I17" s="3"/>
      <c r="J17" s="3"/>
      <c r="K17" s="3"/>
      <c r="L17" s="3"/>
      <c r="M17" s="3"/>
      <c r="N17" s="3"/>
      <c r="O17" s="3"/>
      <c r="P17" s="3"/>
      <c r="Q17" s="3"/>
      <c r="R17" s="3"/>
      <c r="S17" s="3"/>
      <c r="T17" s="3"/>
      <c r="U17" s="3"/>
    </row>
    <row r="18" spans="1:21" ht="13">
      <c r="A18" s="3"/>
      <c r="B18" s="220" t="s">
        <v>113</v>
      </c>
      <c r="C18" s="223">
        <v>2405</v>
      </c>
      <c r="D18" s="124" t="s">
        <v>767</v>
      </c>
      <c r="E18" s="32">
        <f t="shared" si="0"/>
        <v>0.12465696465696466</v>
      </c>
      <c r="F18" s="3" t="s">
        <v>768</v>
      </c>
      <c r="G18" s="33">
        <f>22+20*LOG10(($G$6*1000)/E18)</f>
        <v>163.33954911709293</v>
      </c>
      <c r="H18" s="3" t="s">
        <v>770</v>
      </c>
      <c r="I18" s="3" t="s">
        <v>90</v>
      </c>
      <c r="J18" s="3"/>
      <c r="K18" s="3"/>
      <c r="L18" s="3"/>
      <c r="M18" s="796">
        <f>INDEX(G16:G19,L16,1)</f>
        <v>148.5169324637277</v>
      </c>
      <c r="N18" s="797" t="s">
        <v>770</v>
      </c>
      <c r="O18" s="3"/>
      <c r="P18" s="3"/>
      <c r="Q18" s="3"/>
      <c r="R18" s="3"/>
      <c r="S18" s="3"/>
      <c r="T18" s="3"/>
      <c r="U18" s="3"/>
    </row>
    <row r="19" spans="1:21">
      <c r="A19" s="228" t="s">
        <v>118</v>
      </c>
      <c r="B19" s="220" t="s">
        <v>117</v>
      </c>
      <c r="C19" s="227">
        <v>436.5</v>
      </c>
      <c r="D19" s="226" t="s">
        <v>767</v>
      </c>
      <c r="E19" s="32">
        <f>299.8/C19</f>
        <v>0.6868270332187858</v>
      </c>
      <c r="F19" s="3" t="s">
        <v>768</v>
      </c>
      <c r="G19" s="33">
        <f>22+20*LOG10(($G$6*1000)/E19)</f>
        <v>148.5169324637277</v>
      </c>
      <c r="H19" s="3" t="s">
        <v>770</v>
      </c>
      <c r="I19" s="3" t="s">
        <v>728</v>
      </c>
      <c r="J19" s="3"/>
      <c r="K19" s="3"/>
      <c r="L19" s="3"/>
      <c r="M19" s="3"/>
      <c r="N19" s="3"/>
      <c r="O19" s="3"/>
      <c r="P19" s="3"/>
      <c r="Q19" s="3"/>
      <c r="R19" s="3"/>
      <c r="S19" s="3"/>
      <c r="T19" s="3"/>
      <c r="U19" s="3"/>
    </row>
    <row r="20" spans="1:21">
      <c r="A20" s="3"/>
      <c r="B20" s="3"/>
      <c r="C20" s="3"/>
      <c r="D20" s="3"/>
      <c r="E20" s="3" t="s">
        <v>728</v>
      </c>
      <c r="F20" s="3"/>
      <c r="G20" s="3"/>
      <c r="H20" s="3"/>
      <c r="I20" s="3"/>
      <c r="J20" s="3" t="s">
        <v>728</v>
      </c>
      <c r="K20" s="3"/>
      <c r="L20" s="3"/>
      <c r="M20" s="3"/>
      <c r="N20" s="3"/>
      <c r="O20" s="3"/>
      <c r="P20" s="3"/>
      <c r="Q20" s="3"/>
      <c r="R20" s="3"/>
      <c r="S20" s="3"/>
      <c r="T20" s="3"/>
      <c r="U20" s="3"/>
    </row>
    <row r="21" spans="1:21">
      <c r="A21" s="3" t="s">
        <v>728</v>
      </c>
      <c r="B21" s="3"/>
      <c r="C21" s="3"/>
      <c r="D21" s="3"/>
      <c r="E21" s="3"/>
      <c r="F21" s="3"/>
      <c r="G21" s="3"/>
      <c r="H21" s="3"/>
      <c r="I21" s="3"/>
      <c r="J21" s="3"/>
      <c r="K21" s="3"/>
      <c r="L21" s="3"/>
      <c r="M21" s="3"/>
      <c r="N21" s="3"/>
      <c r="O21" s="3"/>
      <c r="P21" s="3"/>
      <c r="Q21" s="3"/>
      <c r="R21" s="3"/>
      <c r="S21" s="3"/>
      <c r="T21" s="3"/>
      <c r="U21" s="3"/>
    </row>
    <row r="22" spans="1:21">
      <c r="A22" s="3"/>
      <c r="B22" s="31" t="s">
        <v>728</v>
      </c>
      <c r="C22" s="3"/>
      <c r="D22" s="3"/>
      <c r="E22" s="3"/>
      <c r="F22" s="3"/>
      <c r="G22" s="3"/>
      <c r="H22" s="3" t="s">
        <v>728</v>
      </c>
      <c r="I22" s="3"/>
      <c r="J22" s="3"/>
      <c r="K22" s="3"/>
      <c r="L22" s="3"/>
      <c r="M22" s="3"/>
      <c r="N22" s="3"/>
      <c r="O22" s="3"/>
      <c r="P22" s="3"/>
      <c r="Q22" s="3"/>
      <c r="R22" s="3"/>
      <c r="S22" s="3"/>
      <c r="T22" s="3"/>
      <c r="U22" s="3"/>
    </row>
    <row r="23" spans="1:21">
      <c r="A23" s="3"/>
      <c r="B23" s="3" t="s">
        <v>728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175</v>
      </c>
      <c r="B1" s="127"/>
      <c r="C1" s="127"/>
      <c r="D1" s="127"/>
      <c r="E1" s="127"/>
      <c r="F1" s="643" t="str">
        <f>'Title Page'!F3</f>
        <v>OreSat - CS0</v>
      </c>
      <c r="G1" s="127"/>
      <c r="H1" s="127"/>
      <c r="I1" s="127"/>
      <c r="J1" s="642" t="str">
        <f>'Title Page'!F23</f>
        <v>2019 May 6</v>
      </c>
      <c r="K1" s="127"/>
      <c r="L1" s="127"/>
      <c r="M1" s="127"/>
      <c r="N1" s="127"/>
      <c r="O1" s="127"/>
      <c r="P1" s="127"/>
    </row>
    <row r="2" spans="1:16">
      <c r="A2" s="3"/>
      <c r="B2" s="3"/>
      <c r="C2" s="3"/>
      <c r="D2" s="3"/>
      <c r="E2" s="3" t="s">
        <v>728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6"/>
      <c r="K4" s="3"/>
      <c r="L4" s="3"/>
      <c r="M4" s="3"/>
      <c r="N4" s="3"/>
      <c r="O4" s="3"/>
      <c r="P4" s="3"/>
    </row>
    <row r="5" spans="1:16" ht="15.5">
      <c r="A5" s="3"/>
      <c r="B5" s="590"/>
      <c r="C5" s="101"/>
      <c r="D5" s="101"/>
      <c r="E5" s="101"/>
      <c r="F5" s="101"/>
      <c r="G5" s="101"/>
      <c r="H5" s="3"/>
      <c r="I5" s="3"/>
      <c r="J5" s="496"/>
      <c r="K5" s="3"/>
      <c r="L5" s="3"/>
      <c r="M5" s="3"/>
      <c r="N5" s="3"/>
      <c r="O5" s="3"/>
      <c r="P5" s="3"/>
    </row>
    <row r="6" spans="1:16">
      <c r="A6" s="3"/>
      <c r="B6" s="349" t="s">
        <v>257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9"/>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1017</v>
      </c>
      <c r="D16" s="334"/>
      <c r="E16" s="345">
        <v>2.5</v>
      </c>
      <c r="F16" s="334" t="s">
        <v>160</v>
      </c>
      <c r="G16" s="408">
        <f>10*LOG10(E16)</f>
        <v>3.9794000867203758</v>
      </c>
      <c r="H16" s="334" t="s">
        <v>161</v>
      </c>
      <c r="I16" s="328">
        <f>G16+30</f>
        <v>33.979400086720375</v>
      </c>
      <c r="J16" s="334" t="s">
        <v>796</v>
      </c>
      <c r="K16" s="956"/>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728</v>
      </c>
      <c r="G18" s="334"/>
      <c r="H18" s="334"/>
      <c r="I18" s="334"/>
      <c r="J18" s="334"/>
      <c r="K18" s="323"/>
      <c r="L18" s="3"/>
      <c r="M18" s="3"/>
      <c r="N18" s="3"/>
      <c r="O18" s="3"/>
      <c r="P18" s="3"/>
    </row>
    <row r="19" spans="1:16">
      <c r="A19" s="3"/>
      <c r="B19" s="3"/>
      <c r="C19" s="333"/>
      <c r="D19" s="938" t="s">
        <v>177</v>
      </c>
      <c r="E19" s="489" t="s">
        <v>979</v>
      </c>
      <c r="F19" s="939"/>
      <c r="G19" s="334"/>
      <c r="H19" s="334"/>
      <c r="I19" s="345">
        <v>0.61</v>
      </c>
      <c r="J19" s="334" t="s">
        <v>768</v>
      </c>
      <c r="K19" s="323"/>
      <c r="L19" s="3"/>
      <c r="M19" s="3"/>
      <c r="N19" s="3"/>
      <c r="O19" s="3"/>
      <c r="P19" s="3"/>
    </row>
    <row r="20" spans="1:16">
      <c r="A20" s="3"/>
      <c r="B20" s="3"/>
      <c r="C20" s="333"/>
      <c r="D20" s="938" t="s">
        <v>178</v>
      </c>
      <c r="E20" s="489" t="s">
        <v>983</v>
      </c>
      <c r="F20" s="939"/>
      <c r="G20" s="334"/>
      <c r="H20" s="334"/>
      <c r="I20" s="345">
        <v>6.86</v>
      </c>
      <c r="J20" s="334" t="s">
        <v>768</v>
      </c>
      <c r="K20" s="323"/>
      <c r="L20" s="3"/>
      <c r="M20" s="3"/>
      <c r="N20" s="3"/>
      <c r="O20" s="3"/>
      <c r="P20" s="3"/>
    </row>
    <row r="21" spans="1:16">
      <c r="A21" s="3"/>
      <c r="B21" s="3"/>
      <c r="C21" s="333"/>
      <c r="D21" s="938" t="s">
        <v>179</v>
      </c>
      <c r="E21" s="489"/>
      <c r="F21" s="939"/>
      <c r="G21" s="334"/>
      <c r="H21" s="334"/>
      <c r="I21" s="345"/>
      <c r="J21" s="334" t="s">
        <v>768</v>
      </c>
      <c r="K21" s="323"/>
      <c r="L21" s="3"/>
      <c r="M21" s="3"/>
      <c r="N21" s="3"/>
      <c r="O21" s="3"/>
      <c r="P21" s="3"/>
    </row>
    <row r="22" spans="1:16">
      <c r="A22" s="3"/>
      <c r="B22" s="3"/>
      <c r="C22" s="333"/>
      <c r="D22" s="938" t="s">
        <v>1053</v>
      </c>
      <c r="E22" s="489"/>
      <c r="F22" s="939"/>
      <c r="G22" s="334"/>
      <c r="H22" s="334"/>
      <c r="I22" s="345"/>
      <c r="J22" s="334" t="s">
        <v>768</v>
      </c>
      <c r="K22" s="323"/>
      <c r="L22" s="3"/>
      <c r="M22" s="3"/>
      <c r="N22" s="3"/>
      <c r="O22" s="3"/>
      <c r="P22" s="3"/>
    </row>
    <row r="23" spans="1:16">
      <c r="A23" s="3"/>
      <c r="B23" s="3"/>
      <c r="C23" s="333"/>
      <c r="D23" s="334"/>
      <c r="E23" s="334"/>
      <c r="F23" s="334" t="s">
        <v>728</v>
      </c>
      <c r="G23" s="334"/>
      <c r="H23" s="334"/>
      <c r="I23" s="334"/>
      <c r="J23" s="334" t="s">
        <v>728</v>
      </c>
      <c r="K23" s="323"/>
      <c r="L23" s="3"/>
      <c r="M23" s="3"/>
      <c r="N23" s="3"/>
      <c r="O23" s="3"/>
      <c r="P23" s="3"/>
    </row>
    <row r="24" spans="1:16">
      <c r="A24" s="3"/>
      <c r="B24" s="3"/>
      <c r="C24" s="333"/>
      <c r="D24" s="937" t="s">
        <v>1056</v>
      </c>
      <c r="E24" s="334"/>
      <c r="F24" s="334" t="s">
        <v>728</v>
      </c>
      <c r="G24" s="334"/>
      <c r="H24" s="334"/>
      <c r="I24" s="666">
        <f>SUM(I19:I22)</f>
        <v>7.4700000000000006</v>
      </c>
      <c r="J24" s="334" t="s">
        <v>768</v>
      </c>
      <c r="K24" s="323"/>
      <c r="L24" s="3"/>
      <c r="M24" s="3"/>
      <c r="N24" s="3"/>
      <c r="O24" s="3"/>
      <c r="P24" s="3"/>
    </row>
    <row r="25" spans="1:16">
      <c r="A25" s="3"/>
      <c r="B25" s="3"/>
      <c r="C25" s="333"/>
      <c r="D25" s="334"/>
      <c r="E25" s="334"/>
      <c r="F25" s="334"/>
      <c r="G25" s="334"/>
      <c r="H25" s="334"/>
      <c r="I25" s="666"/>
      <c r="J25" s="334"/>
      <c r="K25" s="323"/>
      <c r="L25" s="3"/>
      <c r="M25" s="3"/>
      <c r="N25" s="3"/>
      <c r="O25" s="3"/>
      <c r="P25" s="3"/>
    </row>
    <row r="26" spans="1:16">
      <c r="A26" s="3"/>
      <c r="B26" s="3"/>
      <c r="C26" s="333"/>
      <c r="D26" s="937" t="s">
        <v>974</v>
      </c>
      <c r="E26" s="334"/>
      <c r="F26" s="334"/>
      <c r="G26" s="334"/>
      <c r="H26" s="334"/>
      <c r="I26" s="334"/>
      <c r="J26" s="334"/>
      <c r="K26" s="323"/>
      <c r="L26" s="3"/>
      <c r="M26" s="3"/>
      <c r="N26" s="3"/>
      <c r="O26" s="3"/>
      <c r="P26" s="3"/>
    </row>
    <row r="27" spans="1:16">
      <c r="A27" s="3"/>
      <c r="B27" s="3"/>
      <c r="C27" s="333"/>
      <c r="D27" s="334" t="s">
        <v>975</v>
      </c>
      <c r="E27" s="946">
        <v>0.49</v>
      </c>
      <c r="F27" s="947" t="s">
        <v>986</v>
      </c>
      <c r="G27" s="665">
        <f>Frequency!$M$10</f>
        <v>1265</v>
      </c>
      <c r="H27" s="334" t="s">
        <v>172</v>
      </c>
      <c r="I27" s="1049">
        <f>I19*E27</f>
        <v>0.2989</v>
      </c>
      <c r="J27" s="334" t="s">
        <v>770</v>
      </c>
      <c r="K27" s="323"/>
      <c r="L27" s="3"/>
      <c r="M27" s="3"/>
      <c r="N27" s="3"/>
      <c r="O27" s="3"/>
      <c r="P27" s="3"/>
    </row>
    <row r="28" spans="1:16">
      <c r="A28" s="3"/>
      <c r="B28" s="3"/>
      <c r="C28" s="333"/>
      <c r="D28" s="937" t="s">
        <v>976</v>
      </c>
      <c r="E28" s="946">
        <v>0.13400000000000001</v>
      </c>
      <c r="F28" s="947" t="s">
        <v>986</v>
      </c>
      <c r="G28" s="665">
        <f>Frequency!$M$10</f>
        <v>1265</v>
      </c>
      <c r="H28" s="334" t="s">
        <v>172</v>
      </c>
      <c r="I28" s="1049">
        <f>I20*E28</f>
        <v>0.91924000000000006</v>
      </c>
      <c r="J28" s="334" t="s">
        <v>770</v>
      </c>
      <c r="K28" s="323"/>
      <c r="L28" s="3"/>
      <c r="M28" s="3"/>
      <c r="N28" s="3"/>
      <c r="O28" s="3"/>
      <c r="P28" s="3"/>
    </row>
    <row r="29" spans="1:16">
      <c r="A29" s="3"/>
      <c r="B29" s="3"/>
      <c r="C29" s="333"/>
      <c r="D29" s="937" t="s">
        <v>977</v>
      </c>
      <c r="E29" s="946"/>
      <c r="F29" s="947" t="s">
        <v>986</v>
      </c>
      <c r="G29" s="665">
        <f>Frequency!$M$10</f>
        <v>1265</v>
      </c>
      <c r="H29" s="334" t="s">
        <v>172</v>
      </c>
      <c r="I29" s="1049">
        <f>I21*E29</f>
        <v>0</v>
      </c>
      <c r="J29" s="334" t="s">
        <v>770</v>
      </c>
      <c r="K29" s="323"/>
      <c r="L29" s="3"/>
      <c r="M29" s="3"/>
      <c r="N29" s="3"/>
      <c r="O29" s="3"/>
      <c r="P29" s="3"/>
    </row>
    <row r="30" spans="1:16">
      <c r="A30" s="3"/>
      <c r="B30" s="3"/>
      <c r="C30" s="333"/>
      <c r="D30" s="937" t="s">
        <v>1054</v>
      </c>
      <c r="E30" s="946"/>
      <c r="F30" s="947" t="s">
        <v>986</v>
      </c>
      <c r="G30" s="665">
        <f>Frequency!$M$10</f>
        <v>1265</v>
      </c>
      <c r="H30" s="334" t="s">
        <v>172</v>
      </c>
      <c r="I30" s="1049">
        <f>I22*E30</f>
        <v>0</v>
      </c>
      <c r="J30" s="334" t="s">
        <v>770</v>
      </c>
      <c r="K30" s="323"/>
      <c r="L30" s="3"/>
      <c r="M30" s="3"/>
      <c r="N30" s="3"/>
      <c r="O30" s="3"/>
      <c r="P30" s="3"/>
    </row>
    <row r="31" spans="1:16">
      <c r="A31" s="3"/>
      <c r="B31" s="3"/>
      <c r="C31" s="333"/>
      <c r="D31" s="334"/>
      <c r="E31" s="338"/>
      <c r="F31" s="334"/>
      <c r="G31" s="336"/>
      <c r="H31" s="334"/>
      <c r="I31" s="955"/>
      <c r="J31" s="334"/>
      <c r="K31" s="323"/>
      <c r="L31" s="3"/>
      <c r="M31" s="667"/>
      <c r="N31" s="3"/>
      <c r="O31" s="3"/>
      <c r="P31" s="3"/>
    </row>
    <row r="32" spans="1:16">
      <c r="A32" s="3"/>
      <c r="B32" s="3"/>
      <c r="C32" s="333"/>
      <c r="D32" s="937" t="s">
        <v>1055</v>
      </c>
      <c r="E32" s="338"/>
      <c r="F32" s="334"/>
      <c r="G32" s="336"/>
      <c r="H32" s="334"/>
      <c r="I32" s="1048">
        <f>SUM(I27:I30)</f>
        <v>1.21814</v>
      </c>
      <c r="J32" s="937" t="s">
        <v>770</v>
      </c>
      <c r="K32" s="323"/>
      <c r="L32" s="3"/>
      <c r="M32" s="667"/>
      <c r="N32" s="3"/>
      <c r="O32" s="3"/>
      <c r="P32" s="3"/>
    </row>
    <row r="33" spans="1:16">
      <c r="A33" s="3"/>
      <c r="B33" s="3"/>
      <c r="C33" s="333"/>
      <c r="D33" s="334"/>
      <c r="E33" s="338"/>
      <c r="F33" s="334"/>
      <c r="G33" s="336"/>
      <c r="H33" s="334"/>
      <c r="I33" s="336"/>
      <c r="J33" s="334"/>
      <c r="K33" s="323"/>
      <c r="L33" s="3"/>
      <c r="M33" s="667"/>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937" t="s">
        <v>984</v>
      </c>
      <c r="G36" s="334"/>
      <c r="H36" s="334"/>
      <c r="I36" s="942">
        <f>E36*0.05</f>
        <v>0.2</v>
      </c>
      <c r="J36" s="334" t="s">
        <v>770</v>
      </c>
      <c r="K36" s="323"/>
      <c r="L36" s="79"/>
      <c r="M36" s="3"/>
      <c r="N36" s="3"/>
      <c r="O36" s="3"/>
      <c r="P36" s="3"/>
    </row>
    <row r="37" spans="1:16">
      <c r="A37" s="3"/>
      <c r="B37" s="3"/>
      <c r="C37" s="333"/>
      <c r="D37" s="334" t="s">
        <v>171</v>
      </c>
      <c r="E37" s="337" t="s">
        <v>183</v>
      </c>
      <c r="F37" s="489"/>
      <c r="G37" s="371"/>
      <c r="H37" s="334"/>
      <c r="I37" s="345"/>
      <c r="J37" s="334" t="s">
        <v>770</v>
      </c>
      <c r="K37" s="323"/>
      <c r="L37" s="3"/>
      <c r="M37" s="3"/>
      <c r="N37" s="3"/>
      <c r="O37" s="3"/>
      <c r="P37" s="3"/>
    </row>
    <row r="38" spans="1:16">
      <c r="A38" s="3"/>
      <c r="B38" s="3"/>
      <c r="C38" s="333"/>
      <c r="D38" s="334" t="s">
        <v>171</v>
      </c>
      <c r="E38" s="337" t="s">
        <v>183</v>
      </c>
      <c r="F38" s="489" t="s">
        <v>1000</v>
      </c>
      <c r="G38" s="371"/>
      <c r="H38" s="334"/>
      <c r="I38" s="345">
        <v>0.1</v>
      </c>
      <c r="J38" s="334" t="s">
        <v>770</v>
      </c>
      <c r="K38" s="323"/>
      <c r="L38" s="3"/>
      <c r="M38" s="3"/>
      <c r="N38" s="3"/>
      <c r="O38" s="3"/>
      <c r="P38" s="3"/>
    </row>
    <row r="39" spans="1:16">
      <c r="A39" s="3"/>
      <c r="B39" s="3"/>
      <c r="C39" s="333"/>
      <c r="D39" s="334" t="s">
        <v>171</v>
      </c>
      <c r="E39" s="337" t="s">
        <v>183</v>
      </c>
      <c r="F39" s="489"/>
      <c r="G39" s="371"/>
      <c r="H39" s="334"/>
      <c r="I39" s="345"/>
      <c r="J39" s="334" t="s">
        <v>770</v>
      </c>
      <c r="K39" s="323"/>
      <c r="L39" s="3"/>
      <c r="M39" s="3"/>
      <c r="N39" s="3"/>
      <c r="O39" s="3"/>
      <c r="P39" s="3"/>
    </row>
    <row r="40" spans="1:16">
      <c r="A40" s="3"/>
      <c r="B40" s="3"/>
      <c r="C40" s="333"/>
      <c r="D40" s="334"/>
      <c r="E40" s="337"/>
      <c r="F40" s="339"/>
      <c r="G40" s="334"/>
      <c r="H40" s="334"/>
      <c r="I40" s="335"/>
      <c r="J40" s="334"/>
      <c r="K40" s="323"/>
      <c r="L40" s="3"/>
      <c r="M40" s="3"/>
      <c r="N40" s="3"/>
      <c r="O40" s="3"/>
      <c r="P40" s="3"/>
    </row>
    <row r="41" spans="1:16">
      <c r="A41" s="3"/>
      <c r="B41" s="3"/>
      <c r="C41" s="333"/>
      <c r="D41" s="334" t="s">
        <v>176</v>
      </c>
      <c r="E41" s="334"/>
      <c r="F41" s="334" t="s">
        <v>444</v>
      </c>
      <c r="G41" s="334"/>
      <c r="H41" s="334"/>
      <c r="I41" s="345">
        <v>0.18</v>
      </c>
      <c r="J41" s="334" t="s">
        <v>770</v>
      </c>
      <c r="K41" s="323"/>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9">
        <f>SUM(I32:I41)</f>
        <v>1.69814</v>
      </c>
      <c r="J43" s="334" t="s">
        <v>770</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2.2812600867203758</v>
      </c>
      <c r="J45" s="334" t="s">
        <v>795</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728</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19" t="s">
        <v>1023</v>
      </c>
      <c r="D52" s="1020"/>
      <c r="E52" s="1020"/>
      <c r="F52" s="180"/>
      <c r="G52" s="180"/>
      <c r="H52" s="180"/>
      <c r="I52" s="180"/>
      <c r="J52" s="180"/>
      <c r="K52" s="950"/>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1017</v>
      </c>
      <c r="D60" s="141"/>
      <c r="E60" s="345">
        <v>0.25</v>
      </c>
      <c r="F60" s="141" t="s">
        <v>160</v>
      </c>
      <c r="G60" s="408">
        <f>10*LOG10(E60)</f>
        <v>-6.0205999132796242</v>
      </c>
      <c r="H60" s="141" t="s">
        <v>161</v>
      </c>
      <c r="I60" s="328">
        <f>G60+30</f>
        <v>23.979400086720375</v>
      </c>
      <c r="J60" s="141" t="s">
        <v>796</v>
      </c>
      <c r="K60" s="182" t="s">
        <v>728</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728</v>
      </c>
      <c r="G62" s="141"/>
      <c r="H62" s="141"/>
      <c r="I62" s="141"/>
      <c r="J62" s="141"/>
      <c r="K62" s="182"/>
      <c r="L62" s="3"/>
      <c r="M62" s="3"/>
      <c r="N62" s="3"/>
      <c r="O62" s="3"/>
      <c r="P62" s="3"/>
    </row>
    <row r="63" spans="1:16">
      <c r="A63" s="3"/>
      <c r="B63" s="3"/>
      <c r="C63" s="177"/>
      <c r="D63" s="141" t="s">
        <v>177</v>
      </c>
      <c r="E63" s="489" t="s">
        <v>1022</v>
      </c>
      <c r="F63" s="939"/>
      <c r="G63" s="141"/>
      <c r="H63" s="141"/>
      <c r="I63" s="957">
        <v>6.0000000000000001E-3</v>
      </c>
      <c r="J63" s="141" t="s">
        <v>768</v>
      </c>
      <c r="K63" s="182"/>
      <c r="L63" s="3"/>
      <c r="M63" s="3"/>
      <c r="N63" s="3"/>
      <c r="O63" s="3"/>
      <c r="P63" s="3"/>
    </row>
    <row r="64" spans="1:16">
      <c r="A64" s="3"/>
      <c r="B64" s="3"/>
      <c r="C64" s="177"/>
      <c r="D64" s="141" t="s">
        <v>178</v>
      </c>
      <c r="E64" s="489"/>
      <c r="F64" s="939"/>
      <c r="G64" s="141"/>
      <c r="H64" s="141"/>
      <c r="I64" s="957"/>
      <c r="J64" s="141" t="s">
        <v>768</v>
      </c>
      <c r="K64" s="182"/>
      <c r="L64" s="3"/>
      <c r="M64" s="3"/>
      <c r="N64" s="3"/>
      <c r="O64" s="3"/>
      <c r="P64" s="3"/>
    </row>
    <row r="65" spans="1:16">
      <c r="A65" s="3"/>
      <c r="B65" s="3"/>
      <c r="C65" s="177"/>
      <c r="D65" s="141" t="s">
        <v>179</v>
      </c>
      <c r="E65" s="489"/>
      <c r="F65" s="939"/>
      <c r="G65" s="141"/>
      <c r="H65" s="141"/>
      <c r="I65" s="957"/>
      <c r="J65" s="141" t="s">
        <v>768</v>
      </c>
      <c r="K65" s="182"/>
      <c r="L65" s="3"/>
      <c r="M65" s="3"/>
      <c r="N65" s="3"/>
      <c r="O65" s="3"/>
      <c r="P65" s="3"/>
    </row>
    <row r="66" spans="1:16">
      <c r="A66" s="3"/>
      <c r="B66" s="3"/>
      <c r="C66" s="177"/>
      <c r="D66" s="141"/>
      <c r="E66" s="141"/>
      <c r="F66" s="141" t="s">
        <v>728</v>
      </c>
      <c r="G66" s="141"/>
      <c r="H66" s="141"/>
      <c r="I66" s="141"/>
      <c r="J66" s="141" t="s">
        <v>728</v>
      </c>
      <c r="K66" s="182"/>
      <c r="L66" s="3"/>
      <c r="M66" s="3"/>
      <c r="N66" s="3"/>
      <c r="O66" s="3"/>
      <c r="P66" s="3"/>
    </row>
    <row r="67" spans="1:16">
      <c r="A67" s="3"/>
      <c r="B67" s="3"/>
      <c r="C67" s="177"/>
      <c r="D67" s="141" t="s">
        <v>180</v>
      </c>
      <c r="E67" s="141"/>
      <c r="F67" s="141" t="s">
        <v>728</v>
      </c>
      <c r="G67" s="141"/>
      <c r="H67" s="141"/>
      <c r="I67" s="668">
        <f>SUM(I63:I65)</f>
        <v>6.0000000000000001E-3</v>
      </c>
      <c r="J67" s="141" t="s">
        <v>768</v>
      </c>
      <c r="K67" s="182"/>
      <c r="L67" s="3"/>
      <c r="M67" s="3"/>
      <c r="N67" s="3"/>
      <c r="O67" s="3"/>
      <c r="P67" s="3"/>
    </row>
    <row r="68" spans="1:16">
      <c r="A68" s="3"/>
      <c r="B68" s="3"/>
      <c r="C68" s="177"/>
      <c r="D68" s="141"/>
      <c r="E68" s="141"/>
      <c r="F68" s="141"/>
      <c r="G68" s="141"/>
      <c r="H68" s="141"/>
      <c r="I68" s="668"/>
      <c r="J68" s="141"/>
      <c r="K68" s="182"/>
      <c r="L68" s="3"/>
      <c r="M68" s="3"/>
      <c r="N68" s="3"/>
      <c r="O68" s="3"/>
      <c r="P68" s="3"/>
    </row>
    <row r="69" spans="1:16">
      <c r="A69" s="3"/>
      <c r="B69" s="3"/>
      <c r="C69" s="177"/>
      <c r="D69" s="141" t="s">
        <v>980</v>
      </c>
      <c r="E69" s="141"/>
      <c r="F69" s="141"/>
      <c r="G69" s="141"/>
      <c r="H69" s="141"/>
      <c r="I69" s="668"/>
      <c r="J69" s="141"/>
      <c r="K69" s="182"/>
      <c r="L69" s="3"/>
      <c r="M69" s="3"/>
      <c r="N69" s="3"/>
      <c r="O69" s="3"/>
      <c r="P69" s="3"/>
    </row>
    <row r="70" spans="1:16">
      <c r="A70" s="3"/>
      <c r="B70" s="3"/>
      <c r="C70" s="177"/>
      <c r="D70" s="141" t="s">
        <v>975</v>
      </c>
      <c r="E70" s="946">
        <v>1.26</v>
      </c>
      <c r="F70" s="192" t="s">
        <v>986</v>
      </c>
      <c r="G70" s="415">
        <f>Frequency!$M$16</f>
        <v>436.5</v>
      </c>
      <c r="H70" s="141" t="s">
        <v>172</v>
      </c>
      <c r="I70" s="1047">
        <f>I63*E70</f>
        <v>7.5599999999999999E-3</v>
      </c>
      <c r="J70" s="141" t="s">
        <v>770</v>
      </c>
      <c r="K70" s="182"/>
      <c r="L70" s="3"/>
      <c r="M70" s="3"/>
      <c r="N70" s="3"/>
      <c r="O70" s="3"/>
      <c r="P70" s="3"/>
    </row>
    <row r="71" spans="1:16">
      <c r="A71" s="3"/>
      <c r="B71" s="3"/>
      <c r="C71" s="177"/>
      <c r="D71" s="141" t="s">
        <v>976</v>
      </c>
      <c r="E71" s="946"/>
      <c r="F71" s="192" t="s">
        <v>986</v>
      </c>
      <c r="G71" s="415">
        <f>Frequency!$M$16</f>
        <v>436.5</v>
      </c>
      <c r="H71" s="141" t="s">
        <v>172</v>
      </c>
      <c r="I71" s="1047">
        <f t="shared" ref="I71:I72" si="0">I64*E71</f>
        <v>0</v>
      </c>
      <c r="J71" s="141" t="s">
        <v>770</v>
      </c>
      <c r="K71" s="182"/>
      <c r="L71" s="3"/>
      <c r="M71" s="3"/>
      <c r="N71" s="3"/>
      <c r="O71" s="3"/>
      <c r="P71" s="3"/>
    </row>
    <row r="72" spans="1:16">
      <c r="A72" s="3"/>
      <c r="B72" s="3"/>
      <c r="C72" s="177"/>
      <c r="D72" s="141" t="s">
        <v>977</v>
      </c>
      <c r="E72" s="946"/>
      <c r="F72" s="192" t="s">
        <v>986</v>
      </c>
      <c r="G72" s="415">
        <f>Frequency!$M$16</f>
        <v>436.5</v>
      </c>
      <c r="H72" s="141" t="s">
        <v>172</v>
      </c>
      <c r="I72" s="1047">
        <f t="shared" si="0"/>
        <v>0</v>
      </c>
      <c r="J72" s="141" t="s">
        <v>770</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978</v>
      </c>
      <c r="E74" s="330"/>
      <c r="F74" s="141"/>
      <c r="G74" s="192"/>
      <c r="H74" s="141"/>
      <c r="I74" s="1050">
        <f>SUM(I70:I72)</f>
        <v>7.5599999999999999E-3</v>
      </c>
      <c r="J74" s="141" t="s">
        <v>770</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1</v>
      </c>
      <c r="F78" s="940" t="s">
        <v>985</v>
      </c>
      <c r="G78" s="141"/>
      <c r="H78" s="141"/>
      <c r="I78" s="941">
        <f>E78*0.05</f>
        <v>0.05</v>
      </c>
      <c r="J78" s="141" t="s">
        <v>770</v>
      </c>
      <c r="K78" s="943"/>
      <c r="L78" s="3"/>
      <c r="M78" s="3"/>
      <c r="N78" s="3"/>
      <c r="O78" s="3"/>
      <c r="P78" s="3"/>
    </row>
    <row r="79" spans="1:16">
      <c r="A79" s="3"/>
      <c r="B79" s="3"/>
      <c r="C79" s="177"/>
      <c r="D79" s="141" t="s">
        <v>171</v>
      </c>
      <c r="E79" s="142" t="s">
        <v>183</v>
      </c>
      <c r="F79" s="928" t="s">
        <v>981</v>
      </c>
      <c r="G79" s="371"/>
      <c r="H79" s="141"/>
      <c r="I79" s="345">
        <v>0.18</v>
      </c>
      <c r="J79" s="141" t="s">
        <v>770</v>
      </c>
      <c r="K79" s="182"/>
      <c r="L79" s="3"/>
      <c r="M79" s="3"/>
      <c r="N79" s="3"/>
      <c r="O79" s="3"/>
      <c r="P79" s="3"/>
    </row>
    <row r="80" spans="1:16">
      <c r="A80" s="3"/>
      <c r="B80" s="3"/>
      <c r="C80" s="177"/>
      <c r="D80" s="141" t="s">
        <v>171</v>
      </c>
      <c r="E80" s="142" t="s">
        <v>183</v>
      </c>
      <c r="F80" s="928" t="s">
        <v>982</v>
      </c>
      <c r="G80" s="371"/>
      <c r="H80" s="141"/>
      <c r="I80" s="345">
        <v>0.2</v>
      </c>
      <c r="J80" s="141" t="s">
        <v>770</v>
      </c>
      <c r="K80" s="182"/>
      <c r="L80" s="3"/>
      <c r="M80" s="3"/>
      <c r="N80" s="3"/>
      <c r="O80" s="3"/>
      <c r="P80" s="3"/>
    </row>
    <row r="81" spans="1:16">
      <c r="A81" s="3"/>
      <c r="B81" s="3"/>
      <c r="C81" s="177"/>
      <c r="D81" s="141" t="s">
        <v>171</v>
      </c>
      <c r="E81" s="142" t="s">
        <v>183</v>
      </c>
      <c r="F81" s="928" t="s">
        <v>1021</v>
      </c>
      <c r="G81" s="371"/>
      <c r="H81" s="141"/>
      <c r="I81" s="345">
        <v>0.1</v>
      </c>
      <c r="J81" s="141" t="s">
        <v>770</v>
      </c>
      <c r="K81" s="182"/>
      <c r="L81" s="3"/>
      <c r="M81" s="3"/>
      <c r="N81" s="3"/>
      <c r="O81" s="3"/>
      <c r="P81" s="3"/>
    </row>
    <row r="82" spans="1:16">
      <c r="A82" s="3"/>
      <c r="B82" s="3"/>
      <c r="C82" s="177"/>
      <c r="D82" s="141"/>
      <c r="E82" s="142"/>
      <c r="F82" s="693"/>
      <c r="G82" s="141"/>
      <c r="H82" s="141"/>
      <c r="I82" s="329"/>
      <c r="J82" s="141"/>
      <c r="K82" s="182"/>
      <c r="L82" s="3"/>
      <c r="M82" s="3"/>
      <c r="N82" s="3"/>
      <c r="O82" s="3"/>
      <c r="P82" s="3"/>
    </row>
    <row r="83" spans="1:16">
      <c r="A83" s="3"/>
      <c r="B83" s="3"/>
      <c r="C83" s="177"/>
      <c r="D83" s="141" t="s">
        <v>176</v>
      </c>
      <c r="E83" s="141"/>
      <c r="F83" s="141" t="s">
        <v>444</v>
      </c>
      <c r="G83" s="141"/>
      <c r="H83" s="141"/>
      <c r="I83" s="345">
        <v>0.18</v>
      </c>
      <c r="J83" s="141" t="s">
        <v>770</v>
      </c>
      <c r="K83" s="182"/>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9">
        <f>SUM(I74:I83)</f>
        <v>0.71755999999999998</v>
      </c>
      <c r="J85" s="141" t="s">
        <v>770</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-6.7381599132796239</v>
      </c>
      <c r="J87" s="141" t="s">
        <v>795</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3" t="str">
        <f>'Title Page'!F3</f>
        <v>OreSat - CS0</v>
      </c>
      <c r="I1" s="127"/>
      <c r="J1" s="127"/>
      <c r="K1" s="642" t="str">
        <f>'Title Page'!F23</f>
        <v>2019 May 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21" t="s">
        <v>1023</v>
      </c>
      <c r="D8" s="1022"/>
      <c r="E8" s="1022"/>
      <c r="F8" s="1022"/>
      <c r="G8" s="1022"/>
      <c r="H8" s="332"/>
      <c r="I8" s="332"/>
      <c r="J8" s="332"/>
      <c r="K8" s="332"/>
      <c r="L8" s="332"/>
      <c r="M8" s="960"/>
      <c r="N8" s="332"/>
      <c r="O8" s="332"/>
      <c r="P8" s="332"/>
      <c r="Q8" s="961"/>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9" t="s">
        <v>1020</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944</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945</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946</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953</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947</v>
      </c>
      <c r="E28" s="334"/>
      <c r="F28" s="334"/>
      <c r="G28" s="334"/>
      <c r="H28" s="334"/>
      <c r="I28" s="241" t="s">
        <v>241</v>
      </c>
      <c r="J28" s="334"/>
      <c r="K28" s="334"/>
      <c r="L28" s="334"/>
      <c r="M28" s="323"/>
      <c r="N28" s="3"/>
      <c r="O28" s="3"/>
      <c r="P28" s="3"/>
      <c r="Q28" s="3"/>
      <c r="R28" s="3"/>
      <c r="S28" s="3"/>
      <c r="T28" s="3"/>
      <c r="U28" s="3"/>
      <c r="V28" s="3"/>
      <c r="W28" s="3"/>
      <c r="X28" s="3"/>
      <c r="Y28" s="3"/>
      <c r="Z28" s="3"/>
      <c r="AA28" s="3"/>
    </row>
    <row r="29" spans="1:27">
      <c r="A29" s="3"/>
      <c r="B29" s="3"/>
      <c r="C29" s="333"/>
      <c r="D29" s="354" t="s">
        <v>948</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949</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950</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7" t="s">
        <v>951</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728</v>
      </c>
      <c r="E38" s="334" t="s">
        <v>177</v>
      </c>
      <c r="F38" s="334"/>
      <c r="G38" s="489" t="s">
        <v>1022</v>
      </c>
      <c r="H38" s="939"/>
      <c r="I38" s="334"/>
      <c r="J38" s="957">
        <v>6.0000000000000001E-3</v>
      </c>
      <c r="K38" s="334" t="s">
        <v>768</v>
      </c>
      <c r="L38" s="334"/>
      <c r="M38" s="323"/>
      <c r="N38" s="3"/>
      <c r="O38" s="3"/>
      <c r="P38" s="3"/>
      <c r="Q38" s="3"/>
      <c r="R38" s="3"/>
      <c r="S38" s="3"/>
      <c r="T38" s="3"/>
      <c r="U38" s="3"/>
      <c r="V38" s="3"/>
      <c r="W38" s="3"/>
      <c r="X38" s="3"/>
      <c r="Y38" s="3"/>
      <c r="Z38" s="3"/>
      <c r="AA38" s="3"/>
    </row>
    <row r="39" spans="1:27">
      <c r="A39" s="3"/>
      <c r="B39" s="3"/>
      <c r="C39" s="333"/>
      <c r="D39" s="334"/>
      <c r="E39" s="334" t="s">
        <v>178</v>
      </c>
      <c r="F39" s="334"/>
      <c r="G39" s="489"/>
      <c r="H39" s="939"/>
      <c r="I39" s="334"/>
      <c r="J39" s="957"/>
      <c r="K39" s="334" t="s">
        <v>768</v>
      </c>
      <c r="L39" s="334"/>
      <c r="M39" s="323"/>
      <c r="N39" s="3"/>
      <c r="O39" s="3"/>
      <c r="P39" s="3"/>
      <c r="Q39" s="3"/>
      <c r="R39" s="3"/>
      <c r="S39" s="3"/>
      <c r="T39" s="3"/>
      <c r="U39" s="3"/>
      <c r="V39" s="3"/>
      <c r="W39" s="3"/>
      <c r="X39" s="3"/>
      <c r="Y39" s="3"/>
      <c r="Z39" s="3"/>
      <c r="AA39" s="3"/>
    </row>
    <row r="40" spans="1:27">
      <c r="A40" s="3"/>
      <c r="B40" s="3"/>
      <c r="C40" s="333"/>
      <c r="D40" s="334"/>
      <c r="E40" s="334" t="s">
        <v>179</v>
      </c>
      <c r="F40" s="334"/>
      <c r="G40" s="489"/>
      <c r="H40" s="939"/>
      <c r="I40" s="334"/>
      <c r="J40" s="957"/>
      <c r="K40" s="334" t="s">
        <v>768</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7" t="s">
        <v>980</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7" t="s">
        <v>975</v>
      </c>
      <c r="F43" s="334"/>
      <c r="G43" s="334"/>
      <c r="H43" s="946">
        <v>3.39</v>
      </c>
      <c r="I43" s="947" t="s">
        <v>986</v>
      </c>
      <c r="J43" s="944">
        <f>Frequency!$M$10</f>
        <v>1265</v>
      </c>
      <c r="K43" s="334" t="s">
        <v>767</v>
      </c>
      <c r="L43" s="334"/>
      <c r="M43" s="323"/>
      <c r="N43" s="3"/>
      <c r="O43" s="3"/>
      <c r="P43" s="3"/>
      <c r="Q43" s="3"/>
      <c r="R43" s="3"/>
      <c r="S43" s="3"/>
      <c r="T43" s="3"/>
      <c r="U43" s="3"/>
      <c r="V43" s="3"/>
      <c r="W43" s="3"/>
      <c r="X43" s="3"/>
      <c r="Y43" s="3"/>
      <c r="Z43" s="3"/>
      <c r="AA43" s="3"/>
    </row>
    <row r="44" spans="1:27">
      <c r="A44" s="3"/>
      <c r="B44" s="3"/>
      <c r="C44" s="333"/>
      <c r="D44" s="334"/>
      <c r="E44" s="937" t="s">
        <v>976</v>
      </c>
      <c r="F44" s="334"/>
      <c r="G44" s="334"/>
      <c r="H44" s="946"/>
      <c r="I44" s="947" t="s">
        <v>986</v>
      </c>
      <c r="J44" s="944">
        <f>Frequency!$M$10</f>
        <v>1265</v>
      </c>
      <c r="K44" s="334" t="s">
        <v>767</v>
      </c>
      <c r="L44" s="334"/>
      <c r="M44" s="323"/>
      <c r="N44" s="3"/>
      <c r="O44" s="3"/>
      <c r="P44" s="3"/>
      <c r="Q44" s="3"/>
      <c r="R44" s="3"/>
      <c r="S44" s="3"/>
      <c r="T44" s="3"/>
      <c r="U44" s="3"/>
      <c r="V44" s="3"/>
      <c r="W44" s="3"/>
      <c r="X44" s="3"/>
      <c r="Y44" s="3"/>
      <c r="Z44" s="3"/>
      <c r="AA44" s="3"/>
    </row>
    <row r="45" spans="1:27" ht="13">
      <c r="A45" s="3"/>
      <c r="B45" s="3"/>
      <c r="C45" s="333"/>
      <c r="D45" s="334"/>
      <c r="E45" s="937" t="s">
        <v>977</v>
      </c>
      <c r="F45" s="334"/>
      <c r="G45" s="334"/>
      <c r="H45" s="946"/>
      <c r="I45" s="947" t="s">
        <v>986</v>
      </c>
      <c r="J45" s="944">
        <f>Frequency!$M$10</f>
        <v>1265</v>
      </c>
      <c r="K45" s="334" t="s">
        <v>767</v>
      </c>
      <c r="L45" s="334"/>
      <c r="M45" s="323"/>
      <c r="N45" s="3"/>
      <c r="O45" s="360" t="s">
        <v>690</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46">
        <f>J38*H43</f>
        <v>2.034E-2</v>
      </c>
      <c r="K47" s="945" t="s">
        <v>770</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46">
        <f t="shared" ref="J48:J49" si="0">J39*H44</f>
        <v>0</v>
      </c>
      <c r="K48" s="945" t="s">
        <v>770</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46">
        <f t="shared" si="0"/>
        <v>0</v>
      </c>
      <c r="K49" s="334" t="s">
        <v>770</v>
      </c>
      <c r="L49" s="334"/>
      <c r="M49" s="323"/>
      <c r="N49" s="3"/>
      <c r="O49" s="295"/>
      <c r="P49" s="297"/>
      <c r="Q49" s="297" t="s">
        <v>232</v>
      </c>
      <c r="R49" s="297"/>
      <c r="S49" s="297"/>
      <c r="T49" s="719" t="s">
        <v>223</v>
      </c>
      <c r="U49" s="241">
        <f>J61</f>
        <v>290</v>
      </c>
      <c r="V49" s="361" t="s">
        <v>798</v>
      </c>
      <c r="W49" s="3"/>
      <c r="X49" s="3"/>
      <c r="Y49" s="3"/>
      <c r="Z49" s="3"/>
      <c r="AA49" s="3"/>
    </row>
    <row r="50" spans="1:27">
      <c r="A50" s="3"/>
      <c r="B50" s="3"/>
      <c r="C50" s="333"/>
      <c r="D50" s="334"/>
      <c r="E50" s="334" t="s">
        <v>213</v>
      </c>
      <c r="F50" s="334"/>
      <c r="G50" s="334"/>
      <c r="H50" s="334"/>
      <c r="I50" s="334" t="s">
        <v>214</v>
      </c>
      <c r="J50" s="935">
        <v>0.85</v>
      </c>
      <c r="K50" s="334" t="s">
        <v>770</v>
      </c>
      <c r="L50" s="937"/>
      <c r="M50" s="958" t="s">
        <v>1012</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8">
        <v>0.1</v>
      </c>
      <c r="K51" s="334" t="s">
        <v>770</v>
      </c>
      <c r="L51" s="334"/>
      <c r="M51" s="958" t="s">
        <v>1021</v>
      </c>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8"/>
      <c r="K52" s="334" t="s">
        <v>770</v>
      </c>
      <c r="L52" s="334"/>
      <c r="M52" s="958"/>
      <c r="N52" s="3"/>
      <c r="O52" s="295"/>
      <c r="P52" s="297"/>
      <c r="Q52" s="362" t="s">
        <v>231</v>
      </c>
      <c r="R52" s="345">
        <v>0.44</v>
      </c>
      <c r="S52" s="297" t="s">
        <v>770</v>
      </c>
      <c r="T52" s="362" t="s">
        <v>234</v>
      </c>
      <c r="U52" s="351">
        <f>J61*(10^(R52/10)-1)</f>
        <v>30.920897353523213</v>
      </c>
      <c r="V52" s="361" t="s">
        <v>798</v>
      </c>
      <c r="W52" s="3"/>
      <c r="X52" s="3"/>
      <c r="Y52" s="3"/>
      <c r="Z52" s="3"/>
      <c r="AA52" s="3"/>
    </row>
    <row r="53" spans="1:27">
      <c r="A53" s="3"/>
      <c r="B53" s="3"/>
      <c r="C53" s="333"/>
      <c r="D53" s="334"/>
      <c r="E53" s="334" t="s">
        <v>238</v>
      </c>
      <c r="F53" s="334"/>
      <c r="G53" s="334"/>
      <c r="H53" s="264">
        <v>1</v>
      </c>
      <c r="I53" s="334" t="s">
        <v>239</v>
      </c>
      <c r="J53" s="951">
        <f>H53*0.05</f>
        <v>0.05</v>
      </c>
      <c r="K53" s="334" t="s">
        <v>770</v>
      </c>
      <c r="L53" s="334"/>
      <c r="M53" s="323"/>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1004">
        <f>SUM(J47:J53)</f>
        <v>1.02034</v>
      </c>
      <c r="K55" s="334" t="s">
        <v>770</v>
      </c>
      <c r="L55" s="334"/>
      <c r="M55" s="323"/>
      <c r="N55" s="3"/>
      <c r="O55" s="295"/>
      <c r="P55" s="297"/>
      <c r="Q55" s="362" t="s">
        <v>234</v>
      </c>
      <c r="R55" s="346">
        <v>500</v>
      </c>
      <c r="S55" s="297" t="s">
        <v>798</v>
      </c>
      <c r="T55" s="362" t="s">
        <v>235</v>
      </c>
      <c r="U55" s="359">
        <f>10*LOG10(1+(R55/J61))</f>
        <v>4.352290933914853</v>
      </c>
      <c r="V55" s="361" t="s">
        <v>770</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0.79061672985884013</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798</v>
      </c>
      <c r="L59" s="334"/>
      <c r="M59" s="323"/>
      <c r="N59" s="3"/>
      <c r="O59" s="973" t="s">
        <v>1003</v>
      </c>
      <c r="P59" s="974"/>
      <c r="Q59" s="974"/>
      <c r="R59" s="974"/>
      <c r="S59" s="974"/>
      <c r="T59" s="974"/>
      <c r="U59" s="974"/>
      <c r="V59" s="974"/>
      <c r="W59" s="974"/>
      <c r="X59" s="974"/>
      <c r="Y59" s="974"/>
      <c r="Z59" s="974"/>
      <c r="AA59" s="975"/>
    </row>
    <row r="60" spans="1:27">
      <c r="A60" s="3"/>
      <c r="B60" s="3"/>
      <c r="C60" s="333"/>
      <c r="D60" s="334"/>
      <c r="E60" s="334"/>
      <c r="F60" s="334"/>
      <c r="G60" s="334"/>
      <c r="H60" s="334"/>
      <c r="I60" s="334"/>
      <c r="J60" s="334"/>
      <c r="K60" s="334"/>
      <c r="L60" s="334"/>
      <c r="M60" s="323"/>
      <c r="N60" s="3"/>
      <c r="O60" s="976"/>
      <c r="P60" s="963"/>
      <c r="Q60" s="963"/>
      <c r="R60" s="963"/>
      <c r="S60" s="963"/>
      <c r="T60" s="963"/>
      <c r="U60" s="963"/>
      <c r="V60" s="963"/>
      <c r="W60" s="963"/>
      <c r="X60" s="963"/>
      <c r="Y60" s="963"/>
      <c r="Z60" s="963"/>
      <c r="AA60" s="977"/>
    </row>
    <row r="61" spans="1:27" ht="15" thickBot="1">
      <c r="A61" s="3"/>
      <c r="B61" s="3"/>
      <c r="C61" s="333"/>
      <c r="D61" s="334" t="s">
        <v>222</v>
      </c>
      <c r="E61" s="334"/>
      <c r="F61" s="334"/>
      <c r="G61" s="334"/>
      <c r="H61" s="334"/>
      <c r="I61" s="334" t="s">
        <v>223</v>
      </c>
      <c r="J61" s="347">
        <v>290</v>
      </c>
      <c r="K61" s="334" t="s">
        <v>798</v>
      </c>
      <c r="L61" s="334"/>
      <c r="M61" s="323"/>
      <c r="N61" s="3"/>
      <c r="O61" s="966" t="s">
        <v>988</v>
      </c>
      <c r="P61" s="964" t="s">
        <v>989</v>
      </c>
      <c r="Q61" s="965"/>
      <c r="R61" s="966" t="s">
        <v>990</v>
      </c>
      <c r="S61" s="966" t="s">
        <v>991</v>
      </c>
      <c r="T61" s="966"/>
      <c r="U61" s="966" t="s">
        <v>992</v>
      </c>
      <c r="V61" s="966" t="s">
        <v>993</v>
      </c>
      <c r="W61" s="966" t="s">
        <v>994</v>
      </c>
      <c r="X61" s="966" t="s">
        <v>995</v>
      </c>
      <c r="Y61" s="966" t="s">
        <v>996</v>
      </c>
      <c r="Z61" s="966" t="s">
        <v>997</v>
      </c>
      <c r="AA61" s="966" t="s">
        <v>998</v>
      </c>
    </row>
    <row r="62" spans="1:27">
      <c r="A62" s="3"/>
      <c r="B62" s="3"/>
      <c r="C62" s="333"/>
      <c r="D62" s="334"/>
      <c r="E62" s="334"/>
      <c r="F62" s="334"/>
      <c r="G62" s="334"/>
      <c r="H62" s="334"/>
      <c r="I62" s="334"/>
      <c r="J62" s="334"/>
      <c r="K62" s="334"/>
      <c r="L62" s="334"/>
      <c r="M62" s="323"/>
      <c r="N62" s="3"/>
      <c r="O62" s="978">
        <v>1</v>
      </c>
      <c r="P62" s="990" t="s">
        <v>1004</v>
      </c>
      <c r="Q62" s="991"/>
      <c r="R62" s="992">
        <v>-0.7</v>
      </c>
      <c r="S62" s="992">
        <v>0.7</v>
      </c>
      <c r="T62" s="967"/>
      <c r="U62" s="968">
        <f>IF(R62,10^(R62/10), "")</f>
        <v>0.85113803820237643</v>
      </c>
      <c r="V62" s="968">
        <f>IF(S62,10^(S62/10), "")</f>
        <v>1.1748975549395295</v>
      </c>
      <c r="W62" s="968">
        <f>IF(S62,1,"")</f>
        <v>1</v>
      </c>
      <c r="X62" s="967">
        <f>IF(S62,290*(V62-1), "")</f>
        <v>50.720290932463563</v>
      </c>
      <c r="Y62" s="967">
        <f t="shared" ref="Y62:Y71" si="1">IF(S62,X62/W62, "")</f>
        <v>50.720290932463563</v>
      </c>
      <c r="Z62" s="968">
        <f>IF(S62,(V62-1)/W62, "")</f>
        <v>0.17489755493952952</v>
      </c>
      <c r="AA62" s="968">
        <f>IF(S62,Z62+1, "")</f>
        <v>1.1748975549395295</v>
      </c>
    </row>
    <row r="63" spans="1:27">
      <c r="A63" s="3"/>
      <c r="B63" s="3"/>
      <c r="C63" s="333"/>
      <c r="D63" s="334" t="s">
        <v>224</v>
      </c>
      <c r="E63" s="334"/>
      <c r="F63" s="334"/>
      <c r="G63" s="334"/>
      <c r="H63" s="334"/>
      <c r="I63" s="334" t="s">
        <v>225</v>
      </c>
      <c r="J63" s="347">
        <v>31</v>
      </c>
      <c r="K63" s="334" t="s">
        <v>798</v>
      </c>
      <c r="L63" s="937"/>
      <c r="M63" s="323"/>
      <c r="N63" s="3"/>
      <c r="O63" s="978">
        <v>2</v>
      </c>
      <c r="P63" s="993" t="s">
        <v>1005</v>
      </c>
      <c r="Q63" s="994"/>
      <c r="R63" s="992">
        <v>-1.6</v>
      </c>
      <c r="S63" s="992">
        <v>1.6</v>
      </c>
      <c r="T63" s="967"/>
      <c r="U63" s="968">
        <f t="shared" ref="U63:V71" si="2">IF(R63,10^(R63/10), "")</f>
        <v>0.69183097091893653</v>
      </c>
      <c r="V63" s="968">
        <f t="shared" si="2"/>
        <v>1.4454397707459274</v>
      </c>
      <c r="W63" s="968">
        <f t="shared" ref="W63:W71" si="3">IF(S63,W62*U62, "")</f>
        <v>0.85113803820237643</v>
      </c>
      <c r="X63" s="967">
        <f t="shared" ref="X63:X71" si="4">IF(S63,290*(V63-1), "")</f>
        <v>129.17753351631896</v>
      </c>
      <c r="Y63" s="967">
        <f t="shared" si="1"/>
        <v>151.77036828144227</v>
      </c>
      <c r="Z63" s="968">
        <f t="shared" ref="Z63:Z71" si="5">IF(S63,(V63-1)/W63, "")</f>
        <v>0.52334609752221473</v>
      </c>
      <c r="AA63" s="968">
        <f>IF(S63, AA62+Z63, "")</f>
        <v>1.6982436524617444</v>
      </c>
    </row>
    <row r="64" spans="1:27">
      <c r="A64" s="3"/>
      <c r="B64" s="3"/>
      <c r="C64" s="333"/>
      <c r="D64" s="334"/>
      <c r="E64" s="334"/>
      <c r="F64" s="334"/>
      <c r="G64" s="334"/>
      <c r="H64" s="334"/>
      <c r="I64" s="334"/>
      <c r="J64" s="334"/>
      <c r="K64" s="334"/>
      <c r="L64" s="334"/>
      <c r="M64" s="999"/>
      <c r="N64" s="3"/>
      <c r="O64" s="978">
        <v>3</v>
      </c>
      <c r="P64" s="993" t="s">
        <v>1010</v>
      </c>
      <c r="Q64" s="994"/>
      <c r="R64" s="992">
        <v>17</v>
      </c>
      <c r="S64" s="992">
        <v>0.44</v>
      </c>
      <c r="T64" s="967"/>
      <c r="U64" s="968">
        <f t="shared" si="2"/>
        <v>50.118723362727238</v>
      </c>
      <c r="V64" s="968">
        <f t="shared" si="2"/>
        <v>1.1066237839776663</v>
      </c>
      <c r="W64" s="968">
        <f t="shared" si="3"/>
        <v>0.58884365535558902</v>
      </c>
      <c r="X64" s="967">
        <f t="shared" si="4"/>
        <v>30.920897353523213</v>
      </c>
      <c r="Y64" s="967">
        <f t="shared" si="1"/>
        <v>52.511217659041939</v>
      </c>
      <c r="Z64" s="968">
        <f t="shared" si="5"/>
        <v>0.18107316434152393</v>
      </c>
      <c r="AA64" s="968">
        <f t="shared" ref="AA64:AA71" si="6">IF(S64, AA63+Z64, "")</f>
        <v>1.8793168168032683</v>
      </c>
    </row>
    <row r="65" spans="1:27">
      <c r="A65" s="3"/>
      <c r="B65" s="3"/>
      <c r="C65" s="333"/>
      <c r="D65" s="334" t="s">
        <v>226</v>
      </c>
      <c r="E65" s="334"/>
      <c r="F65" s="348">
        <v>17</v>
      </c>
      <c r="G65" s="334" t="s">
        <v>770</v>
      </c>
      <c r="H65" s="334"/>
      <c r="I65" s="334" t="s">
        <v>227</v>
      </c>
      <c r="J65" s="355">
        <f>10^(F65/10)</f>
        <v>50.118723362727238</v>
      </c>
      <c r="K65" s="334"/>
      <c r="L65" s="334"/>
      <c r="M65" s="998" t="s">
        <v>1006</v>
      </c>
      <c r="N65" s="3"/>
      <c r="O65" s="978">
        <v>4</v>
      </c>
      <c r="P65" s="993" t="s">
        <v>1005</v>
      </c>
      <c r="Q65" s="994"/>
      <c r="R65" s="992">
        <v>-1.6</v>
      </c>
      <c r="S65" s="992">
        <v>1.6</v>
      </c>
      <c r="T65" s="967"/>
      <c r="U65" s="968">
        <f t="shared" si="2"/>
        <v>0.69183097091893653</v>
      </c>
      <c r="V65" s="968">
        <f t="shared" si="2"/>
        <v>1.4454397707459274</v>
      </c>
      <c r="W65" s="968">
        <f t="shared" si="3"/>
        <v>29.512092266663867</v>
      </c>
      <c r="X65" s="967">
        <f t="shared" si="4"/>
        <v>129.17753351631896</v>
      </c>
      <c r="Y65" s="967">
        <f t="shared" si="1"/>
        <v>4.3771052336480638</v>
      </c>
      <c r="Z65" s="968">
        <f t="shared" si="5"/>
        <v>1.5093466322924357E-2</v>
      </c>
      <c r="AA65" s="968">
        <f t="shared" si="6"/>
        <v>1.8944102831261926</v>
      </c>
    </row>
    <row r="66" spans="1:27">
      <c r="A66" s="3"/>
      <c r="B66" s="3"/>
      <c r="C66" s="333"/>
      <c r="D66" s="334"/>
      <c r="E66" s="334"/>
      <c r="F66" s="334"/>
      <c r="G66" s="334"/>
      <c r="H66" s="334"/>
      <c r="I66" s="334"/>
      <c r="J66" s="334"/>
      <c r="K66" s="334"/>
      <c r="L66" s="334"/>
      <c r="M66" s="323"/>
      <c r="N66" s="3"/>
      <c r="O66" s="978">
        <v>5</v>
      </c>
      <c r="P66" s="993" t="s">
        <v>1011</v>
      </c>
      <c r="Q66" s="994"/>
      <c r="R66" s="992">
        <v>-2</v>
      </c>
      <c r="S66" s="992">
        <v>2</v>
      </c>
      <c r="T66" s="967"/>
      <c r="U66" s="968">
        <f t="shared" si="2"/>
        <v>0.63095734448019325</v>
      </c>
      <c r="V66" s="968">
        <f t="shared" si="2"/>
        <v>1.5848931924611136</v>
      </c>
      <c r="W66" s="968">
        <f t="shared" si="3"/>
        <v>20.4173794466953</v>
      </c>
      <c r="X66" s="967">
        <f t="shared" si="4"/>
        <v>169.61902581372294</v>
      </c>
      <c r="Y66" s="967">
        <f t="shared" si="1"/>
        <v>8.3075806205471192</v>
      </c>
      <c r="Z66" s="968">
        <f t="shared" si="5"/>
        <v>2.8646829726024552E-2</v>
      </c>
      <c r="AA66" s="968">
        <f t="shared" si="6"/>
        <v>1.9230571128522171</v>
      </c>
    </row>
    <row r="67" spans="1:27" ht="13">
      <c r="A67" s="3"/>
      <c r="B67" s="3"/>
      <c r="C67" s="333"/>
      <c r="D67" s="334" t="s">
        <v>108</v>
      </c>
      <c r="E67" s="334"/>
      <c r="F67" s="334"/>
      <c r="G67" s="334"/>
      <c r="H67" s="334"/>
      <c r="I67" s="334" t="s">
        <v>682</v>
      </c>
      <c r="J67" s="380">
        <f>Y73</f>
        <v>1183.5970014408329</v>
      </c>
      <c r="K67" s="334" t="s">
        <v>798</v>
      </c>
      <c r="L67" s="334"/>
      <c r="M67" s="323"/>
      <c r="N67" s="3"/>
      <c r="O67" s="978">
        <v>8</v>
      </c>
      <c r="P67" s="993" t="s">
        <v>1007</v>
      </c>
      <c r="Q67" s="994"/>
      <c r="R67" s="992">
        <v>-6.5</v>
      </c>
      <c r="S67" s="992">
        <v>6.5</v>
      </c>
      <c r="T67" s="967"/>
      <c r="U67" s="968">
        <f t="shared" si="2"/>
        <v>0.22387211385683392</v>
      </c>
      <c r="V67" s="968">
        <f t="shared" si="2"/>
        <v>4.4668359215096318</v>
      </c>
      <c r="W67" s="968">
        <f t="shared" si="3"/>
        <v>12.882495516931344</v>
      </c>
      <c r="X67" s="967">
        <f t="shared" si="4"/>
        <v>1005.3824172377932</v>
      </c>
      <c r="Y67" s="967">
        <f t="shared" si="1"/>
        <v>78.042520249002095</v>
      </c>
      <c r="Z67" s="968">
        <f t="shared" si="5"/>
        <v>0.26911213878966239</v>
      </c>
      <c r="AA67" s="968">
        <f t="shared" si="6"/>
        <v>2.1921692516418796</v>
      </c>
    </row>
    <row r="68" spans="1:27">
      <c r="A68" s="3"/>
      <c r="B68" s="3"/>
      <c r="C68" s="333"/>
      <c r="D68" s="334"/>
      <c r="E68" s="334"/>
      <c r="F68" s="334"/>
      <c r="G68" s="334"/>
      <c r="H68" s="334"/>
      <c r="I68" s="334"/>
      <c r="J68" s="334"/>
      <c r="K68" s="334"/>
      <c r="L68" s="334"/>
      <c r="M68" s="323"/>
      <c r="N68" s="3"/>
      <c r="O68" s="978">
        <v>9</v>
      </c>
      <c r="P68" s="993" t="s">
        <v>1011</v>
      </c>
      <c r="Q68" s="994"/>
      <c r="R68" s="992">
        <v>-2</v>
      </c>
      <c r="S68" s="992">
        <v>2</v>
      </c>
      <c r="T68" s="967"/>
      <c r="U68" s="968">
        <f t="shared" si="2"/>
        <v>0.63095734448019325</v>
      </c>
      <c r="V68" s="968">
        <f t="shared" si="2"/>
        <v>1.5848931924611136</v>
      </c>
      <c r="W68" s="968">
        <f t="shared" si="3"/>
        <v>2.8840315031266064</v>
      </c>
      <c r="X68" s="967">
        <f t="shared" si="4"/>
        <v>169.61902581372294</v>
      </c>
      <c r="Y68" s="967">
        <f t="shared" si="1"/>
        <v>58.813166787476945</v>
      </c>
      <c r="Z68" s="968">
        <f t="shared" si="5"/>
        <v>0.20280402340509293</v>
      </c>
      <c r="AA68" s="968">
        <f t="shared" si="6"/>
        <v>2.3949732750469725</v>
      </c>
    </row>
    <row r="69" spans="1:27" ht="13">
      <c r="A69" s="3"/>
      <c r="B69" s="3"/>
      <c r="C69" s="333"/>
      <c r="D69" s="334"/>
      <c r="E69" s="334"/>
      <c r="F69" s="334"/>
      <c r="G69" s="334"/>
      <c r="H69" s="334"/>
      <c r="I69" s="334"/>
      <c r="J69" s="334"/>
      <c r="K69" s="334"/>
      <c r="L69" s="358"/>
      <c r="M69" s="323"/>
      <c r="N69" s="3"/>
      <c r="O69" s="978">
        <v>10</v>
      </c>
      <c r="P69" s="993" t="s">
        <v>1009</v>
      </c>
      <c r="Q69" s="994"/>
      <c r="R69" s="992">
        <v>-1.7</v>
      </c>
      <c r="S69" s="992">
        <v>1.7</v>
      </c>
      <c r="T69" s="967"/>
      <c r="U69" s="968">
        <f t="shared" si="2"/>
        <v>0.67608297539198181</v>
      </c>
      <c r="V69" s="968">
        <f t="shared" si="2"/>
        <v>1.4791083881682074</v>
      </c>
      <c r="W69" s="968">
        <f t="shared" si="3"/>
        <v>1.8197008586099837</v>
      </c>
      <c r="X69" s="967">
        <f t="shared" si="4"/>
        <v>138.94143256878016</v>
      </c>
      <c r="Y69" s="967">
        <f t="shared" si="1"/>
        <v>76.353996268877651</v>
      </c>
      <c r="Z69" s="968">
        <f t="shared" si="5"/>
        <v>0.26328964230647467</v>
      </c>
      <c r="AA69" s="968">
        <f t="shared" si="6"/>
        <v>2.6582629173534471</v>
      </c>
    </row>
    <row r="70" spans="1:27" ht="13">
      <c r="A70" s="3"/>
      <c r="B70" s="3"/>
      <c r="C70" s="333"/>
      <c r="D70" s="334" t="s">
        <v>228</v>
      </c>
      <c r="E70" s="334"/>
      <c r="F70" s="334"/>
      <c r="G70" s="334"/>
      <c r="H70" s="334"/>
      <c r="I70" s="334" t="s">
        <v>229</v>
      </c>
      <c r="J70" s="380">
        <f>J59*J57+J61*(1-J57)+J63+(J67/J65)</f>
        <v>226.02335545202456</v>
      </c>
      <c r="K70" s="334" t="s">
        <v>798</v>
      </c>
      <c r="L70" s="334"/>
      <c r="M70" s="323"/>
      <c r="N70" s="3"/>
      <c r="O70" s="978">
        <v>11</v>
      </c>
      <c r="P70" s="993" t="s">
        <v>1008</v>
      </c>
      <c r="Q70" s="994"/>
      <c r="R70" s="992"/>
      <c r="S70" s="992">
        <v>6</v>
      </c>
      <c r="T70" s="967"/>
      <c r="U70" s="968" t="str">
        <f t="shared" si="2"/>
        <v/>
      </c>
      <c r="V70" s="968">
        <f t="shared" si="2"/>
        <v>3.9810717055349727</v>
      </c>
      <c r="W70" s="968">
        <f t="shared" si="3"/>
        <v>1.2302687708123818</v>
      </c>
      <c r="X70" s="967">
        <f t="shared" si="4"/>
        <v>864.51079460514211</v>
      </c>
      <c r="Y70" s="967">
        <f t="shared" si="1"/>
        <v>702.70075540833307</v>
      </c>
      <c r="Z70" s="968">
        <f t="shared" si="5"/>
        <v>2.4231060531321829</v>
      </c>
      <c r="AA70" s="968">
        <f t="shared" si="6"/>
        <v>5.08136897048563</v>
      </c>
    </row>
    <row r="71" spans="1:27" ht="13" thickBot="1">
      <c r="A71" s="3"/>
      <c r="B71" s="3"/>
      <c r="C71" s="333"/>
      <c r="D71" s="334"/>
      <c r="E71" s="334"/>
      <c r="F71" s="334"/>
      <c r="G71" s="334"/>
      <c r="H71" s="334"/>
      <c r="I71" s="334"/>
      <c r="J71" s="334"/>
      <c r="K71" s="334"/>
      <c r="L71" s="334"/>
      <c r="M71" s="323"/>
      <c r="N71" s="3"/>
      <c r="O71" s="979">
        <v>12</v>
      </c>
      <c r="P71" s="995"/>
      <c r="Q71" s="996"/>
      <c r="R71" s="997"/>
      <c r="S71" s="997"/>
      <c r="T71" s="969"/>
      <c r="U71" s="970" t="str">
        <f t="shared" si="2"/>
        <v/>
      </c>
      <c r="V71" s="970" t="str">
        <f t="shared" si="2"/>
        <v/>
      </c>
      <c r="W71" s="970" t="str">
        <f t="shared" si="3"/>
        <v/>
      </c>
      <c r="X71" s="969" t="str">
        <f t="shared" si="4"/>
        <v/>
      </c>
      <c r="Y71" s="969" t="str">
        <f t="shared" si="1"/>
        <v/>
      </c>
      <c r="Z71" s="970" t="str">
        <f t="shared" si="5"/>
        <v/>
      </c>
      <c r="AA71" s="970" t="str">
        <f t="shared" si="6"/>
        <v/>
      </c>
    </row>
    <row r="72" spans="1:27">
      <c r="A72" s="3"/>
      <c r="B72" s="3"/>
      <c r="C72" s="333"/>
      <c r="D72" s="334"/>
      <c r="E72" s="334"/>
      <c r="F72" s="334"/>
      <c r="G72" s="334"/>
      <c r="H72" s="334"/>
      <c r="I72" s="334"/>
      <c r="J72" s="334"/>
      <c r="K72" s="334"/>
      <c r="L72" s="334"/>
      <c r="M72" s="323"/>
      <c r="N72" s="3"/>
      <c r="O72" s="980"/>
      <c r="P72" s="971"/>
      <c r="Q72" s="963"/>
      <c r="R72" s="972"/>
      <c r="S72" s="972"/>
      <c r="T72" s="972"/>
      <c r="U72" s="972"/>
      <c r="V72" s="972"/>
      <c r="W72" s="972"/>
      <c r="X72" s="972"/>
      <c r="Y72" s="972"/>
      <c r="Z72" s="972"/>
      <c r="AA72" s="981"/>
    </row>
    <row r="73" spans="1:27" ht="14.5">
      <c r="A73" s="3"/>
      <c r="B73" s="3"/>
      <c r="C73" s="341"/>
      <c r="D73" s="342"/>
      <c r="E73" s="342"/>
      <c r="F73" s="342"/>
      <c r="G73" s="342"/>
      <c r="H73" s="342"/>
      <c r="I73" s="342"/>
      <c r="J73" s="342"/>
      <c r="K73" s="342"/>
      <c r="L73" s="342"/>
      <c r="M73" s="343"/>
      <c r="N73" s="3"/>
      <c r="O73" s="982"/>
      <c r="P73" s="983"/>
      <c r="Q73" s="984"/>
      <c r="R73" s="985"/>
      <c r="S73" s="985"/>
      <c r="T73" s="985"/>
      <c r="U73" s="985"/>
      <c r="V73" s="985"/>
      <c r="W73" s="985"/>
      <c r="X73" s="986" t="s">
        <v>999</v>
      </c>
      <c r="Y73" s="987">
        <f>SUM(Y62:Y71)</f>
        <v>1183.5970014408329</v>
      </c>
      <c r="Z73" s="988"/>
      <c r="AA73" s="98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728</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50"/>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676</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947</v>
      </c>
      <c r="E99" s="141"/>
      <c r="F99" s="141"/>
      <c r="G99" s="141"/>
      <c r="H99" s="141"/>
      <c r="I99" s="241" t="s">
        <v>140</v>
      </c>
      <c r="J99" s="141" t="s">
        <v>728</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950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8" t="s">
        <v>951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728</v>
      </c>
      <c r="E109" s="141" t="s">
        <v>177</v>
      </c>
      <c r="F109" s="141"/>
      <c r="G109" s="489" t="s">
        <v>983</v>
      </c>
      <c r="H109" s="939"/>
      <c r="I109" s="141"/>
      <c r="J109" s="935">
        <v>1</v>
      </c>
      <c r="K109" s="141" t="s">
        <v>768</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9"/>
      <c r="H110" s="939"/>
      <c r="I110" s="141"/>
      <c r="J110" s="935"/>
      <c r="K110" s="141" t="s">
        <v>768</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9"/>
      <c r="H111" s="939"/>
      <c r="I111" s="141"/>
      <c r="J111" s="935"/>
      <c r="K111" s="141" t="s">
        <v>768</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980</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975</v>
      </c>
      <c r="F114" s="141"/>
      <c r="G114" s="141"/>
      <c r="H114" s="946">
        <v>7.5899999999999995E-2</v>
      </c>
      <c r="I114" s="192" t="s">
        <v>986</v>
      </c>
      <c r="J114" s="944">
        <f>Frequency!$M$16</f>
        <v>436.5</v>
      </c>
      <c r="K114" s="141" t="s">
        <v>767</v>
      </c>
      <c r="L114" s="141"/>
      <c r="M114" s="182"/>
      <c r="N114" s="3"/>
      <c r="O114" s="360" t="s">
        <v>692</v>
      </c>
      <c r="P114" s="372"/>
      <c r="Q114" s="293"/>
      <c r="R114" s="293"/>
      <c r="S114" s="293"/>
      <c r="T114" s="293"/>
      <c r="U114" s="293"/>
      <c r="V114" s="294"/>
      <c r="W114" s="3"/>
      <c r="X114" s="3"/>
      <c r="Y114" s="3"/>
      <c r="Z114" s="3"/>
      <c r="AA114" s="3"/>
    </row>
    <row r="115" spans="1:27">
      <c r="A115" s="3"/>
      <c r="B115" s="3"/>
      <c r="C115" s="177"/>
      <c r="D115" s="141"/>
      <c r="E115" s="141" t="s">
        <v>976</v>
      </c>
      <c r="F115" s="141"/>
      <c r="G115" s="141"/>
      <c r="H115" s="946"/>
      <c r="I115" s="192" t="s">
        <v>986</v>
      </c>
      <c r="J115" s="944">
        <f>Frequency!$M$16</f>
        <v>436.5</v>
      </c>
      <c r="K115" s="141" t="s">
        <v>767</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977</v>
      </c>
      <c r="F116" s="141"/>
      <c r="G116" s="141"/>
      <c r="H116" s="946"/>
      <c r="I116" s="192" t="s">
        <v>986</v>
      </c>
      <c r="J116" s="944">
        <f>Frequency!$M$16</f>
        <v>436.5</v>
      </c>
      <c r="K116" s="141" t="s">
        <v>767</v>
      </c>
      <c r="L116" s="141"/>
      <c r="M116" s="182"/>
      <c r="N116" s="3"/>
      <c r="O116" s="295"/>
      <c r="P116" s="297" t="s">
        <v>245</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770</v>
      </c>
      <c r="L118" s="141"/>
      <c r="M118" s="182"/>
      <c r="N118" s="3"/>
      <c r="O118" s="295"/>
      <c r="P118" s="297"/>
      <c r="Q118" s="297" t="s">
        <v>242</v>
      </c>
      <c r="R118" s="297"/>
      <c r="S118" s="297"/>
      <c r="T118" s="286">
        <v>436.5</v>
      </c>
      <c r="U118" s="41" t="s">
        <v>767</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770</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770</v>
      </c>
      <c r="L120" s="141"/>
      <c r="M120" s="182"/>
      <c r="N120" s="3"/>
      <c r="O120" s="295"/>
      <c r="P120" s="297"/>
      <c r="Q120" s="297" t="s">
        <v>243</v>
      </c>
      <c r="R120" s="297"/>
      <c r="S120" s="297"/>
      <c r="T120" s="375">
        <f>80*((T118/1000)/0.25)^-2.75+2.7</f>
        <v>19.976999820031672</v>
      </c>
      <c r="U120" s="374" t="s">
        <v>798</v>
      </c>
      <c r="V120" s="361"/>
      <c r="W120" s="3"/>
      <c r="X120" s="3"/>
      <c r="Y120" s="3"/>
      <c r="Z120" s="3"/>
      <c r="AA120" s="3"/>
    </row>
    <row r="121" spans="1:27">
      <c r="A121" s="3"/>
      <c r="B121" s="3"/>
      <c r="C121" s="177"/>
      <c r="D121" s="141"/>
      <c r="E121" s="141" t="s">
        <v>213</v>
      </c>
      <c r="F121" s="141"/>
      <c r="G121" s="141"/>
      <c r="H121" s="141"/>
      <c r="I121" s="141" t="s">
        <v>214</v>
      </c>
      <c r="J121" s="935"/>
      <c r="K121" s="141" t="s">
        <v>770</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5"/>
      <c r="K122" s="141" t="s">
        <v>770</v>
      </c>
      <c r="L122" s="141"/>
      <c r="M122" s="182"/>
      <c r="N122" s="3"/>
      <c r="O122" s="295"/>
      <c r="P122" s="297"/>
      <c r="Q122" s="297" t="s">
        <v>244</v>
      </c>
      <c r="R122" s="297"/>
      <c r="S122" s="297"/>
      <c r="T122" s="375">
        <f>380*((T118/1000)/0.25)^-2.75+2.7</f>
        <v>84.765749145150451</v>
      </c>
      <c r="U122" s="374" t="s">
        <v>798</v>
      </c>
      <c r="V122" s="361"/>
      <c r="W122" s="3"/>
      <c r="X122" s="3"/>
      <c r="Y122" s="3"/>
      <c r="Z122" s="3"/>
      <c r="AA122" s="3"/>
    </row>
    <row r="123" spans="1:27">
      <c r="A123" s="3"/>
      <c r="B123" s="3"/>
      <c r="C123" s="177"/>
      <c r="D123" s="141"/>
      <c r="E123" s="141" t="s">
        <v>238</v>
      </c>
      <c r="F123" s="141"/>
      <c r="G123" s="141"/>
      <c r="H123" s="264">
        <v>2</v>
      </c>
      <c r="I123" s="141" t="s">
        <v>240</v>
      </c>
      <c r="J123" s="952">
        <f>H123*0.05</f>
        <v>0.1</v>
      </c>
      <c r="K123" s="141" t="s">
        <v>770</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443</v>
      </c>
      <c r="F124" s="141"/>
      <c r="G124" s="141"/>
      <c r="H124" s="141"/>
      <c r="I124" s="141"/>
      <c r="J124" s="489" t="s">
        <v>442</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1004">
        <f>SUM(J118:J123)</f>
        <v>0.1759</v>
      </c>
      <c r="K126" s="141" t="s">
        <v>770</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246</v>
      </c>
      <c r="R127" s="297"/>
      <c r="S127" s="297"/>
      <c r="T127" s="373">
        <v>10</v>
      </c>
      <c r="U127" s="371" t="s">
        <v>248</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796</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798</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247</v>
      </c>
      <c r="R131" s="297"/>
      <c r="S131" s="297"/>
      <c r="T131" s="375">
        <f>10^((T129+198.6-10*LOG10(T127*1000))/10)</f>
        <v>416.86938347033458</v>
      </c>
      <c r="U131" s="376" t="s">
        <v>798</v>
      </c>
      <c r="V131" s="361"/>
      <c r="W131" s="3"/>
      <c r="X131" s="3"/>
      <c r="Y131" s="3"/>
      <c r="Z131" s="3"/>
      <c r="AA131" s="3"/>
    </row>
    <row r="132" spans="1:27">
      <c r="A132" s="3"/>
      <c r="B132" s="3"/>
      <c r="C132" s="177"/>
      <c r="D132" s="141" t="s">
        <v>550</v>
      </c>
      <c r="E132" s="141"/>
      <c r="F132" s="141"/>
      <c r="G132" s="141"/>
      <c r="H132" s="141"/>
      <c r="I132" s="141" t="s">
        <v>223</v>
      </c>
      <c r="J132" s="347">
        <v>290</v>
      </c>
      <c r="K132" s="141" t="s">
        <v>798</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249</v>
      </c>
      <c r="Q133" s="297"/>
      <c r="R133" s="297"/>
      <c r="S133" s="297"/>
      <c r="T133" s="378">
        <f>T120+T131</f>
        <v>436.84638329036625</v>
      </c>
      <c r="U133" s="377" t="s">
        <v>798</v>
      </c>
      <c r="V133" s="361"/>
      <c r="W133" s="3"/>
      <c r="X133" s="3"/>
      <c r="Y133" s="3"/>
      <c r="Z133" s="3"/>
      <c r="AA133" s="3"/>
    </row>
    <row r="134" spans="1:27">
      <c r="A134" s="3"/>
      <c r="B134" s="3"/>
      <c r="C134" s="177"/>
      <c r="D134" s="141" t="s">
        <v>224</v>
      </c>
      <c r="E134" s="141"/>
      <c r="F134" s="141"/>
      <c r="G134" s="141"/>
      <c r="H134" s="141"/>
      <c r="I134" s="141" t="s">
        <v>225</v>
      </c>
      <c r="J134" s="347">
        <v>39</v>
      </c>
      <c r="K134" s="141" t="s">
        <v>798</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250</v>
      </c>
      <c r="Q135" s="297"/>
      <c r="R135" s="297"/>
      <c r="S135" s="297"/>
      <c r="T135" s="378">
        <f>T122+T131</f>
        <v>501.63513261548502</v>
      </c>
      <c r="U135" s="377" t="s">
        <v>798</v>
      </c>
      <c r="V135" s="361"/>
      <c r="W135" s="3"/>
      <c r="X135" s="3"/>
      <c r="Y135" s="3"/>
      <c r="Z135" s="3"/>
      <c r="AA135" s="3"/>
    </row>
    <row r="136" spans="1:27">
      <c r="A136" s="3"/>
      <c r="B136" s="3"/>
      <c r="C136" s="177"/>
      <c r="D136" s="141" t="s">
        <v>226</v>
      </c>
      <c r="E136" s="141"/>
      <c r="F136" s="348">
        <v>18</v>
      </c>
      <c r="G136" s="141" t="s">
        <v>770</v>
      </c>
      <c r="H136" s="141"/>
      <c r="I136" s="141" t="s">
        <v>227</v>
      </c>
      <c r="J136" s="302">
        <f>10^(F136/10)</f>
        <v>63.095734448019364</v>
      </c>
      <c r="K136" s="141"/>
      <c r="L136" s="141"/>
      <c r="M136" s="954" t="s">
        <v>1016</v>
      </c>
      <c r="N136" s="3"/>
      <c r="O136" s="298"/>
      <c r="P136" s="299"/>
      <c r="Q136" s="299"/>
      <c r="R136" s="299"/>
      <c r="S136" s="299"/>
      <c r="T136" s="299"/>
      <c r="U136" s="299"/>
      <c r="V136" s="300"/>
      <c r="W136" s="3"/>
      <c r="X136" s="3"/>
      <c r="Y136" s="3"/>
      <c r="Z136" s="3"/>
      <c r="AA136" s="3"/>
    </row>
    <row r="137" spans="1:27">
      <c r="A137" s="3"/>
      <c r="B137" s="3"/>
      <c r="C137" s="177"/>
      <c r="D137" s="141"/>
      <c r="E137" s="141"/>
      <c r="F137" s="68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678</v>
      </c>
      <c r="E138" s="141"/>
      <c r="F138" s="683"/>
      <c r="G138" s="241" t="s">
        <v>140</v>
      </c>
      <c r="H138" s="141"/>
      <c r="I138" s="141"/>
      <c r="J138" s="935">
        <v>8.26</v>
      </c>
      <c r="K138" s="141" t="s">
        <v>677</v>
      </c>
      <c r="L138" s="141"/>
      <c r="M138" s="182"/>
      <c r="N138" s="3"/>
      <c r="O138" s="973" t="s">
        <v>1003</v>
      </c>
      <c r="P138" s="974"/>
      <c r="Q138" s="974"/>
      <c r="R138" s="974"/>
      <c r="S138" s="974"/>
      <c r="T138" s="974"/>
      <c r="U138" s="974"/>
      <c r="V138" s="974"/>
      <c r="W138" s="974"/>
      <c r="X138" s="974"/>
      <c r="Y138" s="974"/>
      <c r="Z138" s="974"/>
      <c r="AA138" s="975"/>
    </row>
    <row r="139" spans="1:27">
      <c r="A139" s="3"/>
      <c r="B139" s="3"/>
      <c r="C139" s="177"/>
      <c r="D139" s="141"/>
      <c r="E139" s="141"/>
      <c r="F139" s="683"/>
      <c r="G139" s="141"/>
      <c r="H139" s="141"/>
      <c r="I139" s="141"/>
      <c r="J139" s="302"/>
      <c r="K139" s="141"/>
      <c r="L139" s="141"/>
      <c r="M139" s="182"/>
      <c r="N139" s="3"/>
      <c r="O139" s="976"/>
      <c r="P139" s="963"/>
      <c r="Q139" s="963"/>
      <c r="R139" s="963"/>
      <c r="S139" s="963"/>
      <c r="T139" s="963"/>
      <c r="U139" s="963"/>
      <c r="V139" s="963"/>
      <c r="W139" s="963"/>
      <c r="X139" s="963"/>
      <c r="Y139" s="963"/>
      <c r="Z139" s="963"/>
      <c r="AA139" s="977"/>
    </row>
    <row r="140" spans="1:27" ht="15" thickBot="1">
      <c r="A140" s="3"/>
      <c r="B140" s="3"/>
      <c r="C140" s="177"/>
      <c r="D140" s="141" t="s">
        <v>679</v>
      </c>
      <c r="E140" s="141"/>
      <c r="F140" s="683"/>
      <c r="G140" s="141"/>
      <c r="H140" s="141"/>
      <c r="I140" s="141"/>
      <c r="J140" s="489" t="s">
        <v>983</v>
      </c>
      <c r="K140" s="371"/>
      <c r="L140" s="141"/>
      <c r="M140" s="182"/>
      <c r="N140" s="3"/>
      <c r="O140" s="966" t="s">
        <v>988</v>
      </c>
      <c r="P140" s="964" t="s">
        <v>989</v>
      </c>
      <c r="Q140" s="965"/>
      <c r="R140" s="966" t="s">
        <v>990</v>
      </c>
      <c r="S140" s="966" t="s">
        <v>991</v>
      </c>
      <c r="T140" s="966"/>
      <c r="U140" s="966" t="s">
        <v>992</v>
      </c>
      <c r="V140" s="966" t="s">
        <v>993</v>
      </c>
      <c r="W140" s="966" t="s">
        <v>994</v>
      </c>
      <c r="X140" s="966" t="s">
        <v>995</v>
      </c>
      <c r="Y140" s="966" t="s">
        <v>996</v>
      </c>
      <c r="Z140" s="966" t="s">
        <v>997</v>
      </c>
      <c r="AA140" s="966" t="s">
        <v>998</v>
      </c>
    </row>
    <row r="141" spans="1:27">
      <c r="A141" s="3"/>
      <c r="B141" s="3"/>
      <c r="C141" s="177"/>
      <c r="D141" s="141"/>
      <c r="E141" s="141"/>
      <c r="F141" s="683"/>
      <c r="G141" s="141"/>
      <c r="H141" s="141"/>
      <c r="I141" s="141"/>
      <c r="J141" s="302"/>
      <c r="K141" s="141"/>
      <c r="L141" s="141"/>
      <c r="M141" s="182"/>
      <c r="N141" s="3"/>
      <c r="O141" s="978">
        <v>1</v>
      </c>
      <c r="P141" s="990" t="s">
        <v>1000</v>
      </c>
      <c r="Q141" s="991"/>
      <c r="R141" s="992">
        <v>-0.1</v>
      </c>
      <c r="S141" s="992">
        <v>0.1</v>
      </c>
      <c r="T141" s="967"/>
      <c r="U141" s="968">
        <f>IF(R141,10^(R141/10), "")</f>
        <v>0.97723722095581067</v>
      </c>
      <c r="V141" s="968">
        <f>IF(S141,10^(S141/10), "")</f>
        <v>1.0232929922807541</v>
      </c>
      <c r="W141" s="968">
        <f>IF(S141,1,"")</f>
        <v>1</v>
      </c>
      <c r="X141" s="967">
        <f>IF(S141,290*(V141-1), "")</f>
        <v>6.7549677614186887</v>
      </c>
      <c r="Y141" s="967">
        <f t="shared" ref="Y141:Y150" si="8">IF(S141,X141/W141, "")</f>
        <v>6.7549677614186887</v>
      </c>
      <c r="Z141" s="968">
        <f>IF(S141,(V141-1)/W141, "")</f>
        <v>2.3292992280754099E-2</v>
      </c>
      <c r="AA141" s="968">
        <f>IF(S141,Z141+1, "")</f>
        <v>1.0232929922807541</v>
      </c>
    </row>
    <row r="142" spans="1:27">
      <c r="A142" s="3"/>
      <c r="B142" s="3"/>
      <c r="C142" s="177"/>
      <c r="D142" s="141" t="s">
        <v>680</v>
      </c>
      <c r="E142" s="141"/>
      <c r="F142" s="683"/>
      <c r="G142" s="141"/>
      <c r="H142" s="141"/>
      <c r="I142" s="141"/>
      <c r="J142" s="953">
        <v>7.5899999999999995E-2</v>
      </c>
      <c r="K142" s="141" t="s">
        <v>1013</v>
      </c>
      <c r="L142" s="141"/>
      <c r="M142" s="182"/>
      <c r="N142" s="3"/>
      <c r="O142" s="978">
        <v>2</v>
      </c>
      <c r="P142" s="993" t="s">
        <v>1001</v>
      </c>
      <c r="Q142" s="994"/>
      <c r="R142" s="992">
        <v>-0.4</v>
      </c>
      <c r="S142" s="992">
        <v>0.4</v>
      </c>
      <c r="T142" s="967"/>
      <c r="U142" s="968">
        <f t="shared" ref="U142:U150" si="9">IF(R142,10^(R142/10), "")</f>
        <v>0.91201083935590965</v>
      </c>
      <c r="V142" s="968">
        <f t="shared" ref="V142:V150" si="10">IF(S142,10^(S142/10), "")</f>
        <v>1.0964781961431851</v>
      </c>
      <c r="W142" s="968">
        <f t="shared" ref="W142:W150" si="11">IF(S142,W141*U141, "")</f>
        <v>0.97723722095581067</v>
      </c>
      <c r="X142" s="967">
        <f t="shared" ref="X142:X150" si="12">IF(S142,290*(V142-1), "")</f>
        <v>27.978676881523675</v>
      </c>
      <c r="Y142" s="967">
        <f t="shared" si="8"/>
        <v>28.630383986150722</v>
      </c>
      <c r="Z142" s="968">
        <f t="shared" ref="Z142:Z150" si="13">IF(S142,(V142-1)/W142, "")</f>
        <v>9.8725462021209381E-2</v>
      </c>
      <c r="AA142" s="968">
        <f>IF(S142, AA141+Z142, "")</f>
        <v>1.1220184543019636</v>
      </c>
    </row>
    <row r="143" spans="1:27">
      <c r="A143" s="3"/>
      <c r="B143" s="3"/>
      <c r="C143" s="177"/>
      <c r="D143" s="141"/>
      <c r="E143" s="141"/>
      <c r="F143" s="683"/>
      <c r="G143" s="141"/>
      <c r="H143" s="141"/>
      <c r="I143" s="141"/>
      <c r="J143" s="302"/>
      <c r="K143" s="141"/>
      <c r="L143" s="141"/>
      <c r="M143" s="182"/>
      <c r="N143" s="3"/>
      <c r="O143" s="978">
        <v>3</v>
      </c>
      <c r="P143" s="993" t="s">
        <v>982</v>
      </c>
      <c r="Q143" s="994"/>
      <c r="R143" s="992">
        <v>-0.5</v>
      </c>
      <c r="S143" s="992">
        <v>0.5</v>
      </c>
      <c r="T143" s="967"/>
      <c r="U143" s="968">
        <f t="shared" si="9"/>
        <v>0.89125093813374545</v>
      </c>
      <c r="V143" s="968">
        <f t="shared" si="10"/>
        <v>1.1220184543019636</v>
      </c>
      <c r="W143" s="968">
        <f t="shared" si="11"/>
        <v>0.89125093813374545</v>
      </c>
      <c r="X143" s="967">
        <f t="shared" si="12"/>
        <v>35.38535174756943</v>
      </c>
      <c r="Y143" s="967">
        <f t="shared" si="8"/>
        <v>39.703017672739136</v>
      </c>
      <c r="Z143" s="968">
        <f t="shared" si="13"/>
        <v>0.13690695749220394</v>
      </c>
      <c r="AA143" s="968">
        <f t="shared" ref="AA143:AA150" si="14">IF(S143, AA142+Z143, "")</f>
        <v>1.2589254117941675</v>
      </c>
    </row>
    <row r="144" spans="1:27">
      <c r="A144" s="3"/>
      <c r="B144" s="3"/>
      <c r="C144" s="177"/>
      <c r="D144" s="141" t="s">
        <v>681</v>
      </c>
      <c r="E144" s="141"/>
      <c r="F144" s="683"/>
      <c r="G144" s="141"/>
      <c r="H144" s="141"/>
      <c r="I144" s="141"/>
      <c r="J144" s="962">
        <f>J138*J142</f>
        <v>0.62693399999999999</v>
      </c>
      <c r="K144" s="141" t="s">
        <v>770</v>
      </c>
      <c r="L144" s="141"/>
      <c r="M144" s="182"/>
      <c r="N144" s="3"/>
      <c r="O144" s="978">
        <v>4</v>
      </c>
      <c r="P144" s="993" t="s">
        <v>1014</v>
      </c>
      <c r="Q144" s="994"/>
      <c r="R144" s="992">
        <v>-0.1</v>
      </c>
      <c r="S144" s="992">
        <v>0.1</v>
      </c>
      <c r="T144" s="967"/>
      <c r="U144" s="968">
        <f t="shared" si="9"/>
        <v>0.97723722095581067</v>
      </c>
      <c r="V144" s="968">
        <f t="shared" si="10"/>
        <v>1.0232929922807541</v>
      </c>
      <c r="W144" s="968">
        <f t="shared" si="11"/>
        <v>0.79432823472428138</v>
      </c>
      <c r="X144" s="967">
        <f t="shared" si="12"/>
        <v>6.7549677614186887</v>
      </c>
      <c r="Y144" s="967">
        <f t="shared" si="8"/>
        <v>8.504000570700347</v>
      </c>
      <c r="Z144" s="968">
        <f t="shared" si="13"/>
        <v>2.9324139898966716E-2</v>
      </c>
      <c r="AA144" s="968">
        <f t="shared" si="14"/>
        <v>1.2882495516931343</v>
      </c>
    </row>
    <row r="145" spans="1:27">
      <c r="A145" s="3"/>
      <c r="B145" s="3"/>
      <c r="C145" s="177"/>
      <c r="D145" s="141"/>
      <c r="E145" s="141"/>
      <c r="F145" s="141"/>
      <c r="G145" s="141"/>
      <c r="H145" s="141"/>
      <c r="I145" s="141"/>
      <c r="J145" s="141"/>
      <c r="K145" s="141"/>
      <c r="L145" s="141"/>
      <c r="M145" s="182"/>
      <c r="N145" s="3"/>
      <c r="O145" s="978">
        <v>5</v>
      </c>
      <c r="P145" s="993" t="s">
        <v>1015</v>
      </c>
      <c r="Q145" s="994"/>
      <c r="R145" s="992">
        <v>-0.8</v>
      </c>
      <c r="S145" s="992">
        <v>0.8</v>
      </c>
      <c r="T145" s="967"/>
      <c r="U145" s="968">
        <f t="shared" si="9"/>
        <v>0.83176377110267097</v>
      </c>
      <c r="V145" s="968">
        <f t="shared" si="10"/>
        <v>1.2022644346174129</v>
      </c>
      <c r="W145" s="968">
        <f t="shared" si="11"/>
        <v>0.77624711662869161</v>
      </c>
      <c r="X145" s="967">
        <f t="shared" si="12"/>
        <v>58.656686039049752</v>
      </c>
      <c r="Y145" s="967">
        <f t="shared" si="8"/>
        <v>75.564449493610766</v>
      </c>
      <c r="Z145" s="968">
        <f t="shared" si="13"/>
        <v>0.26056706721934747</v>
      </c>
      <c r="AA145" s="968">
        <f t="shared" si="14"/>
        <v>1.5488166189124817</v>
      </c>
    </row>
    <row r="146" spans="1:27" ht="13">
      <c r="A146" s="3"/>
      <c r="B146" s="3"/>
      <c r="C146" s="177"/>
      <c r="D146" s="141" t="s">
        <v>108</v>
      </c>
      <c r="E146" s="141"/>
      <c r="F146" s="141"/>
      <c r="G146" s="141"/>
      <c r="H146" s="141"/>
      <c r="I146" s="141" t="s">
        <v>682</v>
      </c>
      <c r="J146" s="380">
        <f>Y152</f>
        <v>1626.0109992220289</v>
      </c>
      <c r="K146" s="141" t="s">
        <v>798</v>
      </c>
      <c r="L146" s="141"/>
      <c r="M146" s="182"/>
      <c r="N146" s="3"/>
      <c r="O146" s="978">
        <v>8</v>
      </c>
      <c r="P146" s="993" t="s">
        <v>1001</v>
      </c>
      <c r="Q146" s="994"/>
      <c r="R146" s="992">
        <v>-0.3</v>
      </c>
      <c r="S146" s="992">
        <v>0.3</v>
      </c>
      <c r="T146" s="967"/>
      <c r="U146" s="968">
        <f t="shared" si="9"/>
        <v>0.93325430079699101</v>
      </c>
      <c r="V146" s="968">
        <f t="shared" si="10"/>
        <v>1.0715193052376064</v>
      </c>
      <c r="W146" s="968">
        <f t="shared" si="11"/>
        <v>0.64565422903465541</v>
      </c>
      <c r="X146" s="967">
        <f t="shared" si="12"/>
        <v>20.740598518905859</v>
      </c>
      <c r="Y146" s="967">
        <f t="shared" si="8"/>
        <v>32.123383672272993</v>
      </c>
      <c r="Z146" s="968">
        <f t="shared" si="13"/>
        <v>0.11077028852507929</v>
      </c>
      <c r="AA146" s="968">
        <f t="shared" si="14"/>
        <v>1.6595869074375609</v>
      </c>
    </row>
    <row r="147" spans="1:27">
      <c r="A147" s="3"/>
      <c r="B147" s="3"/>
      <c r="C147" s="177"/>
      <c r="D147" s="141"/>
      <c r="E147" s="141"/>
      <c r="F147" s="141"/>
      <c r="G147" s="141"/>
      <c r="H147" s="141"/>
      <c r="I147" s="141"/>
      <c r="J147" s="141"/>
      <c r="K147" s="141"/>
      <c r="L147" s="141"/>
      <c r="M147" s="182"/>
      <c r="N147" s="3"/>
      <c r="O147" s="978">
        <v>9</v>
      </c>
      <c r="P147" s="993" t="s">
        <v>1002</v>
      </c>
      <c r="Q147" s="994"/>
      <c r="R147" s="992"/>
      <c r="S147" s="992">
        <v>6</v>
      </c>
      <c r="T147" s="967"/>
      <c r="U147" s="968" t="str">
        <f t="shared" si="9"/>
        <v/>
      </c>
      <c r="V147" s="968">
        <f t="shared" si="10"/>
        <v>3.9810717055349727</v>
      </c>
      <c r="W147" s="968">
        <f t="shared" si="11"/>
        <v>0.60255958607435767</v>
      </c>
      <c r="X147" s="967">
        <f t="shared" si="12"/>
        <v>864.51079460514211</v>
      </c>
      <c r="Y147" s="967">
        <f t="shared" si="8"/>
        <v>1434.7307960651362</v>
      </c>
      <c r="Z147" s="968">
        <f t="shared" si="13"/>
        <v>4.9473475726384004</v>
      </c>
      <c r="AA147" s="968">
        <f t="shared" si="14"/>
        <v>6.6069344800759611</v>
      </c>
    </row>
    <row r="148" spans="1:27" ht="13">
      <c r="A148" s="3"/>
      <c r="B148" s="3"/>
      <c r="C148" s="177"/>
      <c r="D148" s="141"/>
      <c r="E148" s="141"/>
      <c r="F148" s="141"/>
      <c r="G148" s="141"/>
      <c r="H148" s="141"/>
      <c r="I148" s="141"/>
      <c r="J148" s="141"/>
      <c r="K148" s="141"/>
      <c r="L148" s="369"/>
      <c r="M148" s="182"/>
      <c r="N148" s="3"/>
      <c r="O148" s="978">
        <v>10</v>
      </c>
      <c r="P148" s="993"/>
      <c r="Q148" s="994"/>
      <c r="R148" s="992"/>
      <c r="S148" s="992"/>
      <c r="T148" s="967"/>
      <c r="U148" s="968" t="str">
        <f t="shared" si="9"/>
        <v/>
      </c>
      <c r="V148" s="968" t="str">
        <f t="shared" si="10"/>
        <v/>
      </c>
      <c r="W148" s="968" t="str">
        <f t="shared" si="11"/>
        <v/>
      </c>
      <c r="X148" s="967" t="str">
        <f t="shared" si="12"/>
        <v/>
      </c>
      <c r="Y148" s="967" t="str">
        <f t="shared" si="8"/>
        <v/>
      </c>
      <c r="Z148" s="968" t="str">
        <f t="shared" si="13"/>
        <v/>
      </c>
      <c r="AA148" s="968" t="str">
        <f t="shared" si="14"/>
        <v/>
      </c>
    </row>
    <row r="149" spans="1:27" ht="13">
      <c r="A149" s="3"/>
      <c r="B149" s="3"/>
      <c r="C149" s="177"/>
      <c r="D149" s="141" t="s">
        <v>228</v>
      </c>
      <c r="E149" s="141"/>
      <c r="F149" s="141"/>
      <c r="G149" s="141"/>
      <c r="H149" s="141"/>
      <c r="I149" s="141" t="s">
        <v>229</v>
      </c>
      <c r="J149" s="380">
        <f>J130*J128+J132*(1-J128)+J134+(J146/(J136/(10^(J144/10))))</f>
        <v>560.43703405741689</v>
      </c>
      <c r="K149" s="141" t="s">
        <v>798</v>
      </c>
      <c r="L149" s="141"/>
      <c r="M149" s="182"/>
      <c r="N149" s="3"/>
      <c r="O149" s="978">
        <v>11</v>
      </c>
      <c r="P149" s="993"/>
      <c r="Q149" s="994"/>
      <c r="R149" s="992"/>
      <c r="S149" s="992"/>
      <c r="T149" s="967"/>
      <c r="U149" s="968" t="str">
        <f t="shared" si="9"/>
        <v/>
      </c>
      <c r="V149" s="968" t="str">
        <f t="shared" si="10"/>
        <v/>
      </c>
      <c r="W149" s="968" t="str">
        <f t="shared" si="11"/>
        <v/>
      </c>
      <c r="X149" s="967" t="str">
        <f t="shared" si="12"/>
        <v/>
      </c>
      <c r="Y149" s="967" t="str">
        <f t="shared" si="8"/>
        <v/>
      </c>
      <c r="Z149" s="968" t="str">
        <f t="shared" si="13"/>
        <v/>
      </c>
      <c r="AA149" s="968" t="str">
        <f t="shared" si="14"/>
        <v/>
      </c>
    </row>
    <row r="150" spans="1:27" ht="13" thickBot="1">
      <c r="A150" s="3"/>
      <c r="B150" s="3"/>
      <c r="C150" s="177"/>
      <c r="D150" s="141"/>
      <c r="E150" s="141"/>
      <c r="F150" s="141"/>
      <c r="G150" s="141"/>
      <c r="H150" s="141"/>
      <c r="I150" s="141"/>
      <c r="J150" s="141"/>
      <c r="K150" s="141"/>
      <c r="L150" s="141"/>
      <c r="M150" s="182"/>
      <c r="N150" s="3"/>
      <c r="O150" s="979">
        <v>12</v>
      </c>
      <c r="P150" s="995"/>
      <c r="Q150" s="996"/>
      <c r="R150" s="997"/>
      <c r="S150" s="997"/>
      <c r="T150" s="969"/>
      <c r="U150" s="970" t="str">
        <f t="shared" si="9"/>
        <v/>
      </c>
      <c r="V150" s="970" t="str">
        <f t="shared" si="10"/>
        <v/>
      </c>
      <c r="W150" s="970" t="str">
        <f t="shared" si="11"/>
        <v/>
      </c>
      <c r="X150" s="969" t="str">
        <f t="shared" si="12"/>
        <v/>
      </c>
      <c r="Y150" s="969" t="str">
        <f t="shared" si="8"/>
        <v/>
      </c>
      <c r="Z150" s="970" t="str">
        <f t="shared" si="13"/>
        <v/>
      </c>
      <c r="AA150" s="970" t="str">
        <f t="shared" si="14"/>
        <v/>
      </c>
    </row>
    <row r="151" spans="1:27">
      <c r="A151" s="3"/>
      <c r="B151" s="3"/>
      <c r="C151" s="177"/>
      <c r="D151" s="141"/>
      <c r="E151" s="141"/>
      <c r="F151" s="141"/>
      <c r="G151" s="141"/>
      <c r="H151" s="141"/>
      <c r="I151" s="141"/>
      <c r="J151" s="141"/>
      <c r="K151" s="141"/>
      <c r="L151" s="141"/>
      <c r="M151" s="182"/>
      <c r="N151" s="3"/>
      <c r="O151" s="980"/>
      <c r="P151" s="971"/>
      <c r="Q151" s="963"/>
      <c r="R151" s="972"/>
      <c r="S151" s="972"/>
      <c r="T151" s="972"/>
      <c r="U151" s="972"/>
      <c r="V151" s="972"/>
      <c r="W151" s="972"/>
      <c r="X151" s="972"/>
      <c r="Y151" s="972"/>
      <c r="Z151" s="972"/>
      <c r="AA151" s="981"/>
    </row>
    <row r="152" spans="1:27" ht="14.5">
      <c r="A152" s="3"/>
      <c r="B152" s="3"/>
      <c r="C152" s="235"/>
      <c r="D152" s="236"/>
      <c r="E152" s="236"/>
      <c r="F152" s="236"/>
      <c r="G152" s="236"/>
      <c r="H152" s="236"/>
      <c r="I152" s="236"/>
      <c r="J152" s="236"/>
      <c r="K152" s="236"/>
      <c r="L152" s="236"/>
      <c r="M152" s="237"/>
      <c r="N152" s="3"/>
      <c r="O152" s="982"/>
      <c r="P152" s="983"/>
      <c r="Q152" s="984"/>
      <c r="R152" s="985"/>
      <c r="S152" s="985"/>
      <c r="T152" s="985"/>
      <c r="U152" s="985"/>
      <c r="V152" s="985"/>
      <c r="W152" s="985"/>
      <c r="X152" s="986" t="s">
        <v>999</v>
      </c>
      <c r="Y152" s="987">
        <f>SUM(Y141:Y150)</f>
        <v>1626.0109992220289</v>
      </c>
      <c r="Z152" s="988"/>
      <c r="AA152" s="98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728</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282</v>
      </c>
      <c r="B1" s="125"/>
      <c r="C1" s="125"/>
      <c r="D1" s="125"/>
      <c r="E1" s="127"/>
      <c r="F1" s="127"/>
      <c r="G1" s="645" t="str">
        <f>'Title Page'!F3</f>
        <v>OreSat - CS0</v>
      </c>
      <c r="H1" s="127"/>
      <c r="I1" s="127"/>
      <c r="J1" s="127"/>
      <c r="K1" s="127"/>
      <c r="L1" s="642" t="str">
        <f>'Title Page'!F23</f>
        <v>2019 May 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6"/>
      <c r="F3" s="3"/>
      <c r="G3" s="3"/>
      <c r="H3" s="3"/>
      <c r="I3" s="3"/>
      <c r="J3" s="496" t="s">
        <v>728</v>
      </c>
      <c r="K3" s="3"/>
      <c r="L3" s="3"/>
      <c r="M3" s="3"/>
      <c r="N3" s="3"/>
      <c r="O3" s="3"/>
      <c r="P3" s="3"/>
      <c r="Q3" s="3"/>
      <c r="R3" s="3"/>
      <c r="S3" s="3"/>
      <c r="T3" s="3"/>
      <c r="U3" s="3"/>
      <c r="V3" s="3"/>
      <c r="W3" s="3"/>
      <c r="X3" s="3"/>
      <c r="Y3" s="3"/>
      <c r="Z3" s="3"/>
    </row>
    <row r="4" spans="1:26" ht="15.5">
      <c r="A4" s="210"/>
      <c r="B4" s="101"/>
      <c r="C4" s="101"/>
      <c r="D4" s="3"/>
      <c r="E4" s="496"/>
      <c r="F4" s="3"/>
      <c r="G4" s="3"/>
      <c r="H4" s="3"/>
      <c r="I4" s="3"/>
      <c r="J4" s="496"/>
      <c r="K4" s="3"/>
      <c r="L4" s="3"/>
      <c r="M4" s="3"/>
      <c r="N4" s="3"/>
      <c r="O4" s="3"/>
      <c r="P4" s="3"/>
      <c r="Q4" s="3"/>
      <c r="R4" s="3"/>
      <c r="S4" s="3"/>
      <c r="T4" s="3"/>
      <c r="U4" s="3"/>
      <c r="V4" s="3"/>
      <c r="W4" s="3"/>
      <c r="X4" s="3"/>
      <c r="Y4" s="3"/>
      <c r="Z4" s="3"/>
    </row>
    <row r="5" spans="1:26" ht="15.5">
      <c r="A5" s="210"/>
      <c r="B5" s="349" t="s">
        <v>241</v>
      </c>
      <c r="C5" s="101"/>
      <c r="D5" s="3"/>
      <c r="E5" s="496"/>
      <c r="F5" s="3"/>
      <c r="G5" s="3"/>
      <c r="H5" s="3"/>
      <c r="I5" s="3"/>
      <c r="J5" s="49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728</v>
      </c>
      <c r="B7" s="187" t="s">
        <v>94</v>
      </c>
      <c r="C7" s="193"/>
      <c r="D7" s="180"/>
      <c r="E7" s="180"/>
      <c r="F7" s="180"/>
      <c r="G7" s="180" t="s">
        <v>728</v>
      </c>
      <c r="H7" s="180"/>
      <c r="I7" s="180"/>
      <c r="J7" s="180" t="s">
        <v>728</v>
      </c>
      <c r="K7" s="180"/>
      <c r="L7" s="181"/>
      <c r="M7" s="3"/>
      <c r="N7" s="3"/>
      <c r="O7" s="3"/>
      <c r="P7" s="3"/>
      <c r="Q7" s="3"/>
      <c r="R7" s="3"/>
      <c r="S7" s="3"/>
      <c r="T7" s="3"/>
      <c r="U7" s="3"/>
      <c r="V7" s="3"/>
      <c r="W7" s="3"/>
      <c r="X7" s="3"/>
      <c r="Y7" s="3"/>
      <c r="Z7" s="3"/>
    </row>
    <row r="8" spans="1:26" ht="13">
      <c r="A8" s="3"/>
      <c r="B8" s="178" t="s">
        <v>728</v>
      </c>
      <c r="C8" s="211"/>
      <c r="D8" s="213" t="s">
        <v>104</v>
      </c>
      <c r="E8" s="212" t="s">
        <v>766</v>
      </c>
      <c r="F8" s="243">
        <f>Frequency!M10</f>
        <v>1265</v>
      </c>
      <c r="G8" s="141" t="s">
        <v>767</v>
      </c>
      <c r="H8" s="141"/>
      <c r="I8" s="141"/>
      <c r="J8" s="141" t="s">
        <v>87</v>
      </c>
      <c r="K8" s="244">
        <f>299.8/$F$8</f>
        <v>0.23699604743083005</v>
      </c>
      <c r="L8" s="182" t="s">
        <v>768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728</v>
      </c>
      <c r="R10" s="3"/>
      <c r="S10" s="3"/>
      <c r="T10" s="3"/>
      <c r="U10" s="3"/>
      <c r="V10" s="3"/>
      <c r="W10" s="3"/>
      <c r="X10" s="3"/>
      <c r="Y10" s="3"/>
      <c r="Z10" s="3"/>
    </row>
    <row r="11" spans="1:26" ht="13.5" thickBot="1">
      <c r="A11" s="79"/>
      <c r="B11" s="178" t="s">
        <v>728</v>
      </c>
      <c r="C11" s="141"/>
      <c r="D11" s="141"/>
      <c r="E11" s="679">
        <v>4</v>
      </c>
      <c r="F11" s="678"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797</v>
      </c>
      <c r="P13" s="151" t="s">
        <v>61</v>
      </c>
      <c r="Q13" s="154">
        <f>SQRT(40000/(10^(N13/10)))</f>
        <v>30.621749233640596</v>
      </c>
      <c r="R13" s="151" t="s">
        <v>4</v>
      </c>
      <c r="S13" s="151" t="s">
        <v>252</v>
      </c>
      <c r="T13" s="151"/>
      <c r="U13" s="155">
        <f>K8*E13</f>
        <v>0.75838735177865624</v>
      </c>
      <c r="V13" s="156" t="s">
        <v>768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797</v>
      </c>
      <c r="P14" s="158" t="s">
        <v>61</v>
      </c>
      <c r="Q14" s="163">
        <f>52.2/(K14*((E14*H14)^0.5))</f>
        <v>33.014178772157877</v>
      </c>
      <c r="R14" s="158" t="s">
        <v>4</v>
      </c>
      <c r="S14" s="160"/>
      <c r="T14" s="160" t="s">
        <v>251</v>
      </c>
      <c r="U14" s="381">
        <f>H14*E14*K8</f>
        <v>0.59249011857707512</v>
      </c>
      <c r="V14" s="164" t="s">
        <v>768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797</v>
      </c>
      <c r="P15" s="166" t="s">
        <v>61</v>
      </c>
      <c r="Q15" s="163">
        <f>21/((F8/1000)*H15)</f>
        <v>3.0742204655248138</v>
      </c>
      <c r="R15" s="166" t="s">
        <v>4</v>
      </c>
      <c r="S15" s="166"/>
      <c r="T15" s="166"/>
      <c r="U15" s="166"/>
      <c r="V15" s="170"/>
      <c r="W15" s="3"/>
      <c r="X15" s="3"/>
      <c r="Y15" s="3"/>
      <c r="Z15" s="3"/>
    </row>
    <row r="16" spans="1:26" ht="36" customHeight="1" thickBot="1">
      <c r="A16" s="145">
        <v>4</v>
      </c>
      <c r="B16" s="146" t="s">
        <v>968</v>
      </c>
      <c r="C16" s="146"/>
      <c r="D16" s="146"/>
      <c r="E16" s="927" t="s">
        <v>969</v>
      </c>
      <c r="F16" s="658"/>
      <c r="G16" s="936" t="s">
        <v>971</v>
      </c>
      <c r="H16" s="936"/>
      <c r="I16" s="936"/>
      <c r="J16" s="936"/>
      <c r="K16" s="147"/>
      <c r="L16" s="146"/>
      <c r="M16" s="146" t="s">
        <v>59</v>
      </c>
      <c r="N16" s="680">
        <v>16</v>
      </c>
      <c r="O16" s="146" t="s">
        <v>797</v>
      </c>
      <c r="P16" s="146" t="s">
        <v>61</v>
      </c>
      <c r="Q16" s="681">
        <v>28</v>
      </c>
      <c r="R16" s="146" t="s">
        <v>4</v>
      </c>
      <c r="S16" s="146" t="s">
        <v>252</v>
      </c>
      <c r="T16" s="146"/>
      <c r="U16" s="657">
        <v>0.6</v>
      </c>
      <c r="V16" s="150" t="s">
        <v>768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728</v>
      </c>
      <c r="G18" s="101"/>
      <c r="H18" s="101"/>
      <c r="I18" s="101"/>
      <c r="J18" s="101"/>
      <c r="K18" s="101"/>
      <c r="L18" s="101"/>
      <c r="M18" s="101" t="s">
        <v>728</v>
      </c>
      <c r="N18" s="101"/>
      <c r="O18" s="101"/>
      <c r="P18" s="101"/>
      <c r="Q18" s="101"/>
      <c r="R18" s="101"/>
      <c r="S18" s="101"/>
      <c r="T18" s="101"/>
      <c r="U18" s="3"/>
      <c r="V18" s="3"/>
      <c r="W18" s="3"/>
      <c r="X18" s="3"/>
      <c r="Y18" s="3"/>
      <c r="Z18" s="3"/>
    </row>
    <row r="19" spans="1:26">
      <c r="A19" s="31" t="s">
        <v>728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766</v>
      </c>
      <c r="F22" s="241">
        <f>F8</f>
        <v>1265</v>
      </c>
      <c r="G22" s="141" t="s">
        <v>767</v>
      </c>
      <c r="H22" s="141"/>
      <c r="I22" s="141"/>
      <c r="J22" s="141" t="s">
        <v>87</v>
      </c>
      <c r="K22" s="242">
        <f>299.8/F22</f>
        <v>0.23699604743083005</v>
      </c>
      <c r="L22" s="182" t="s">
        <v>768</v>
      </c>
      <c r="M22" s="101" t="s">
        <v>728</v>
      </c>
      <c r="N22" s="101"/>
      <c r="O22" s="101"/>
      <c r="P22" s="101"/>
      <c r="Q22" s="101"/>
      <c r="R22" s="101"/>
      <c r="S22" s="101"/>
      <c r="T22" s="101"/>
      <c r="U22" s="101"/>
      <c r="V22" s="101"/>
      <c r="W22" s="3"/>
      <c r="X22" s="3"/>
      <c r="Y22" s="3"/>
      <c r="Z22" s="3"/>
    </row>
    <row r="23" spans="1:26" ht="13" thickBot="1">
      <c r="A23" s="79"/>
      <c r="B23" s="177"/>
      <c r="C23" s="141"/>
      <c r="D23" s="141" t="s">
        <v>728</v>
      </c>
      <c r="E23" s="141" t="s">
        <v>728</v>
      </c>
      <c r="F23" s="199" t="s">
        <v>885</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728</v>
      </c>
      <c r="C24" s="141"/>
      <c r="D24" s="141"/>
      <c r="E24" s="679">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797</v>
      </c>
      <c r="J28" s="98" t="s">
        <v>72</v>
      </c>
      <c r="K28" s="98" t="s">
        <v>61</v>
      </c>
      <c r="L28" s="191">
        <v>180</v>
      </c>
      <c r="M28" s="98" t="s">
        <v>4</v>
      </c>
      <c r="N28" s="98" t="s">
        <v>71</v>
      </c>
      <c r="O28" s="98"/>
      <c r="P28" s="98"/>
      <c r="Q28" s="98"/>
      <c r="R28" s="875"/>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90" t="s">
        <v>728</v>
      </c>
      <c r="E30" s="98"/>
      <c r="F30" s="98"/>
      <c r="G30" s="98" t="s">
        <v>59</v>
      </c>
      <c r="H30" s="691">
        <v>6</v>
      </c>
      <c r="I30" s="98" t="s">
        <v>375</v>
      </c>
      <c r="J30" s="98"/>
      <c r="K30" s="98" t="s">
        <v>61</v>
      </c>
      <c r="L30" s="692">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3"/>
      <c r="E31" s="141"/>
      <c r="F31" s="141"/>
      <c r="G31" s="141" t="s">
        <v>59</v>
      </c>
      <c r="H31" s="695">
        <f>20.4+20*LOG10(T31)+20*LOG10(F8/1000)+10*LOG10(V31)</f>
        <v>34.49331260163855</v>
      </c>
      <c r="I31" s="141" t="s">
        <v>375</v>
      </c>
      <c r="J31" s="141"/>
      <c r="K31" s="141" t="s">
        <v>61</v>
      </c>
      <c r="L31" s="695">
        <f>21/((F8/1000)*T31)</f>
        <v>3.0742204655248138</v>
      </c>
      <c r="M31" s="141" t="s">
        <v>4</v>
      </c>
      <c r="N31" s="141" t="s">
        <v>188</v>
      </c>
      <c r="O31" s="141"/>
      <c r="P31" s="141"/>
      <c r="Q31" s="141"/>
      <c r="R31" s="141"/>
      <c r="S31" s="714" t="s">
        <v>659</v>
      </c>
      <c r="T31" s="711">
        <v>5.4</v>
      </c>
      <c r="U31" s="715" t="s">
        <v>660</v>
      </c>
      <c r="V31" s="712">
        <v>0.55000000000000004</v>
      </c>
      <c r="W31" s="3"/>
      <c r="X31" s="3"/>
      <c r="Y31" s="3"/>
      <c r="Z31" s="3"/>
    </row>
    <row r="32" spans="1:26" ht="36" customHeight="1" thickBot="1">
      <c r="A32" s="197">
        <v>7</v>
      </c>
      <c r="B32" s="195" t="s">
        <v>97</v>
      </c>
      <c r="C32" s="195"/>
      <c r="D32" s="288"/>
      <c r="E32" s="195"/>
      <c r="F32" s="195"/>
      <c r="G32" s="195" t="s">
        <v>59</v>
      </c>
      <c r="H32" s="681">
        <v>1</v>
      </c>
      <c r="I32" s="195" t="s">
        <v>36</v>
      </c>
      <c r="J32" s="195"/>
      <c r="K32" s="195" t="s">
        <v>61</v>
      </c>
      <c r="L32" s="658">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728</v>
      </c>
      <c r="G37" s="3"/>
      <c r="H37" s="3"/>
      <c r="I37" s="3"/>
      <c r="J37" s="3"/>
      <c r="K37" s="3"/>
      <c r="L37" s="3"/>
      <c r="M37" s="3"/>
      <c r="N37" s="3"/>
      <c r="O37" s="3"/>
      <c r="P37" s="3"/>
      <c r="Q37" s="3"/>
      <c r="R37" s="3"/>
      <c r="S37" s="3"/>
      <c r="T37" s="3"/>
      <c r="U37" s="3"/>
      <c r="V37" s="3"/>
      <c r="W37" s="3"/>
      <c r="X37" s="3"/>
      <c r="Y37" s="3"/>
      <c r="Z37" s="3"/>
    </row>
    <row r="38" spans="1:26" ht="13.5" thickBot="1">
      <c r="A38" s="31"/>
      <c r="B38" s="187" t="s">
        <v>778</v>
      </c>
      <c r="C38" s="193"/>
      <c r="D38" s="180"/>
      <c r="E38" s="180"/>
      <c r="F38" s="180"/>
      <c r="G38" s="180"/>
      <c r="H38" s="180"/>
      <c r="I38" s="180"/>
      <c r="J38" s="180"/>
      <c r="K38" s="180"/>
      <c r="L38" s="181"/>
      <c r="M38" s="101"/>
      <c r="N38" s="101" t="s">
        <v>728</v>
      </c>
      <c r="O38" s="101"/>
      <c r="P38" s="101"/>
      <c r="Q38" s="101"/>
      <c r="R38" s="101"/>
      <c r="S38" s="101"/>
      <c r="T38" s="101"/>
      <c r="U38" s="3"/>
      <c r="V38" s="3"/>
      <c r="W38" s="3"/>
      <c r="X38" s="3"/>
      <c r="Y38" s="3"/>
      <c r="Z38" s="3"/>
    </row>
    <row r="39" spans="1:26">
      <c r="A39" s="31"/>
      <c r="B39" s="177"/>
      <c r="C39" s="141"/>
      <c r="D39" s="141" t="s">
        <v>14</v>
      </c>
      <c r="E39" s="141" t="s">
        <v>766</v>
      </c>
      <c r="F39" s="241">
        <f>Frequency!M16</f>
        <v>436.5</v>
      </c>
      <c r="G39" s="141" t="s">
        <v>767</v>
      </c>
      <c r="H39" s="141"/>
      <c r="I39" s="141"/>
      <c r="J39" s="141" t="s">
        <v>87</v>
      </c>
      <c r="K39" s="242">
        <f>299.8/F39</f>
        <v>0.6868270332187858</v>
      </c>
      <c r="L39" s="182" t="s">
        <v>768</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728</v>
      </c>
      <c r="C41" s="141"/>
      <c r="D41" s="141"/>
      <c r="E41" s="679">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90" t="s">
        <v>136</v>
      </c>
      <c r="E47" s="98"/>
      <c r="F47" s="98"/>
      <c r="G47" s="98" t="s">
        <v>59</v>
      </c>
      <c r="H47" s="709">
        <v>6</v>
      </c>
      <c r="I47" s="98" t="s">
        <v>375</v>
      </c>
      <c r="J47" s="98"/>
      <c r="K47" s="98" t="s">
        <v>61</v>
      </c>
      <c r="L47" s="710">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3"/>
      <c r="E48" s="141"/>
      <c r="F48" s="141"/>
      <c r="G48" s="141" t="s">
        <v>59</v>
      </c>
      <c r="H48" s="695">
        <f>20.4+20*LOG10(T48)+20*LOG10(F39/1000)+10*LOG10(V48)</f>
        <v>16.62391176905383</v>
      </c>
      <c r="I48" s="141" t="s">
        <v>375</v>
      </c>
      <c r="J48" s="141"/>
      <c r="K48" s="141" t="s">
        <v>61</v>
      </c>
      <c r="L48" s="695">
        <f>21/((F39/1000)*T48)</f>
        <v>24.054982817869416</v>
      </c>
      <c r="M48" s="141" t="s">
        <v>4</v>
      </c>
      <c r="N48" s="141" t="s">
        <v>188</v>
      </c>
      <c r="O48" s="141"/>
      <c r="P48" s="141"/>
      <c r="Q48" s="141"/>
      <c r="R48" s="141"/>
      <c r="S48" s="713" t="s">
        <v>659</v>
      </c>
      <c r="T48" s="711">
        <v>2</v>
      </c>
      <c r="U48" s="715" t="s">
        <v>660</v>
      </c>
      <c r="V48" s="712">
        <v>0.55000000000000004</v>
      </c>
      <c r="W48" s="3"/>
      <c r="X48" s="3"/>
      <c r="Y48" s="3"/>
      <c r="Z48" s="3"/>
    </row>
    <row r="49" spans="1:26" ht="36" customHeight="1" thickBot="1">
      <c r="A49" s="197">
        <v>7</v>
      </c>
      <c r="B49" s="195" t="s">
        <v>97</v>
      </c>
      <c r="C49" s="195"/>
      <c r="D49" s="288"/>
      <c r="E49" s="195"/>
      <c r="F49" s="195"/>
      <c r="G49" s="195" t="s">
        <v>59</v>
      </c>
      <c r="H49" s="681">
        <v>1</v>
      </c>
      <c r="I49" s="195" t="s">
        <v>36</v>
      </c>
      <c r="J49" s="195"/>
      <c r="K49" s="195" t="s">
        <v>61</v>
      </c>
      <c r="L49" s="658">
        <v>120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728</v>
      </c>
      <c r="C55" s="211"/>
      <c r="D55" s="326" t="s">
        <v>14</v>
      </c>
      <c r="E55" s="212" t="s">
        <v>766</v>
      </c>
      <c r="F55" s="243">
        <f>F39</f>
        <v>436.5</v>
      </c>
      <c r="G55" s="141" t="s">
        <v>767</v>
      </c>
      <c r="H55" s="141"/>
      <c r="I55" s="141"/>
      <c r="J55" s="141" t="s">
        <v>87</v>
      </c>
      <c r="K55" s="244">
        <f>299.8/F55</f>
        <v>0.6868270332187858</v>
      </c>
      <c r="L55" s="182" t="s">
        <v>768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728</v>
      </c>
      <c r="C58" s="141"/>
      <c r="D58" s="141"/>
      <c r="E58" s="679">
        <v>4</v>
      </c>
      <c r="F58" s="678"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797</v>
      </c>
      <c r="P60" s="151" t="s">
        <v>61</v>
      </c>
      <c r="Q60" s="154">
        <f>SQRT(40000/(10^(N60/10)))</f>
        <v>39.676193136730106</v>
      </c>
      <c r="R60" s="151" t="s">
        <v>4</v>
      </c>
      <c r="S60" s="151" t="s">
        <v>89</v>
      </c>
      <c r="T60" s="151"/>
      <c r="U60" s="155">
        <f>K55*E60</f>
        <v>1.3736540664375716</v>
      </c>
      <c r="V60" s="156" t="s">
        <v>768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797</v>
      </c>
      <c r="P61" s="158" t="s">
        <v>61</v>
      </c>
      <c r="Q61" s="163">
        <f>115/(K61*((E61*H61)^0.5))</f>
        <v>72.73238618387272</v>
      </c>
      <c r="R61" s="158" t="s">
        <v>4</v>
      </c>
      <c r="S61" s="382" t="s">
        <v>89</v>
      </c>
      <c r="T61" s="382"/>
      <c r="U61" s="381">
        <f>H61*E61*K55</f>
        <v>1.7170675830469646</v>
      </c>
      <c r="V61" s="164" t="s">
        <v>768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797</v>
      </c>
      <c r="P62" s="166" t="s">
        <v>61</v>
      </c>
      <c r="Q62" s="163">
        <f>21/((F55/1000)*H62)</f>
        <v>24.054982817869416</v>
      </c>
      <c r="R62" s="166" t="s">
        <v>4</v>
      </c>
      <c r="S62" s="166"/>
      <c r="T62" s="166"/>
      <c r="U62" s="166"/>
      <c r="V62" s="170"/>
      <c r="W62" s="3"/>
      <c r="X62" s="3"/>
      <c r="Y62" s="3"/>
      <c r="Z62" s="3"/>
    </row>
    <row r="63" spans="1:26" ht="36" customHeight="1" thickBot="1">
      <c r="A63" s="145">
        <v>4</v>
      </c>
      <c r="B63" s="146" t="s">
        <v>970</v>
      </c>
      <c r="C63" s="146"/>
      <c r="D63" s="146"/>
      <c r="E63" s="658" t="s">
        <v>972</v>
      </c>
      <c r="F63" s="927"/>
      <c r="G63" s="658" t="s">
        <v>973</v>
      </c>
      <c r="H63" s="936"/>
      <c r="I63" s="936"/>
      <c r="J63" s="936"/>
      <c r="K63" s="147"/>
      <c r="L63" s="146"/>
      <c r="M63" s="146" t="s">
        <v>59</v>
      </c>
      <c r="N63" s="148">
        <v>15.5</v>
      </c>
      <c r="O63" s="146" t="s">
        <v>797</v>
      </c>
      <c r="P63" s="146" t="s">
        <v>61</v>
      </c>
      <c r="Q63" s="149">
        <v>30</v>
      </c>
      <c r="R63" s="146" t="s">
        <v>4</v>
      </c>
      <c r="S63" s="716" t="s">
        <v>478</v>
      </c>
      <c r="T63" s="146"/>
      <c r="U63" s="717">
        <v>2.97</v>
      </c>
      <c r="V63" s="150" t="s">
        <v>768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728</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256</v>
      </c>
      <c r="B1" s="127"/>
      <c r="C1" s="127"/>
      <c r="D1" s="127"/>
      <c r="E1" s="127"/>
      <c r="F1" s="127"/>
      <c r="G1" s="643" t="str">
        <f>'Title Page'!F3</f>
        <v>OreSat - CS0</v>
      </c>
      <c r="H1" s="127"/>
      <c r="I1" s="127"/>
      <c r="J1" s="127"/>
      <c r="K1" s="642" t="str">
        <f>'Title Page'!F23</f>
        <v>2019 May 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771</v>
      </c>
      <c r="D3" s="233"/>
      <c r="E3" s="233"/>
      <c r="F3" s="233"/>
      <c r="G3" s="245" t="s">
        <v>772</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268</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266</v>
      </c>
      <c r="D25" s="233"/>
      <c r="E25" s="233"/>
      <c r="F25" s="233"/>
      <c r="G25" s="400" t="s">
        <v>267</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618</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90"/>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90"/>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728</v>
      </c>
      <c r="H32" s="180"/>
      <c r="I32" s="180"/>
      <c r="J32" s="180" t="s">
        <v>728</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728</v>
      </c>
      <c r="C33" s="211"/>
      <c r="D33" s="213" t="s">
        <v>104</v>
      </c>
      <c r="E33" s="212" t="s">
        <v>766</v>
      </c>
      <c r="F33" s="243">
        <f>'Antenna Gain'!F8</f>
        <v>1265</v>
      </c>
      <c r="G33" s="141" t="s">
        <v>767</v>
      </c>
      <c r="H33" s="141"/>
      <c r="I33" s="141"/>
      <c r="J33" s="141" t="s">
        <v>87</v>
      </c>
      <c r="K33" s="244">
        <f>'Antenna Gain'!K8</f>
        <v>0.23699604743083005</v>
      </c>
      <c r="L33" s="182" t="s">
        <v>768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728</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797</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797</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797</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797</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728</v>
      </c>
      <c r="C43" s="296" t="s">
        <v>134</v>
      </c>
      <c r="D43" s="297"/>
      <c r="E43" s="297"/>
      <c r="F43" s="286">
        <v>5</v>
      </c>
      <c r="G43" s="287" t="s">
        <v>135</v>
      </c>
      <c r="H43" s="296" t="s">
        <v>133</v>
      </c>
      <c r="I43" s="297"/>
      <c r="J43" s="297"/>
      <c r="K43" s="285">
        <f>-10*LOG10(3282.81*((SIN(RADIANS(R38))^2/(R38^2))))</f>
        <v>0.36081663808497533</v>
      </c>
      <c r="L43" s="185" t="s">
        <v>770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766</v>
      </c>
      <c r="F50" s="241">
        <f>'Antenna Gain'!F22</f>
        <v>1265</v>
      </c>
      <c r="G50" s="141" t="s">
        <v>767</v>
      </c>
      <c r="H50" s="141"/>
      <c r="I50" s="141"/>
      <c r="J50" s="141" t="s">
        <v>87</v>
      </c>
      <c r="K50" s="242">
        <f>'Antenna Gain'!K22</f>
        <v>0.23699604743083005</v>
      </c>
      <c r="L50" s="182" t="s">
        <v>768</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728</v>
      </c>
      <c r="E51" s="141" t="s">
        <v>728</v>
      </c>
      <c r="F51" s="199" t="s">
        <v>264</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728</v>
      </c>
      <c r="C52" s="141"/>
      <c r="D52" s="141"/>
      <c r="E52" s="317">
        <f>'Antenna Gain'!E24</f>
        <v>7</v>
      </c>
      <c r="F52" s="315" t="str">
        <f>'Antenna Gain'!F24</f>
        <v>Canted Turnstyle</v>
      </c>
      <c r="G52" s="185"/>
      <c r="H52" s="141"/>
      <c r="I52" s="141"/>
      <c r="J52" s="141" t="s">
        <v>60</v>
      </c>
      <c r="K52" s="280" t="str">
        <f>'Antenna Gain'!K24</f>
        <v>RHCP</v>
      </c>
      <c r="L52" s="182"/>
      <c r="M52" s="3"/>
      <c r="N52" s="3"/>
      <c r="O52" s="404" t="s">
        <v>274</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728</v>
      </c>
      <c r="G53" s="141"/>
      <c r="H53" s="141"/>
      <c r="I53" s="141"/>
      <c r="J53" s="141"/>
      <c r="K53" s="141"/>
      <c r="L53" s="182"/>
      <c r="M53" s="3"/>
      <c r="N53" s="3"/>
      <c r="O53" s="405" t="s">
        <v>275</v>
      </c>
      <c r="P53" s="3"/>
      <c r="Q53" s="3"/>
      <c r="R53" s="235" t="s">
        <v>728</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269</v>
      </c>
      <c r="P54" s="569" t="s">
        <v>578</v>
      </c>
      <c r="Q54" s="570"/>
      <c r="R54" s="322">
        <f>IF(G63&lt;100,-10*LOG10(COS(RADIANS(90-G63))),"No Signal")</f>
        <v>4.6594831535448265</v>
      </c>
      <c r="S54" s="323" t="s">
        <v>770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270</v>
      </c>
      <c r="P55" s="569" t="s">
        <v>579</v>
      </c>
      <c r="Q55" s="570"/>
      <c r="R55" s="318">
        <f>IF(G63&lt;90.001,-10*LOG10(COS(RADIANS($G$63))),-10*LOG(-COS(RADIANS($G$63))))</f>
        <v>0.27014183557063515</v>
      </c>
      <c r="S55" s="182" t="s">
        <v>770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797</v>
      </c>
      <c r="J56" s="98" t="s">
        <v>61</v>
      </c>
      <c r="K56" s="98">
        <f>'Antenna Gain'!L28</f>
        <v>180</v>
      </c>
      <c r="L56" s="99" t="s">
        <v>4</v>
      </c>
      <c r="M56" s="123"/>
      <c r="N56" s="124"/>
      <c r="O56" s="401" t="s">
        <v>273</v>
      </c>
      <c r="P56" s="569" t="s">
        <v>580</v>
      </c>
      <c r="Q56" s="570"/>
      <c r="R56" s="701">
        <f>IF(K52=K36,0.00075*(G63)^2, 0.00075*(180-G63)^2)</f>
        <v>0.3</v>
      </c>
      <c r="S56" s="323" t="s">
        <v>770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797</v>
      </c>
      <c r="J57" s="141" t="s">
        <v>61</v>
      </c>
      <c r="K57" s="141">
        <f>'Antenna Gain'!L29</f>
        <v>150</v>
      </c>
      <c r="L57" s="143" t="s">
        <v>4</v>
      </c>
      <c r="M57" s="123"/>
      <c r="N57" s="124"/>
      <c r="O57" s="402" t="s">
        <v>271</v>
      </c>
      <c r="P57" s="569" t="s">
        <v>581</v>
      </c>
      <c r="Q57" s="570"/>
      <c r="R57" s="318">
        <f>-1.5*(-(4-10*LOG10(1.256*(1+COS(RADIANS(G63))))))</f>
        <v>0.19916170492455665</v>
      </c>
      <c r="S57" s="182" t="s">
        <v>770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6" t="s">
        <v>186</v>
      </c>
      <c r="D58" s="98"/>
      <c r="E58" s="697" t="s">
        <v>728</v>
      </c>
      <c r="F58" s="98"/>
      <c r="G58" s="98" t="s">
        <v>59</v>
      </c>
      <c r="H58" s="698">
        <f>'Antenna Gain'!H30</f>
        <v>6</v>
      </c>
      <c r="I58" s="98" t="s">
        <v>190</v>
      </c>
      <c r="J58" s="98" t="s">
        <v>61</v>
      </c>
      <c r="K58" s="696">
        <f>'Antenna Gain'!L30</f>
        <v>90</v>
      </c>
      <c r="L58" s="99" t="s">
        <v>4</v>
      </c>
      <c r="M58" s="118"/>
      <c r="N58" s="119"/>
      <c r="O58" s="401" t="s">
        <v>272</v>
      </c>
      <c r="P58" s="569" t="s">
        <v>882</v>
      </c>
      <c r="Q58" s="570"/>
      <c r="R58" s="699">
        <f>-10*LOG10(3282.81*((SIN(RADIANS(G63*1.7724))^2)/((G63*1.7724)^2)))</f>
        <v>0.56135879700097513</v>
      </c>
      <c r="S58" s="700" t="s">
        <v>770</v>
      </c>
      <c r="T58" s="3"/>
      <c r="U58" s="3"/>
      <c r="V58" s="3"/>
      <c r="W58" s="3"/>
      <c r="X58" s="3" t="s">
        <v>728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4" t="s">
        <v>92</v>
      </c>
      <c r="D59" s="141"/>
      <c r="E59" s="703" t="s">
        <v>880</v>
      </c>
      <c r="F59" s="141"/>
      <c r="G59" s="141" t="s">
        <v>59</v>
      </c>
      <c r="H59" s="283">
        <f>'Antenna Gain'!H31</f>
        <v>34.49331260163855</v>
      </c>
      <c r="I59" s="141" t="s">
        <v>190</v>
      </c>
      <c r="J59" s="141" t="s">
        <v>61</v>
      </c>
      <c r="K59" s="370">
        <f>'Antenna Gain'!L31</f>
        <v>3.0742204655248138</v>
      </c>
      <c r="L59" s="143" t="s">
        <v>4</v>
      </c>
      <c r="M59" s="123"/>
      <c r="N59" s="123"/>
      <c r="O59" s="707" t="s">
        <v>879</v>
      </c>
      <c r="P59" s="708" t="s">
        <v>883</v>
      </c>
      <c r="Q59" s="570"/>
      <c r="R59" s="370">
        <f>-10*LOG10(3282.1*((SIN(RADIANS(U59))^2/(U59^2))))</f>
        <v>28.615497518438616</v>
      </c>
      <c r="S59" s="702" t="s">
        <v>770</v>
      </c>
      <c r="T59" s="3"/>
      <c r="U59" s="705">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4" t="s">
        <v>881</v>
      </c>
      <c r="F60" s="195"/>
      <c r="G60" s="195" t="s">
        <v>59</v>
      </c>
      <c r="H60" s="303">
        <f>'Antenna Gain'!H32</f>
        <v>1</v>
      </c>
      <c r="I60" s="195" t="s">
        <v>36</v>
      </c>
      <c r="J60" s="195" t="s">
        <v>61</v>
      </c>
      <c r="K60" s="304">
        <f>'Antenna Gain'!L32</f>
        <v>120</v>
      </c>
      <c r="L60" s="196" t="s">
        <v>4</v>
      </c>
      <c r="M60" s="123"/>
      <c r="N60" s="123"/>
      <c r="O60" s="706" t="s">
        <v>191</v>
      </c>
      <c r="P60" s="708" t="s">
        <v>884</v>
      </c>
      <c r="Q60" s="570"/>
      <c r="R60" s="373">
        <v>0</v>
      </c>
      <c r="S60" s="287" t="s">
        <v>770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436</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770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728</v>
      </c>
      <c r="N64" s="3" t="s">
        <v>728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766</v>
      </c>
      <c r="F72" s="241">
        <f>'Antenna Gain'!F39</f>
        <v>436.5</v>
      </c>
      <c r="G72" s="141" t="s">
        <v>767</v>
      </c>
      <c r="H72" s="141"/>
      <c r="I72" s="141"/>
      <c r="J72" s="141" t="s">
        <v>87</v>
      </c>
      <c r="K72" s="242">
        <f>'Antenna Gain'!K39</f>
        <v>0.6868270332187858</v>
      </c>
      <c r="L72" s="182" t="s">
        <v>768</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728</v>
      </c>
      <c r="E73" s="141" t="s">
        <v>728</v>
      </c>
      <c r="F73" s="199" t="s">
        <v>264</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728</v>
      </c>
      <c r="C74" s="141"/>
      <c r="D74" s="141"/>
      <c r="E74" s="317">
        <f>'Antenna Gain'!E41</f>
        <v>7</v>
      </c>
      <c r="F74" s="315" t="str">
        <f>'Antenna Gain'!F41</f>
        <v>Canted Turnstyle</v>
      </c>
      <c r="G74" s="185"/>
      <c r="H74" s="141"/>
      <c r="I74" s="141"/>
      <c r="J74" s="141" t="s">
        <v>60</v>
      </c>
      <c r="K74" s="280" t="str">
        <f>'Antenna Gain'!K41</f>
        <v>RHCP</v>
      </c>
      <c r="L74" s="182"/>
      <c r="M74" s="3"/>
      <c r="N74" s="3"/>
      <c r="O74" s="404" t="s">
        <v>274</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728</v>
      </c>
      <c r="G75" s="141"/>
      <c r="H75" s="141"/>
      <c r="I75" s="141"/>
      <c r="J75" s="141"/>
      <c r="K75" s="141"/>
      <c r="L75" s="182"/>
      <c r="M75" s="3"/>
      <c r="N75" s="3"/>
      <c r="O75" s="405" t="s">
        <v>275</v>
      </c>
      <c r="P75" s="3"/>
      <c r="Q75" s="3"/>
      <c r="R75" s="235" t="s">
        <v>728</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281</v>
      </c>
      <c r="P76" s="569" t="s">
        <v>578</v>
      </c>
      <c r="Q76" s="570"/>
      <c r="R76" s="322">
        <f>IF(G85&lt;100,-10*LOG10(COS(RADIANS(90-G85))),"No Signal")</f>
        <v>4.6594831535448265</v>
      </c>
      <c r="S76" s="323" t="s">
        <v>770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280</v>
      </c>
      <c r="P77" s="569" t="s">
        <v>579</v>
      </c>
      <c r="Q77" s="570"/>
      <c r="R77" s="318">
        <f>IF(G85&lt;90.001,-10*LOG10(COS(RADIANS(G85))),-10*LOG(-COS(RADIANS(G85))))</f>
        <v>0.27014183557063515</v>
      </c>
      <c r="S77" s="182" t="s">
        <v>770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797</v>
      </c>
      <c r="J78" s="98" t="s">
        <v>61</v>
      </c>
      <c r="K78" s="98">
        <f>'Antenna Gain'!L45</f>
        <v>180</v>
      </c>
      <c r="L78" s="99" t="s">
        <v>4</v>
      </c>
      <c r="M78" s="123"/>
      <c r="N78" s="124"/>
      <c r="O78" s="401" t="s">
        <v>277</v>
      </c>
      <c r="P78" s="569" t="s">
        <v>580</v>
      </c>
      <c r="Q78" s="570"/>
      <c r="R78" s="407">
        <f>IF(K74=K95, 0.00075*(G85)^2, 0.00075*(180-G85)^2)</f>
        <v>0.3</v>
      </c>
      <c r="S78" s="203" t="s">
        <v>770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797</v>
      </c>
      <c r="J79" s="141" t="s">
        <v>61</v>
      </c>
      <c r="K79" s="141">
        <f>'Antenna Gain'!L46</f>
        <v>150</v>
      </c>
      <c r="L79" s="143" t="s">
        <v>4</v>
      </c>
      <c r="M79" s="123"/>
      <c r="N79" s="124"/>
      <c r="O79" s="402" t="s">
        <v>279</v>
      </c>
      <c r="P79" s="569" t="s">
        <v>581</v>
      </c>
      <c r="Q79" s="570"/>
      <c r="R79" s="319">
        <f>1.5*((4-10*LOG10(1.256*(1+COS(RADIANS(G85))))))</f>
        <v>0.19916170492455665</v>
      </c>
      <c r="S79" s="237" t="s">
        <v>770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7" t="s">
        <v>136</v>
      </c>
      <c r="F80" s="98"/>
      <c r="G80" s="98" t="s">
        <v>59</v>
      </c>
      <c r="H80" s="698">
        <f>'Antenna Gain'!H47</f>
        <v>6</v>
      </c>
      <c r="I80" s="98" t="s">
        <v>36</v>
      </c>
      <c r="J80" s="98" t="s">
        <v>61</v>
      </c>
      <c r="K80" s="696">
        <f>'Antenna Gain'!L47</f>
        <v>90</v>
      </c>
      <c r="L80" s="99" t="s">
        <v>4</v>
      </c>
      <c r="M80" s="118"/>
      <c r="N80" s="119"/>
      <c r="O80" s="401" t="s">
        <v>278</v>
      </c>
      <c r="P80" s="569" t="str">
        <f>E80</f>
        <v>Patch (Example)</v>
      </c>
      <c r="Q80" s="570"/>
      <c r="R80" s="373">
        <f>-10*LOG10(3282.81*((SIN(RADIANS(G85*1.7724))^2)/((G85*1.7724)^2)))</f>
        <v>0.56135879700097513</v>
      </c>
      <c r="S80" s="287" t="s">
        <v>770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4" t="s">
        <v>92</v>
      </c>
      <c r="D81" s="141"/>
      <c r="E81" s="703" t="s">
        <v>880</v>
      </c>
      <c r="F81" s="141"/>
      <c r="G81" s="141" t="s">
        <v>59</v>
      </c>
      <c r="H81" s="283">
        <f>'Antenna Gain'!H48</f>
        <v>16.62391176905383</v>
      </c>
      <c r="I81" s="141" t="s">
        <v>190</v>
      </c>
      <c r="J81" s="141" t="s">
        <v>61</v>
      </c>
      <c r="K81" s="370">
        <f>'Antenna Gain'!L48</f>
        <v>24.054982817869416</v>
      </c>
      <c r="L81" s="143" t="s">
        <v>4</v>
      </c>
      <c r="M81" s="123"/>
      <c r="N81" s="123"/>
      <c r="O81" s="707" t="s">
        <v>879</v>
      </c>
      <c r="P81" s="708" t="s">
        <v>883</v>
      </c>
      <c r="Q81" s="570"/>
      <c r="R81" s="370">
        <f>-10*LOG10(3282.1*((SIN(RADIANS(U81))^2/(U81^2))))</f>
        <v>9.9566940971909901</v>
      </c>
      <c r="S81" s="702" t="s">
        <v>770</v>
      </c>
      <c r="T81" s="3"/>
      <c r="U81" s="705">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728</v>
      </c>
      <c r="B82" s="197">
        <v>7</v>
      </c>
      <c r="C82" s="304" t="s">
        <v>99</v>
      </c>
      <c r="D82" s="195"/>
      <c r="E82" s="704" t="s">
        <v>881</v>
      </c>
      <c r="F82" s="195"/>
      <c r="G82" s="195" t="s">
        <v>59</v>
      </c>
      <c r="H82" s="303">
        <f>'Antenna Gain'!H49</f>
        <v>1</v>
      </c>
      <c r="I82" s="195" t="s">
        <v>36</v>
      </c>
      <c r="J82" s="195" t="s">
        <v>61</v>
      </c>
      <c r="K82" s="304">
        <f>'Antenna Gain'!L49</f>
        <v>120</v>
      </c>
      <c r="L82" s="196" t="s">
        <v>4</v>
      </c>
      <c r="M82" s="123"/>
      <c r="N82" s="123"/>
      <c r="O82" s="706" t="s">
        <v>191</v>
      </c>
      <c r="P82" s="708" t="s">
        <v>884</v>
      </c>
      <c r="Q82" s="570"/>
      <c r="R82" s="373">
        <v>0</v>
      </c>
      <c r="S82" s="287" t="s">
        <v>770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436</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262</v>
      </c>
      <c r="D85" s="296"/>
      <c r="E85" s="296"/>
      <c r="F85" s="296"/>
      <c r="G85" s="321">
        <v>20</v>
      </c>
      <c r="H85" s="287" t="s">
        <v>4</v>
      </c>
      <c r="I85" s="310" t="s">
        <v>139</v>
      </c>
      <c r="J85" s="310"/>
      <c r="K85" s="285">
        <f>INDEX(R76:R82,E74, 1)</f>
        <v>0</v>
      </c>
      <c r="L85" s="305" t="s">
        <v>770</v>
      </c>
      <c r="M85" s="3"/>
      <c r="N85" s="3"/>
      <c r="O85" s="3"/>
      <c r="P85" s="3" t="s">
        <v>728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728</v>
      </c>
      <c r="H91" s="180"/>
      <c r="I91" s="180"/>
      <c r="J91" s="180" t="s">
        <v>728</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728</v>
      </c>
      <c r="C92" s="211"/>
      <c r="D92" s="213" t="s">
        <v>14</v>
      </c>
      <c r="E92" s="212" t="s">
        <v>766</v>
      </c>
      <c r="F92" s="243">
        <f>'Antenna Gain'!F55</f>
        <v>436.5</v>
      </c>
      <c r="G92" s="141" t="s">
        <v>767</v>
      </c>
      <c r="H92" s="141"/>
      <c r="I92" s="141"/>
      <c r="J92" s="141" t="s">
        <v>87</v>
      </c>
      <c r="K92" s="244">
        <f>'Antenna Gain'!K55</f>
        <v>0.6868270332187858</v>
      </c>
      <c r="L92" s="182" t="s">
        <v>768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728</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797</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797</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797</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797</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728</v>
      </c>
      <c r="C102" s="296" t="s">
        <v>263</v>
      </c>
      <c r="D102" s="297"/>
      <c r="E102" s="297"/>
      <c r="F102" s="286">
        <v>5</v>
      </c>
      <c r="G102" s="287" t="s">
        <v>135</v>
      </c>
      <c r="H102" s="296" t="s">
        <v>133</v>
      </c>
      <c r="I102" s="297"/>
      <c r="J102" s="297"/>
      <c r="K102" s="285">
        <f>-10*LOG10(3282.81*((SIN(RADIANS(R97))^2/(R97^2))))</f>
        <v>0.31396976431536944</v>
      </c>
      <c r="L102" s="185" t="s">
        <v>770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255</v>
      </c>
      <c r="B1" s="125"/>
      <c r="C1" s="126"/>
      <c r="D1" s="126"/>
      <c r="E1" s="126"/>
      <c r="F1" s="126"/>
      <c r="G1" s="126"/>
      <c r="H1" s="127"/>
      <c r="I1" s="127"/>
      <c r="J1" s="643" t="str">
        <f>'Title Page'!F3</f>
        <v>OreSat - CS0</v>
      </c>
      <c r="K1" s="127"/>
      <c r="L1" s="127"/>
      <c r="M1" s="127"/>
      <c r="N1" s="642" t="str">
        <f>'Title Page'!F23</f>
        <v>2019 May 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898</v>
      </c>
      <c r="F3" s="3"/>
      <c r="G3" s="3"/>
      <c r="H3" s="3"/>
      <c r="I3" s="3"/>
      <c r="J3" s="3"/>
      <c r="K3" s="3"/>
      <c r="L3" s="496" t="s">
        <v>728</v>
      </c>
      <c r="M3" s="3"/>
      <c r="N3" s="3"/>
      <c r="O3" s="3"/>
      <c r="P3" s="3"/>
      <c r="Q3" s="3"/>
      <c r="R3" s="3"/>
      <c r="S3" s="3"/>
      <c r="T3" s="3"/>
      <c r="U3" s="3"/>
      <c r="V3" s="3"/>
    </row>
    <row r="4" spans="1:22">
      <c r="A4" s="3"/>
      <c r="B4" s="94" t="s">
        <v>900</v>
      </c>
      <c r="C4" s="3"/>
      <c r="D4" s="3"/>
      <c r="E4" s="3"/>
      <c r="F4" s="3"/>
      <c r="G4" s="3"/>
      <c r="H4" s="3"/>
      <c r="I4" s="3"/>
      <c r="J4" s="3"/>
      <c r="K4" s="3"/>
      <c r="L4" s="3"/>
      <c r="M4" s="3"/>
      <c r="N4" s="3"/>
      <c r="O4" s="3"/>
      <c r="P4" s="3"/>
      <c r="Q4" s="3"/>
      <c r="R4" s="3"/>
      <c r="S4" s="3"/>
      <c r="T4" s="3"/>
      <c r="U4" s="3"/>
      <c r="V4" s="3"/>
    </row>
    <row r="5" spans="1:22" ht="13">
      <c r="A5" s="3"/>
      <c r="B5" s="3"/>
      <c r="C5" s="3"/>
      <c r="D5" s="3"/>
      <c r="E5" s="121" t="s">
        <v>899</v>
      </c>
      <c r="F5" s="3"/>
      <c r="G5" s="3"/>
      <c r="H5" s="3"/>
      <c r="I5" s="3"/>
      <c r="J5" s="3"/>
      <c r="K5" s="4" t="s">
        <v>897</v>
      </c>
      <c r="L5" s="3"/>
      <c r="M5" s="3"/>
      <c r="N5" s="4" t="s">
        <v>887</v>
      </c>
      <c r="O5" s="3"/>
      <c r="P5" s="3"/>
      <c r="Q5" s="4" t="s">
        <v>888</v>
      </c>
      <c r="R5" s="3"/>
      <c r="S5" s="3"/>
      <c r="T5" s="3"/>
      <c r="U5" s="3"/>
      <c r="V5" s="3"/>
    </row>
    <row r="6" spans="1:22">
      <c r="A6" s="3"/>
      <c r="B6" s="349" t="s">
        <v>140</v>
      </c>
      <c r="C6" s="3"/>
      <c r="D6" s="3"/>
      <c r="E6" s="3"/>
      <c r="F6" s="3"/>
      <c r="G6" s="3"/>
      <c r="H6" s="3"/>
      <c r="I6" s="3"/>
      <c r="J6" s="3"/>
      <c r="K6" s="3" t="s">
        <v>915</v>
      </c>
      <c r="L6" s="3"/>
      <c r="M6" s="3"/>
      <c r="N6" s="3" t="s">
        <v>915</v>
      </c>
      <c r="O6" s="3"/>
      <c r="P6" s="3"/>
      <c r="Q6" s="3" t="s">
        <v>916</v>
      </c>
      <c r="R6" s="3"/>
      <c r="S6" s="3"/>
      <c r="T6" s="3"/>
      <c r="U6" s="3"/>
      <c r="V6" s="3"/>
    </row>
    <row r="7" spans="1:22">
      <c r="A7" s="3"/>
      <c r="B7" s="3"/>
      <c r="C7" s="3"/>
      <c r="D7" s="3"/>
      <c r="E7" s="3"/>
      <c r="F7" s="3"/>
      <c r="G7" s="3"/>
      <c r="H7" s="3"/>
      <c r="I7" s="3"/>
      <c r="J7" s="3"/>
      <c r="K7" s="3"/>
      <c r="L7" s="3"/>
      <c r="M7" s="3"/>
      <c r="N7" s="3" t="s">
        <v>728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895</v>
      </c>
      <c r="R10" s="3"/>
      <c r="S10" s="3"/>
      <c r="T10" s="3"/>
      <c r="U10" s="3"/>
      <c r="V10" s="3"/>
    </row>
    <row r="11" spans="1:22" ht="13">
      <c r="A11" s="3"/>
      <c r="B11" s="3"/>
      <c r="C11" s="3"/>
      <c r="D11" s="3"/>
      <c r="E11" s="3"/>
      <c r="F11" s="3"/>
      <c r="G11" s="3"/>
      <c r="H11" s="4" t="s">
        <v>889</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896</v>
      </c>
      <c r="R20" s="3"/>
      <c r="S20" s="3"/>
      <c r="T20" s="3"/>
      <c r="U20" s="3"/>
      <c r="V20" s="3"/>
    </row>
    <row r="21" spans="1:22" ht="13">
      <c r="A21" s="3"/>
      <c r="B21" s="3"/>
      <c r="C21" s="3"/>
      <c r="D21" s="3"/>
      <c r="E21" s="3"/>
      <c r="F21" s="3"/>
      <c r="G21" s="3"/>
      <c r="H21" s="4" t="s">
        <v>894</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728</v>
      </c>
      <c r="C30" s="95" t="s">
        <v>914</v>
      </c>
      <c r="D30" s="95"/>
      <c r="E30" s="80"/>
      <c r="F30" s="80"/>
      <c r="G30" s="96"/>
      <c r="H30" s="3"/>
      <c r="I30" s="3"/>
      <c r="J30" s="3"/>
      <c r="K30" s="85"/>
      <c r="L30" s="86"/>
      <c r="M30" s="86"/>
      <c r="N30" s="87"/>
      <c r="O30" s="3"/>
      <c r="P30" s="3"/>
      <c r="Q30" s="3"/>
      <c r="R30" s="3"/>
      <c r="S30" s="3"/>
      <c r="T30" s="3"/>
      <c r="U30" s="3"/>
      <c r="V30" s="3"/>
    </row>
    <row r="31" spans="1:22" ht="13">
      <c r="A31" s="3"/>
      <c r="B31" s="97" t="s">
        <v>913</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873</v>
      </c>
      <c r="H32" s="3"/>
      <c r="I32" s="3"/>
      <c r="J32" s="3"/>
      <c r="K32" s="85"/>
      <c r="L32" s="86"/>
      <c r="M32" s="86"/>
      <c r="N32" s="87"/>
      <c r="O32" s="3"/>
      <c r="P32" s="82" t="s">
        <v>917</v>
      </c>
      <c r="Q32" s="83"/>
      <c r="R32" s="83"/>
      <c r="S32" s="84"/>
      <c r="T32" s="3"/>
      <c r="U32" s="3"/>
      <c r="V32" s="3"/>
    </row>
    <row r="33" spans="1:22">
      <c r="A33" s="3"/>
      <c r="B33" s="100"/>
      <c r="C33" s="101"/>
      <c r="D33" s="101"/>
      <c r="E33" s="102" t="s">
        <v>910</v>
      </c>
      <c r="F33" s="104">
        <f>10^(F32/20)</f>
        <v>1.1220184543019636</v>
      </c>
      <c r="G33" s="103" t="s">
        <v>874</v>
      </c>
      <c r="H33" s="3"/>
      <c r="I33" s="3"/>
      <c r="J33" s="3"/>
      <c r="K33" s="85"/>
      <c r="L33" s="86"/>
      <c r="M33" s="86"/>
      <c r="N33" s="87"/>
      <c r="O33" s="3"/>
      <c r="P33" s="85" t="s">
        <v>918</v>
      </c>
      <c r="Q33" s="86"/>
      <c r="R33" s="86"/>
      <c r="S33" s="87"/>
      <c r="T33" s="3"/>
      <c r="U33" s="3"/>
      <c r="V33" s="3"/>
    </row>
    <row r="34" spans="1:22">
      <c r="A34" s="3"/>
      <c r="B34" s="100"/>
      <c r="C34" s="101"/>
      <c r="D34" s="101"/>
      <c r="E34" s="102" t="s">
        <v>911</v>
      </c>
      <c r="F34" s="128">
        <v>1</v>
      </c>
      <c r="G34" s="103" t="s">
        <v>873</v>
      </c>
      <c r="H34" s="3"/>
      <c r="I34" s="3"/>
      <c r="J34" s="3"/>
      <c r="K34" s="85"/>
      <c r="L34" s="86"/>
      <c r="M34" s="86"/>
      <c r="N34" s="87"/>
      <c r="O34" s="3"/>
      <c r="P34" s="88" t="s">
        <v>0</v>
      </c>
      <c r="Q34" s="89"/>
      <c r="R34" s="89"/>
      <c r="S34" s="90"/>
      <c r="T34" s="3"/>
      <c r="U34" s="3"/>
      <c r="V34" s="3"/>
    </row>
    <row r="35" spans="1:22">
      <c r="A35" s="3"/>
      <c r="B35" s="100"/>
      <c r="C35" s="101"/>
      <c r="D35" s="101"/>
      <c r="E35" s="102" t="s">
        <v>912</v>
      </c>
      <c r="F35" s="104">
        <f>10^(F34/20)</f>
        <v>1.1220184543019636</v>
      </c>
      <c r="G35" s="103" t="s">
        <v>874</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875</v>
      </c>
      <c r="H36" s="3"/>
      <c r="I36" s="3"/>
      <c r="J36" s="3"/>
      <c r="K36" s="85"/>
      <c r="L36" s="86"/>
      <c r="M36" s="86"/>
      <c r="N36" s="87"/>
      <c r="O36" s="3"/>
      <c r="P36" s="3" t="s">
        <v>728</v>
      </c>
      <c r="Q36" s="3"/>
      <c r="R36" s="3"/>
      <c r="S36" s="3"/>
      <c r="T36" s="3"/>
      <c r="U36" s="3"/>
      <c r="V36" s="3"/>
    </row>
    <row r="37" spans="1:22">
      <c r="A37" s="3"/>
      <c r="B37" s="100"/>
      <c r="C37" s="101"/>
      <c r="D37" s="101"/>
      <c r="E37" s="102" t="s">
        <v>196</v>
      </c>
      <c r="F37" s="81">
        <f>RADIANS(F36)</f>
        <v>1.5707963267948966</v>
      </c>
      <c r="G37" s="103" t="s">
        <v>876</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877</v>
      </c>
      <c r="F39" s="106">
        <f>0.5*(1+((1-F33^2)*(1-F35^2)*COS(2*F37)+4*F33*F35)/((1+F33^2)*(1+F35^2)))</f>
        <v>0.98686150654198734</v>
      </c>
      <c r="G39" s="103" t="s">
        <v>874</v>
      </c>
      <c r="H39" s="3"/>
      <c r="I39" s="3"/>
      <c r="J39" s="3"/>
      <c r="K39" s="3"/>
      <c r="L39" s="3"/>
      <c r="M39" s="3"/>
      <c r="N39" s="3"/>
      <c r="O39" s="3"/>
      <c r="P39" s="3"/>
      <c r="Q39" s="3"/>
      <c r="R39" s="3"/>
      <c r="S39" s="3"/>
      <c r="T39" s="3"/>
      <c r="U39" s="3"/>
      <c r="V39" s="3"/>
    </row>
    <row r="40" spans="1:22" ht="13.5" thickBot="1">
      <c r="A40" s="3"/>
      <c r="B40" s="100"/>
      <c r="C40" s="101"/>
      <c r="D40" s="101"/>
      <c r="E40" s="102" t="s">
        <v>878</v>
      </c>
      <c r="F40" s="92">
        <f>-10*LOG(F39)</f>
        <v>5.7437907597720189E-2</v>
      </c>
      <c r="G40" s="103" t="s">
        <v>873</v>
      </c>
      <c r="H40" s="3"/>
      <c r="I40" s="3"/>
      <c r="J40" s="3"/>
      <c r="K40" s="3"/>
      <c r="L40" s="4" t="s">
        <v>908</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919</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901</v>
      </c>
      <c r="D43" s="101"/>
      <c r="E43" s="102"/>
      <c r="F43" s="868">
        <f>1-F39</f>
        <v>1.3138493458012657E-2</v>
      </c>
      <c r="G43" s="103"/>
      <c r="H43" s="3"/>
      <c r="I43" s="3"/>
      <c r="J43" s="3"/>
      <c r="K43" s="3"/>
      <c r="L43" s="3"/>
      <c r="M43" s="3"/>
      <c r="N43" s="3"/>
      <c r="O43" s="3"/>
      <c r="P43" s="3"/>
      <c r="Q43" s="3"/>
      <c r="R43" s="3"/>
      <c r="S43" s="3"/>
      <c r="T43" s="3"/>
      <c r="U43" s="3"/>
      <c r="V43" s="3"/>
    </row>
    <row r="44" spans="1:22">
      <c r="A44" s="3"/>
      <c r="B44" s="100"/>
      <c r="C44" s="101" t="s">
        <v>901</v>
      </c>
      <c r="D44" s="101"/>
      <c r="E44" s="101"/>
      <c r="F44" s="869">
        <f>10*LOG10(1-F39)</f>
        <v>-18.814544308479665</v>
      </c>
      <c r="G44" s="103" t="s">
        <v>873</v>
      </c>
      <c r="H44" s="876"/>
      <c r="I44" s="3"/>
      <c r="J44" s="3"/>
      <c r="K44" s="3"/>
      <c r="L44" s="3"/>
      <c r="M44" s="3"/>
      <c r="N44" s="3"/>
      <c r="O44" s="3"/>
      <c r="P44" s="3"/>
      <c r="Q44" s="3"/>
      <c r="R44" s="3"/>
      <c r="S44" s="3"/>
      <c r="T44" s="3"/>
      <c r="U44" s="3"/>
      <c r="V44" s="3"/>
    </row>
    <row r="45" spans="1:22" ht="13" thickBot="1">
      <c r="A45" s="3"/>
      <c r="B45" s="100"/>
      <c r="C45" s="101" t="s">
        <v>902</v>
      </c>
      <c r="D45" s="101"/>
      <c r="E45" s="101"/>
      <c r="F45" s="867">
        <f>F40-F44</f>
        <v>18.871982216077384</v>
      </c>
      <c r="G45" s="103" t="s">
        <v>873</v>
      </c>
      <c r="H45" s="3"/>
      <c r="I45" s="3" t="s">
        <v>728</v>
      </c>
      <c r="J45" s="3"/>
      <c r="K45" s="3"/>
      <c r="L45" s="3"/>
      <c r="M45" s="3"/>
      <c r="N45" s="3"/>
      <c r="O45" s="3"/>
      <c r="P45" s="3"/>
      <c r="Q45" s="3"/>
      <c r="R45" s="3"/>
      <c r="S45" s="3"/>
      <c r="T45" s="3"/>
      <c r="U45" s="3"/>
      <c r="V45" s="3"/>
    </row>
    <row r="46" spans="1:22" ht="13" thickBot="1">
      <c r="A46" s="3"/>
      <c r="B46" s="111"/>
      <c r="C46" s="112"/>
      <c r="D46" s="112"/>
      <c r="E46" s="112"/>
      <c r="F46" s="112" t="s">
        <v>728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909</v>
      </c>
      <c r="J47" s="3" t="s">
        <v>728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728</v>
      </c>
      <c r="C50" s="95" t="s">
        <v>914</v>
      </c>
      <c r="D50" s="95"/>
      <c r="E50" s="80"/>
      <c r="F50" s="80"/>
      <c r="G50" s="96"/>
      <c r="H50" s="3"/>
      <c r="I50" s="3"/>
      <c r="J50" s="3"/>
      <c r="K50" s="3"/>
      <c r="L50" s="3"/>
      <c r="M50" s="3"/>
      <c r="N50" s="3"/>
      <c r="O50" s="3"/>
      <c r="P50" s="3"/>
      <c r="Q50" s="3"/>
      <c r="R50" s="3"/>
      <c r="S50" s="3"/>
      <c r="T50" s="3"/>
      <c r="U50" s="3"/>
      <c r="V50" s="3"/>
    </row>
    <row r="51" spans="1:22" ht="13">
      <c r="A51" s="3"/>
      <c r="B51" s="97" t="s">
        <v>913</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873</v>
      </c>
      <c r="H52" s="3"/>
      <c r="I52" s="3"/>
      <c r="J52" s="3"/>
      <c r="K52" s="3"/>
      <c r="L52" s="3"/>
      <c r="M52" s="3"/>
      <c r="N52" s="3"/>
      <c r="O52" s="3"/>
      <c r="P52" s="3"/>
      <c r="Q52" s="3"/>
      <c r="R52" s="3"/>
      <c r="S52" s="3"/>
      <c r="T52" s="3"/>
      <c r="U52" s="3"/>
      <c r="V52" s="3"/>
    </row>
    <row r="53" spans="1:22">
      <c r="A53" s="3"/>
      <c r="B53" s="100"/>
      <c r="C53" s="101"/>
      <c r="D53" s="101"/>
      <c r="E53" s="102" t="s">
        <v>910</v>
      </c>
      <c r="F53" s="104">
        <f>10^(F52/20)</f>
        <v>1.1220184543019636</v>
      </c>
      <c r="G53" s="103" t="s">
        <v>874</v>
      </c>
      <c r="H53" s="3"/>
      <c r="I53" s="3"/>
      <c r="J53" s="3"/>
      <c r="K53" s="3"/>
      <c r="L53" s="3"/>
      <c r="M53" s="3"/>
      <c r="N53" s="3"/>
      <c r="O53" s="3"/>
      <c r="P53" s="3"/>
      <c r="Q53" s="3"/>
      <c r="R53" s="3"/>
      <c r="S53" s="3"/>
      <c r="T53" s="3"/>
      <c r="U53" s="3"/>
      <c r="V53" s="3"/>
    </row>
    <row r="54" spans="1:22">
      <c r="A54" s="3"/>
      <c r="B54" s="100"/>
      <c r="C54" s="101"/>
      <c r="D54" s="101"/>
      <c r="E54" s="102" t="s">
        <v>911</v>
      </c>
      <c r="F54" s="128">
        <v>1</v>
      </c>
      <c r="G54" s="103" t="s">
        <v>873</v>
      </c>
      <c r="H54" s="3"/>
      <c r="I54" s="3"/>
      <c r="J54" s="3"/>
      <c r="K54" s="3"/>
      <c r="L54" s="3"/>
      <c r="M54" s="3" t="s">
        <v>728</v>
      </c>
      <c r="N54" s="3"/>
      <c r="O54" s="3"/>
      <c r="P54" s="3"/>
      <c r="Q54" s="3"/>
      <c r="R54" s="3"/>
      <c r="S54" s="3"/>
      <c r="T54" s="3"/>
      <c r="U54" s="3"/>
      <c r="V54" s="3"/>
    </row>
    <row r="55" spans="1:22">
      <c r="A55" s="3"/>
      <c r="B55" s="100"/>
      <c r="C55" s="101"/>
      <c r="D55" s="101"/>
      <c r="E55" s="102" t="s">
        <v>912</v>
      </c>
      <c r="F55" s="104">
        <f>10^(F54/20)</f>
        <v>1.1220184543019636</v>
      </c>
      <c r="G55" s="103" t="s">
        <v>874</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875</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876</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877</v>
      </c>
      <c r="F59" s="106">
        <f>0.5*(1+((1-F53^2)*(1-F55^2)*COS(2*F57)+4*F53*F55)/((1+F53^2)*(1+F55^2)))</f>
        <v>0.98686150654198734</v>
      </c>
      <c r="G59" s="103" t="s">
        <v>874</v>
      </c>
      <c r="H59" s="3"/>
      <c r="I59" s="3"/>
      <c r="J59" s="3"/>
      <c r="K59" s="3"/>
      <c r="L59" s="3"/>
      <c r="M59" s="3"/>
      <c r="N59" s="3"/>
      <c r="O59" s="3"/>
      <c r="P59" s="3"/>
      <c r="Q59" s="3"/>
      <c r="R59" s="3"/>
      <c r="S59" s="3"/>
      <c r="T59" s="3"/>
      <c r="U59" s="3"/>
      <c r="V59" s="3"/>
    </row>
    <row r="60" spans="1:22" ht="13" thickBot="1">
      <c r="A60" s="3"/>
      <c r="B60" s="100"/>
      <c r="C60" s="101"/>
      <c r="D60" s="101"/>
      <c r="E60" s="102" t="s">
        <v>878</v>
      </c>
      <c r="F60" s="92">
        <f>-10*LOG(F59)</f>
        <v>5.7437907597720189E-2</v>
      </c>
      <c r="G60" s="103" t="s">
        <v>873</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919</v>
      </c>
      <c r="C62" s="98"/>
      <c r="D62" s="98"/>
      <c r="E62" s="108"/>
      <c r="F62" s="109"/>
      <c r="G62" s="110"/>
      <c r="H62" s="3"/>
      <c r="I62" s="3"/>
      <c r="J62" s="3"/>
      <c r="K62" s="3"/>
      <c r="L62" s="3"/>
      <c r="M62" s="3"/>
      <c r="N62" s="3"/>
      <c r="O62" s="3"/>
      <c r="P62" s="3"/>
      <c r="Q62" s="3"/>
      <c r="R62" s="3"/>
      <c r="S62" s="3"/>
      <c r="T62" s="3"/>
      <c r="U62" s="3"/>
      <c r="V62" s="3"/>
    </row>
    <row r="63" spans="1:22">
      <c r="A63" s="3"/>
      <c r="B63" s="100"/>
      <c r="C63" s="101" t="s">
        <v>901</v>
      </c>
      <c r="D63" s="101"/>
      <c r="E63" s="102"/>
      <c r="F63" s="918">
        <f>1-F59</f>
        <v>1.3138493458012657E-2</v>
      </c>
      <c r="G63" s="103"/>
      <c r="H63" s="3"/>
      <c r="I63" s="3"/>
      <c r="J63" s="3"/>
      <c r="K63" s="3"/>
      <c r="L63" s="3"/>
      <c r="M63" s="3"/>
      <c r="N63" s="3"/>
      <c r="O63" s="3"/>
      <c r="P63" s="3"/>
      <c r="Q63" s="3"/>
      <c r="R63" s="3"/>
      <c r="S63" s="3"/>
      <c r="T63" s="3"/>
      <c r="U63" s="3"/>
      <c r="V63" s="3"/>
    </row>
    <row r="64" spans="1:22" ht="13" thickBot="1">
      <c r="A64" s="3"/>
      <c r="B64" s="100"/>
      <c r="C64" s="101" t="s">
        <v>901</v>
      </c>
      <c r="D64" s="101"/>
      <c r="E64" s="101"/>
      <c r="F64" s="919">
        <f>10*LOG10(1-F59)</f>
        <v>-18.814544308479665</v>
      </c>
      <c r="G64" s="103" t="s">
        <v>873</v>
      </c>
      <c r="H64" s="3"/>
      <c r="I64" s="3"/>
      <c r="J64" s="3"/>
      <c r="K64" s="3"/>
      <c r="L64" s="3"/>
      <c r="M64" s="3"/>
      <c r="N64" s="3"/>
      <c r="O64" s="3"/>
      <c r="P64" s="3"/>
      <c r="Q64" s="3"/>
      <c r="R64" s="3"/>
      <c r="S64" s="3"/>
      <c r="T64" s="3"/>
      <c r="U64" s="3"/>
      <c r="V64" s="3"/>
    </row>
    <row r="65" spans="1:22" ht="13" thickBot="1">
      <c r="A65" s="3"/>
      <c r="B65" s="100"/>
      <c r="C65" s="101" t="s">
        <v>902</v>
      </c>
      <c r="D65" s="101"/>
      <c r="E65" s="101"/>
      <c r="F65" s="93">
        <f>F60-F64</f>
        <v>18.871982216077384</v>
      </c>
      <c r="G65" s="103" t="s">
        <v>873</v>
      </c>
      <c r="H65" s="3"/>
      <c r="I65" s="3"/>
      <c r="J65" s="3"/>
      <c r="K65" s="3"/>
      <c r="L65" s="3"/>
      <c r="M65" s="3"/>
      <c r="N65" s="3"/>
      <c r="O65" s="3"/>
      <c r="P65" s="3"/>
      <c r="Q65" s="3"/>
      <c r="R65" s="3"/>
      <c r="S65" s="3"/>
      <c r="T65" s="3"/>
      <c r="U65" s="3"/>
      <c r="V65" s="3"/>
    </row>
    <row r="66" spans="1:22" ht="13" thickBot="1">
      <c r="A66" s="3"/>
      <c r="B66" s="111"/>
      <c r="C66" s="112"/>
      <c r="D66" s="112"/>
      <c r="E66" s="112"/>
      <c r="F66" s="112" t="s">
        <v>728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7"/>
      <c r="C70" s="597"/>
      <c r="D70" s="597"/>
      <c r="E70" s="597"/>
      <c r="F70" s="598" t="s">
        <v>920</v>
      </c>
      <c r="G70" s="599"/>
      <c r="H70" s="599"/>
      <c r="I70" s="599" t="s">
        <v>728</v>
      </c>
      <c r="J70" s="599"/>
      <c r="K70" s="3"/>
      <c r="L70" s="3"/>
      <c r="M70" s="3"/>
      <c r="N70" s="3"/>
      <c r="O70" s="3"/>
      <c r="P70" s="3"/>
      <c r="Q70" s="3"/>
      <c r="R70" s="3"/>
      <c r="S70" s="3"/>
      <c r="T70" s="3"/>
      <c r="U70" s="3"/>
      <c r="V70" s="3"/>
    </row>
    <row r="71" spans="1:22" ht="13">
      <c r="A71" s="3"/>
      <c r="B71" s="23"/>
      <c r="C71" s="23"/>
      <c r="D71" s="47" t="s">
        <v>921</v>
      </c>
      <c r="E71" s="23"/>
      <c r="F71" s="47" t="s">
        <v>922</v>
      </c>
      <c r="G71" s="23"/>
      <c r="H71" s="595" t="s">
        <v>923</v>
      </c>
      <c r="I71" s="23"/>
      <c r="J71" s="596" t="s">
        <v>905</v>
      </c>
      <c r="K71" s="3"/>
      <c r="L71" s="3"/>
      <c r="M71" s="3"/>
      <c r="N71" s="3"/>
      <c r="O71" s="3"/>
      <c r="P71" s="3"/>
      <c r="Q71" s="3"/>
      <c r="R71" s="3"/>
      <c r="S71" s="3"/>
      <c r="T71" s="3"/>
      <c r="U71" s="3"/>
      <c r="V71" s="3"/>
    </row>
    <row r="72" spans="1:22" ht="13">
      <c r="A72" s="3"/>
      <c r="B72" s="23"/>
      <c r="C72" s="23"/>
      <c r="D72" s="596" t="s">
        <v>903</v>
      </c>
      <c r="E72" s="596"/>
      <c r="F72" s="596" t="s">
        <v>904</v>
      </c>
      <c r="G72" s="596"/>
      <c r="H72" s="596" t="s">
        <v>907</v>
      </c>
      <c r="I72" s="23"/>
      <c r="J72" s="596" t="s">
        <v>906</v>
      </c>
      <c r="K72" s="3"/>
      <c r="L72" s="3"/>
      <c r="M72" s="3"/>
      <c r="N72" s="3"/>
      <c r="O72" s="3"/>
      <c r="P72" s="3"/>
      <c r="Q72" s="3"/>
      <c r="R72" s="3"/>
      <c r="S72" s="3"/>
      <c r="T72" s="3"/>
      <c r="U72" s="3"/>
      <c r="V72" s="3"/>
    </row>
    <row r="73" spans="1:22" ht="13">
      <c r="A73" s="3"/>
      <c r="B73" s="23"/>
      <c r="C73" s="23"/>
      <c r="D73" s="596" t="s">
        <v>906</v>
      </c>
      <c r="E73" s="596"/>
      <c r="F73" s="596" t="s">
        <v>906</v>
      </c>
      <c r="G73" s="596"/>
      <c r="H73" s="596"/>
      <c r="I73" s="23"/>
      <c r="J73" s="596"/>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91" t="s">
        <v>929</v>
      </c>
      <c r="C75" s="592"/>
      <c r="D75" s="278">
        <v>0</v>
      </c>
      <c r="E75" s="278"/>
      <c r="F75" s="278">
        <v>0</v>
      </c>
      <c r="G75" s="278"/>
      <c r="H75" s="278">
        <v>90</v>
      </c>
      <c r="I75" s="278"/>
      <c r="J75" s="917">
        <v>0</v>
      </c>
      <c r="K75" s="3"/>
      <c r="L75" s="3"/>
      <c r="M75" s="3"/>
      <c r="N75" s="3"/>
      <c r="O75" s="3"/>
      <c r="P75" s="3"/>
      <c r="Q75" s="3"/>
      <c r="R75" s="3"/>
      <c r="S75" s="3"/>
      <c r="T75" s="3"/>
      <c r="U75" s="3"/>
      <c r="V75" s="3"/>
    </row>
    <row r="76" spans="1:22" ht="13">
      <c r="A76" s="3"/>
      <c r="B76" s="591" t="s">
        <v>928</v>
      </c>
      <c r="C76" s="592"/>
      <c r="D76" s="278">
        <v>0</v>
      </c>
      <c r="E76" s="278"/>
      <c r="F76" s="278">
        <v>1</v>
      </c>
      <c r="G76" s="278"/>
      <c r="H76" s="278">
        <v>90</v>
      </c>
      <c r="I76" s="278"/>
      <c r="J76" s="917">
        <v>-0.01</v>
      </c>
      <c r="K76" s="3"/>
      <c r="L76" s="3"/>
      <c r="M76" s="3"/>
      <c r="N76" s="3"/>
      <c r="O76" s="3"/>
      <c r="P76" s="3"/>
      <c r="Q76" s="3"/>
      <c r="R76" s="3"/>
      <c r="S76" s="3"/>
      <c r="T76" s="3"/>
      <c r="U76" s="3"/>
      <c r="V76" s="3"/>
    </row>
    <row r="77" spans="1:22">
      <c r="A77" s="3"/>
      <c r="B77" s="592"/>
      <c r="C77" s="592"/>
      <c r="D77" s="278">
        <v>0</v>
      </c>
      <c r="E77" s="278"/>
      <c r="F77" s="278">
        <v>2</v>
      </c>
      <c r="G77" s="278"/>
      <c r="H77" s="278">
        <v>90</v>
      </c>
      <c r="I77" s="278"/>
      <c r="J77" s="917">
        <v>-0.06</v>
      </c>
      <c r="K77" s="3"/>
      <c r="L77" s="3"/>
      <c r="M77" s="3"/>
      <c r="N77" s="3"/>
      <c r="O77" s="3"/>
      <c r="P77" s="3"/>
      <c r="Q77" s="3"/>
      <c r="R77" s="3"/>
      <c r="S77" s="3"/>
      <c r="T77" s="3"/>
      <c r="U77" s="3"/>
      <c r="V77" s="3"/>
    </row>
    <row r="78" spans="1:22" ht="13">
      <c r="A78" s="3"/>
      <c r="B78" s="592"/>
      <c r="C78" s="592"/>
      <c r="D78" s="278">
        <v>0</v>
      </c>
      <c r="E78" s="278"/>
      <c r="F78" s="278">
        <v>3</v>
      </c>
      <c r="G78" s="278"/>
      <c r="H78" s="278">
        <v>90</v>
      </c>
      <c r="I78" s="593"/>
      <c r="J78" s="917">
        <v>-0.13</v>
      </c>
      <c r="K78" s="3"/>
      <c r="L78" s="3"/>
      <c r="M78" s="3"/>
      <c r="N78" s="3"/>
      <c r="O78" s="3"/>
      <c r="P78" s="3"/>
      <c r="Q78" s="3"/>
      <c r="R78" s="3"/>
      <c r="S78" s="3"/>
      <c r="T78" s="3"/>
      <c r="U78" s="3"/>
      <c r="V78" s="3"/>
    </row>
    <row r="79" spans="1:22" ht="13">
      <c r="A79" s="3"/>
      <c r="B79" s="592"/>
      <c r="C79" s="592"/>
      <c r="D79" s="278">
        <v>0</v>
      </c>
      <c r="E79" s="278"/>
      <c r="F79" s="278">
        <v>6</v>
      </c>
      <c r="G79" s="278"/>
      <c r="H79" s="278">
        <v>90</v>
      </c>
      <c r="I79" s="593"/>
      <c r="J79" s="917">
        <v>-0.45</v>
      </c>
      <c r="K79" s="3"/>
      <c r="L79" s="3"/>
      <c r="M79" s="3"/>
      <c r="N79" s="3"/>
      <c r="O79" s="3"/>
      <c r="P79" s="3"/>
      <c r="Q79" s="3"/>
      <c r="R79" s="3"/>
      <c r="S79" s="3"/>
      <c r="T79" s="3"/>
      <c r="U79" s="3"/>
      <c r="V79" s="3"/>
    </row>
    <row r="80" spans="1:22">
      <c r="A80" s="3"/>
      <c r="B80" s="592"/>
      <c r="C80" s="592"/>
      <c r="D80" s="278">
        <v>0</v>
      </c>
      <c r="E80" s="278"/>
      <c r="F80" s="278">
        <v>10</v>
      </c>
      <c r="G80" s="278"/>
      <c r="H80" s="278">
        <v>90</v>
      </c>
      <c r="I80" s="278"/>
      <c r="J80" s="917">
        <v>-1.04</v>
      </c>
      <c r="K80" s="3"/>
      <c r="L80" s="3"/>
      <c r="M80" s="3"/>
      <c r="N80" s="3"/>
      <c r="O80" s="3"/>
      <c r="P80" s="3"/>
      <c r="Q80" s="3"/>
      <c r="R80" s="3"/>
      <c r="S80" s="3"/>
      <c r="T80" s="3"/>
      <c r="U80" s="3"/>
      <c r="V80" s="3"/>
    </row>
    <row r="81" spans="1:22">
      <c r="A81" s="3"/>
      <c r="B81" s="592"/>
      <c r="C81" s="592"/>
      <c r="D81" s="278">
        <v>0</v>
      </c>
      <c r="E81" s="278"/>
      <c r="F81" s="278">
        <v>30</v>
      </c>
      <c r="G81" s="278"/>
      <c r="H81" s="278">
        <v>90</v>
      </c>
      <c r="I81" s="278"/>
      <c r="J81" s="917">
        <v>-2.74</v>
      </c>
      <c r="K81" s="3"/>
      <c r="L81" s="114" t="s">
        <v>926</v>
      </c>
      <c r="M81" s="115"/>
      <c r="N81" s="115"/>
      <c r="O81" s="116"/>
      <c r="P81" s="3"/>
      <c r="Q81" s="3"/>
      <c r="R81" s="3"/>
      <c r="S81" s="3"/>
      <c r="T81" s="3"/>
      <c r="U81" s="3"/>
      <c r="V81" s="3"/>
    </row>
    <row r="82" spans="1:22">
      <c r="A82" s="3"/>
      <c r="B82" s="592"/>
      <c r="C82" s="592"/>
      <c r="D82" s="278">
        <v>0</v>
      </c>
      <c r="E82" s="278"/>
      <c r="F82" s="278">
        <v>30</v>
      </c>
      <c r="G82" s="278"/>
      <c r="H82" s="278">
        <v>0</v>
      </c>
      <c r="I82" s="278"/>
      <c r="J82" s="917">
        <v>-2.74</v>
      </c>
      <c r="K82" s="3"/>
      <c r="L82" s="117" t="s">
        <v>925</v>
      </c>
      <c r="M82" s="118"/>
      <c r="N82" s="118"/>
      <c r="O82" s="119"/>
      <c r="P82" s="3"/>
      <c r="Q82" s="3"/>
      <c r="R82" s="3"/>
      <c r="S82" s="3"/>
      <c r="T82" s="3"/>
      <c r="U82" s="3"/>
      <c r="V82" s="3"/>
    </row>
    <row r="83" spans="1:22">
      <c r="A83" s="3"/>
      <c r="B83" s="592"/>
      <c r="C83" s="592"/>
      <c r="D83" s="278"/>
      <c r="E83" s="278"/>
      <c r="F83" s="278"/>
      <c r="G83" s="278"/>
      <c r="H83" s="278"/>
      <c r="I83" s="278"/>
      <c r="J83" s="278"/>
      <c r="K83" s="3"/>
      <c r="L83" s="3"/>
      <c r="M83" s="3"/>
      <c r="N83" s="3"/>
      <c r="O83" s="3"/>
      <c r="P83" s="3"/>
      <c r="Q83" s="3"/>
      <c r="R83" s="3"/>
      <c r="S83" s="3"/>
      <c r="T83" s="3"/>
      <c r="U83" s="3"/>
      <c r="V83" s="3"/>
    </row>
    <row r="84" spans="1:22">
      <c r="A84" s="3"/>
      <c r="B84" s="592"/>
      <c r="C84" s="592"/>
      <c r="D84" s="278"/>
      <c r="E84" s="278"/>
      <c r="F84" s="278"/>
      <c r="G84" s="278"/>
      <c r="H84" s="278"/>
      <c r="I84" s="278" t="s">
        <v>728</v>
      </c>
      <c r="J84" s="278"/>
      <c r="K84" s="3"/>
      <c r="L84" s="3"/>
      <c r="M84" s="3"/>
      <c r="N84" s="3"/>
      <c r="O84" s="3"/>
      <c r="P84" s="3"/>
      <c r="Q84" s="3"/>
      <c r="R84" s="3"/>
      <c r="S84" s="3"/>
      <c r="T84" s="3"/>
      <c r="U84" s="3"/>
      <c r="V84" s="3"/>
    </row>
    <row r="85" spans="1:22" ht="13">
      <c r="A85" s="3"/>
      <c r="B85" s="591" t="s">
        <v>924</v>
      </c>
      <c r="C85" s="592"/>
      <c r="D85" s="278">
        <v>3</v>
      </c>
      <c r="E85" s="278"/>
      <c r="F85" s="278">
        <v>3</v>
      </c>
      <c r="G85" s="278"/>
      <c r="H85" s="278">
        <v>0</v>
      </c>
      <c r="I85" s="278"/>
      <c r="J85" s="917">
        <v>0</v>
      </c>
      <c r="K85" s="3"/>
      <c r="L85" s="3"/>
      <c r="M85" s="3"/>
      <c r="N85" s="3"/>
      <c r="O85" s="3"/>
      <c r="P85" s="3"/>
      <c r="Q85" s="3"/>
      <c r="R85" s="3"/>
      <c r="S85" s="3"/>
      <c r="T85" s="3"/>
      <c r="U85" s="3"/>
      <c r="V85" s="3"/>
    </row>
    <row r="86" spans="1:22">
      <c r="A86" s="3"/>
      <c r="B86" s="592"/>
      <c r="C86" s="592"/>
      <c r="D86" s="278">
        <v>3</v>
      </c>
      <c r="E86" s="278"/>
      <c r="F86" s="278">
        <v>3</v>
      </c>
      <c r="G86" s="278"/>
      <c r="H86" s="278">
        <v>45</v>
      </c>
      <c r="I86" s="278"/>
      <c r="J86" s="917">
        <v>-0.25</v>
      </c>
      <c r="K86" s="3"/>
      <c r="L86" s="122" t="s">
        <v>932</v>
      </c>
      <c r="M86" s="123"/>
      <c r="N86" s="123"/>
      <c r="O86" s="124"/>
      <c r="P86" s="3"/>
      <c r="Q86" s="3"/>
      <c r="R86" s="3"/>
      <c r="S86" s="3"/>
      <c r="T86" s="3"/>
      <c r="U86" s="3"/>
      <c r="V86" s="3"/>
    </row>
    <row r="87" spans="1:22">
      <c r="A87" s="3"/>
      <c r="B87" s="592"/>
      <c r="C87" s="592"/>
      <c r="D87" s="278">
        <v>3</v>
      </c>
      <c r="E87" s="278"/>
      <c r="F87" s="278">
        <v>3</v>
      </c>
      <c r="G87" s="278"/>
      <c r="H87" s="278">
        <v>90</v>
      </c>
      <c r="I87" s="278"/>
      <c r="J87" s="917">
        <v>-0.51</v>
      </c>
      <c r="K87" s="3"/>
      <c r="L87" s="3"/>
      <c r="M87" s="3"/>
      <c r="N87" s="3"/>
      <c r="O87" s="3"/>
      <c r="P87" s="3"/>
      <c r="Q87" s="3"/>
      <c r="R87" s="3"/>
      <c r="S87" s="3"/>
      <c r="T87" s="3"/>
      <c r="U87" s="3"/>
      <c r="V87" s="3"/>
    </row>
    <row r="88" spans="1:22">
      <c r="A88" s="3"/>
      <c r="B88" s="592"/>
      <c r="C88" s="592"/>
      <c r="D88" s="594"/>
      <c r="E88" s="594"/>
      <c r="F88" s="594"/>
      <c r="G88" s="594"/>
      <c r="H88" s="594"/>
      <c r="I88" s="594"/>
      <c r="J88" s="594"/>
      <c r="K88" s="3"/>
      <c r="L88" s="3"/>
      <c r="M88" s="3"/>
      <c r="N88" s="3"/>
      <c r="O88" s="3"/>
      <c r="P88" s="3"/>
      <c r="Q88" s="3"/>
      <c r="R88" s="3"/>
      <c r="S88" s="3"/>
      <c r="T88" s="3"/>
      <c r="U88" s="3"/>
      <c r="V88" s="3"/>
    </row>
    <row r="89" spans="1:22">
      <c r="A89" s="3"/>
      <c r="B89" s="592"/>
      <c r="C89" s="592"/>
      <c r="D89" s="594"/>
      <c r="E89" s="594"/>
      <c r="F89" s="594"/>
      <c r="G89" s="594"/>
      <c r="H89" s="594"/>
      <c r="I89" s="594"/>
      <c r="J89" s="594"/>
      <c r="K89" s="3"/>
      <c r="L89" s="3"/>
      <c r="M89" s="3"/>
      <c r="N89" s="3"/>
      <c r="O89" s="3"/>
      <c r="P89" s="3"/>
      <c r="Q89" s="3"/>
      <c r="R89" s="3"/>
      <c r="S89" s="3"/>
      <c r="T89" s="3"/>
      <c r="U89" s="3"/>
      <c r="V89" s="3"/>
    </row>
    <row r="90" spans="1:22">
      <c r="A90" s="3"/>
      <c r="B90" s="592" t="s">
        <v>927</v>
      </c>
      <c r="C90" s="592"/>
      <c r="D90" s="278">
        <v>30</v>
      </c>
      <c r="E90" s="278"/>
      <c r="F90" s="278">
        <v>30</v>
      </c>
      <c r="G90" s="278"/>
      <c r="H90" s="278">
        <v>0</v>
      </c>
      <c r="I90" s="278"/>
      <c r="J90" s="917">
        <v>0</v>
      </c>
      <c r="K90" s="3"/>
      <c r="L90" s="3"/>
      <c r="M90" s="3"/>
      <c r="N90" s="3"/>
      <c r="O90" s="3"/>
      <c r="P90" s="3"/>
      <c r="Q90" s="3"/>
      <c r="R90" s="3"/>
      <c r="S90" s="3"/>
      <c r="T90" s="3"/>
      <c r="U90" s="3"/>
      <c r="V90" s="3"/>
    </row>
    <row r="91" spans="1:22">
      <c r="A91" s="3"/>
      <c r="B91" s="592"/>
      <c r="C91" s="592"/>
      <c r="D91" s="278">
        <v>30</v>
      </c>
      <c r="E91" s="278"/>
      <c r="F91" s="278">
        <v>30</v>
      </c>
      <c r="G91" s="278"/>
      <c r="H91" s="278">
        <v>30</v>
      </c>
      <c r="I91" s="278"/>
      <c r="J91" s="917">
        <v>-1.24</v>
      </c>
      <c r="K91" s="3"/>
      <c r="L91" s="3"/>
      <c r="M91" s="3"/>
      <c r="N91" s="3"/>
      <c r="O91" s="3"/>
      <c r="P91" s="3"/>
      <c r="Q91" s="3"/>
      <c r="R91" s="3"/>
      <c r="S91" s="3"/>
      <c r="T91" s="3"/>
      <c r="U91" s="3"/>
      <c r="V91" s="3"/>
    </row>
    <row r="92" spans="1:22">
      <c r="A92" s="3"/>
      <c r="B92" s="592"/>
      <c r="C92" s="592"/>
      <c r="D92" s="278">
        <v>30</v>
      </c>
      <c r="E92" s="278"/>
      <c r="F92" s="278">
        <v>30</v>
      </c>
      <c r="G92" s="278"/>
      <c r="H92" s="278">
        <v>45</v>
      </c>
      <c r="I92" s="278"/>
      <c r="J92" s="917">
        <v>-2.99</v>
      </c>
      <c r="K92" s="3"/>
      <c r="L92" s="3"/>
      <c r="M92" s="3"/>
      <c r="N92" s="3"/>
      <c r="O92" s="3"/>
      <c r="P92" s="3"/>
      <c r="Q92" s="3"/>
      <c r="R92" s="3"/>
      <c r="S92" s="3"/>
      <c r="T92" s="3"/>
      <c r="U92" s="3"/>
      <c r="V92" s="3"/>
    </row>
    <row r="93" spans="1:22">
      <c r="A93" s="3"/>
      <c r="B93" s="592"/>
      <c r="C93" s="592"/>
      <c r="D93" s="278">
        <v>30</v>
      </c>
      <c r="E93" s="278"/>
      <c r="F93" s="278">
        <v>30</v>
      </c>
      <c r="G93" s="278"/>
      <c r="H93" s="278">
        <v>60</v>
      </c>
      <c r="I93" s="278"/>
      <c r="J93" s="917">
        <v>-5.97</v>
      </c>
      <c r="K93" s="3"/>
      <c r="L93" s="3"/>
      <c r="M93" s="3"/>
      <c r="N93" s="3"/>
      <c r="O93" s="3"/>
      <c r="P93" s="3"/>
      <c r="Q93" s="3"/>
      <c r="R93" s="3"/>
      <c r="S93" s="3"/>
      <c r="T93" s="3"/>
      <c r="U93" s="3"/>
      <c r="V93" s="3"/>
    </row>
    <row r="94" spans="1:22">
      <c r="A94" s="3"/>
      <c r="B94" s="592"/>
      <c r="C94" s="592"/>
      <c r="D94" s="278">
        <v>30</v>
      </c>
      <c r="E94" s="278"/>
      <c r="F94" s="278">
        <v>30</v>
      </c>
      <c r="G94" s="278"/>
      <c r="H94" s="278">
        <v>90</v>
      </c>
      <c r="I94" s="278"/>
      <c r="J94" s="917">
        <v>-23.99</v>
      </c>
      <c r="K94" s="3"/>
      <c r="L94" s="3"/>
      <c r="M94" s="3"/>
      <c r="N94" s="3"/>
      <c r="O94" s="3"/>
      <c r="P94" s="3"/>
      <c r="Q94" s="3"/>
      <c r="R94" s="3"/>
      <c r="S94" s="3"/>
      <c r="T94" s="3"/>
      <c r="U94" s="3"/>
      <c r="V94" s="3"/>
    </row>
    <row r="95" spans="1:22">
      <c r="A95" s="3"/>
      <c r="B95" s="592"/>
      <c r="C95" s="592"/>
      <c r="D95" s="278"/>
      <c r="E95" s="278"/>
      <c r="F95" s="278"/>
      <c r="G95" s="278"/>
      <c r="H95" s="278"/>
      <c r="I95" s="278"/>
      <c r="J95" s="278"/>
      <c r="K95" s="3"/>
      <c r="L95" s="3"/>
      <c r="M95" s="3"/>
      <c r="N95" s="3"/>
      <c r="O95" s="3"/>
      <c r="P95" s="3"/>
      <c r="Q95" s="3"/>
      <c r="R95" s="3"/>
      <c r="S95" s="3"/>
      <c r="T95" s="3"/>
      <c r="U95" s="3"/>
      <c r="V95" s="3"/>
    </row>
    <row r="96" spans="1:22" ht="13">
      <c r="A96" s="3"/>
      <c r="B96" s="591" t="s">
        <v>930</v>
      </c>
      <c r="C96" s="591"/>
      <c r="D96" s="278">
        <v>2</v>
      </c>
      <c r="E96" s="278"/>
      <c r="F96" s="278">
        <v>30</v>
      </c>
      <c r="G96" s="278"/>
      <c r="H96" s="278">
        <v>0</v>
      </c>
      <c r="I96" s="278"/>
      <c r="J96" s="917">
        <v>-1.91</v>
      </c>
      <c r="K96" s="3"/>
      <c r="L96" s="3" t="s">
        <v>728</v>
      </c>
      <c r="M96" s="3"/>
      <c r="N96" s="3"/>
      <c r="O96" s="3"/>
      <c r="P96" s="3"/>
      <c r="Q96" s="3"/>
      <c r="R96" s="3"/>
      <c r="S96" s="3"/>
      <c r="T96" s="3"/>
      <c r="U96" s="3"/>
      <c r="V96" s="3"/>
    </row>
    <row r="97" spans="1:22" ht="13">
      <c r="A97" s="3"/>
      <c r="B97" s="591" t="s">
        <v>931</v>
      </c>
      <c r="C97" s="591"/>
      <c r="D97" s="278">
        <v>2</v>
      </c>
      <c r="E97" s="278"/>
      <c r="F97" s="278">
        <v>30</v>
      </c>
      <c r="G97" s="278"/>
      <c r="H97" s="278">
        <v>45</v>
      </c>
      <c r="I97" s="278"/>
      <c r="J97" s="917">
        <v>-2.75</v>
      </c>
      <c r="K97" s="3"/>
      <c r="L97" s="122" t="s">
        <v>124</v>
      </c>
      <c r="M97" s="123"/>
      <c r="N97" s="123"/>
      <c r="O97" s="123"/>
      <c r="P97" s="124"/>
      <c r="Q97" s="3"/>
      <c r="R97" s="3"/>
      <c r="S97" s="3"/>
      <c r="T97" s="3"/>
      <c r="U97" s="3"/>
      <c r="V97" s="3"/>
    </row>
    <row r="98" spans="1:22" ht="13">
      <c r="A98" s="3"/>
      <c r="B98" s="591"/>
      <c r="C98" s="591"/>
      <c r="D98" s="278">
        <v>2</v>
      </c>
      <c r="E98" s="278"/>
      <c r="F98" s="278">
        <v>30</v>
      </c>
      <c r="G98" s="278"/>
      <c r="H98" s="278">
        <v>90</v>
      </c>
      <c r="I98" s="278"/>
      <c r="J98" s="917">
        <v>-3.79</v>
      </c>
      <c r="K98" s="3"/>
      <c r="L98" s="3"/>
      <c r="M98" s="3"/>
      <c r="N98" s="3"/>
      <c r="O98" s="3"/>
      <c r="P98" s="3"/>
      <c r="Q98" s="3"/>
      <c r="R98" s="3"/>
      <c r="S98" s="3"/>
      <c r="T98" s="3"/>
      <c r="U98" s="3"/>
      <c r="V98" s="3"/>
    </row>
    <row r="99" spans="1:22">
      <c r="A99" s="3"/>
      <c r="B99" s="91"/>
      <c r="C99" s="91"/>
      <c r="D99" s="433"/>
      <c r="E99" s="433"/>
      <c r="F99" s="433"/>
      <c r="G99" s="433"/>
      <c r="H99" s="433"/>
      <c r="I99" s="433"/>
      <c r="J99" s="433"/>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2019-05-06T20:05:08Z</dcterms:modified>
</cp:coreProperties>
</file>