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mc:AlternateContent xmlns:mc="http://schemas.openxmlformats.org/markup-compatibility/2006">
    <mc:Choice Requires="x15">
      <x15ac:absPath xmlns:x15ac="http://schemas.microsoft.com/office/spreadsheetml/2010/11/ac" url="C:\Users\emastro\Documents\OreSat\Link Budget\"/>
    </mc:Choice>
  </mc:AlternateContent>
  <xr:revisionPtr revIDLastSave="0" documentId="13_ncr:1_{B02A1D8D-CCBA-46BB-A934-18B45EEF6360}" xr6:coauthVersionLast="37" xr6:coauthVersionMax="37" xr10:uidLastSave="{00000000-0000-0000-0000-000000000000}"/>
  <bookViews>
    <workbookView xWindow="32775" yWindow="32775" windowWidth="28800" windowHeight="15045"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21" i="15" l="1"/>
  <c r="J122" i="15"/>
  <c r="J117" i="15"/>
  <c r="J118" i="15"/>
  <c r="J116" i="15"/>
  <c r="J44" i="15" l="1"/>
  <c r="J45" i="15"/>
  <c r="J43" i="15"/>
  <c r="J48" i="15"/>
  <c r="J49" i="15"/>
  <c r="J47" i="15"/>
  <c r="J52" i="15"/>
  <c r="I34" i="14"/>
  <c r="I75" i="14"/>
  <c r="I68" i="14"/>
  <c r="I69" i="14"/>
  <c r="I67" i="14"/>
  <c r="G68" i="14"/>
  <c r="G69" i="14"/>
  <c r="G67" i="14"/>
  <c r="I27" i="14"/>
  <c r="I28" i="14"/>
  <c r="I26" i="14"/>
  <c r="G27" i="14"/>
  <c r="G28" i="14"/>
  <c r="G26" i="14"/>
  <c r="I71" i="14" l="1"/>
  <c r="I82" i="14" s="1"/>
  <c r="I30" i="14"/>
  <c r="U58" i="15"/>
  <c r="J65" i="15" l="1"/>
  <c r="I23" i="4"/>
  <c r="M16" i="20"/>
  <c r="F39" i="9"/>
  <c r="F55" i="9"/>
  <c r="N62" i="9"/>
  <c r="G99" i="12"/>
  <c r="N61" i="9"/>
  <c r="G98" i="12"/>
  <c r="N60" i="9"/>
  <c r="G97" i="12"/>
  <c r="F55" i="7"/>
  <c r="F53" i="7"/>
  <c r="F35" i="7"/>
  <c r="F33" i="7"/>
  <c r="F7" i="10"/>
  <c r="S7" i="10"/>
  <c r="I34" i="10"/>
  <c r="C34" i="10"/>
  <c r="D34" i="10"/>
  <c r="E34" i="10"/>
  <c r="F34" i="10"/>
  <c r="I25" i="10"/>
  <c r="C25" i="10"/>
  <c r="D25" i="10"/>
  <c r="E25" i="10"/>
  <c r="F25" i="10"/>
  <c r="F9" i="10"/>
  <c r="F11" i="10"/>
  <c r="H11" i="10"/>
  <c r="M10" i="20"/>
  <c r="D4" i="1"/>
  <c r="G4" i="20"/>
  <c r="B31" i="1"/>
  <c r="B32" i="1"/>
  <c r="B36" i="1"/>
  <c r="D6" i="1"/>
  <c r="B91" i="1"/>
  <c r="B101" i="1"/>
  <c r="B110" i="1"/>
  <c r="B104" i="1"/>
  <c r="D8" i="1"/>
  <c r="G4" i="1"/>
  <c r="G6" i="20"/>
  <c r="D23" i="8"/>
  <c r="B16" i="5" s="1"/>
  <c r="O102" i="1"/>
  <c r="O101" i="1"/>
  <c r="C29" i="21"/>
  <c r="B17" i="3"/>
  <c r="B48" i="8"/>
  <c r="B35" i="8"/>
  <c r="B17" i="5"/>
  <c r="B45" i="1"/>
  <c r="B46" i="1"/>
  <c r="B77" i="1"/>
  <c r="D77" i="1"/>
  <c r="C63" i="1"/>
  <c r="B50" i="1"/>
  <c r="C26" i="21"/>
  <c r="C27" i="21"/>
  <c r="B106" i="1"/>
  <c r="C5" i="21"/>
  <c r="C6" i="21"/>
  <c r="C8" i="21"/>
  <c r="C9" i="21"/>
  <c r="C10" i="21"/>
  <c r="D125" i="1"/>
  <c r="D9" i="1"/>
  <c r="E17" i="20"/>
  <c r="E10" i="20"/>
  <c r="E19" i="20"/>
  <c r="E18" i="20"/>
  <c r="E16" i="20"/>
  <c r="E13" i="20"/>
  <c r="E12" i="20"/>
  <c r="E11" i="20"/>
  <c r="F3" i="16"/>
  <c r="B89" i="1"/>
  <c r="E78" i="1"/>
  <c r="B78" i="1"/>
  <c r="D78" i="1"/>
  <c r="E77" i="1"/>
  <c r="E76" i="1"/>
  <c r="B76" i="1"/>
  <c r="D76" i="1"/>
  <c r="E75" i="1"/>
  <c r="B75" i="1"/>
  <c r="D75" i="1"/>
  <c r="E74" i="1"/>
  <c r="B74" i="1"/>
  <c r="D74" i="1"/>
  <c r="E73" i="1"/>
  <c r="B73" i="1"/>
  <c r="D73" i="1"/>
  <c r="E72" i="1"/>
  <c r="B72" i="1"/>
  <c r="D72" i="1"/>
  <c r="E71" i="1"/>
  <c r="B71" i="1"/>
  <c r="D71" i="1"/>
  <c r="E70" i="1"/>
  <c r="B70" i="1"/>
  <c r="D70" i="1"/>
  <c r="E69" i="1"/>
  <c r="B69" i="1"/>
  <c r="D69" i="1"/>
  <c r="E68" i="1"/>
  <c r="B68" i="1"/>
  <c r="D68" i="1"/>
  <c r="E67" i="1"/>
  <c r="B67" i="1"/>
  <c r="D67" i="1"/>
  <c r="E66" i="1"/>
  <c r="B66" i="1"/>
  <c r="D66" i="1"/>
  <c r="E65" i="1"/>
  <c r="B65" i="1"/>
  <c r="D65" i="1"/>
  <c r="B53" i="1"/>
  <c r="B52" i="1"/>
  <c r="B51" i="1"/>
  <c r="J120" i="15"/>
  <c r="O65" i="16" s="1"/>
  <c r="O59" i="16"/>
  <c r="O54" i="16"/>
  <c r="J125" i="15"/>
  <c r="O62" i="16"/>
  <c r="K76" i="12"/>
  <c r="K77" i="12"/>
  <c r="K78" i="12"/>
  <c r="K79" i="12"/>
  <c r="K80" i="12"/>
  <c r="H76" i="12"/>
  <c r="H77" i="12"/>
  <c r="H45" i="9"/>
  <c r="H78" i="12"/>
  <c r="H79" i="12"/>
  <c r="H80" i="12"/>
  <c r="K54" i="12"/>
  <c r="K55" i="12"/>
  <c r="K56" i="12"/>
  <c r="K57" i="12"/>
  <c r="K58" i="12"/>
  <c r="H54" i="12"/>
  <c r="H55" i="12"/>
  <c r="H28" i="9"/>
  <c r="H56" i="12"/>
  <c r="H57" i="12"/>
  <c r="H58" i="12"/>
  <c r="J41" i="12"/>
  <c r="F58" i="9"/>
  <c r="J45" i="16"/>
  <c r="F41" i="9"/>
  <c r="J38" i="16"/>
  <c r="F11" i="9"/>
  <c r="B76" i="16" s="1"/>
  <c r="F24" i="9"/>
  <c r="B67" i="16" s="1"/>
  <c r="B50" i="5"/>
  <c r="E74" i="12"/>
  <c r="K74" i="12"/>
  <c r="K95" i="12"/>
  <c r="R78" i="12" s="1"/>
  <c r="K85" i="12"/>
  <c r="K82" i="12"/>
  <c r="H82" i="12"/>
  <c r="B10" i="3"/>
  <c r="E52" i="12"/>
  <c r="R54" i="12"/>
  <c r="K63" i="12"/>
  <c r="B49" i="5" s="1"/>
  <c r="K60" i="12"/>
  <c r="H60" i="12"/>
  <c r="B23" i="5"/>
  <c r="G66" i="16" s="1"/>
  <c r="C217" i="13"/>
  <c r="C218" i="13"/>
  <c r="C219" i="13"/>
  <c r="J146" i="15"/>
  <c r="J138" i="15"/>
  <c r="D19" i="13"/>
  <c r="D18" i="13"/>
  <c r="D17" i="13"/>
  <c r="D16" i="13"/>
  <c r="D15" i="13"/>
  <c r="D14" i="13"/>
  <c r="D13" i="13"/>
  <c r="D12" i="13"/>
  <c r="D11" i="13"/>
  <c r="D10" i="13"/>
  <c r="D9" i="13"/>
  <c r="D20" i="13"/>
  <c r="D21" i="13"/>
  <c r="D22" i="13"/>
  <c r="D23" i="13"/>
  <c r="D24" i="13"/>
  <c r="D25" i="13"/>
  <c r="D26" i="13"/>
  <c r="D27" i="13"/>
  <c r="C16" i="10"/>
  <c r="D16" i="10"/>
  <c r="E16" i="10"/>
  <c r="F16" i="10"/>
  <c r="I64" i="14"/>
  <c r="G57" i="14"/>
  <c r="I23" i="14"/>
  <c r="I40" i="14"/>
  <c r="G82" i="16" s="1"/>
  <c r="G16" i="14"/>
  <c r="L1" i="16"/>
  <c r="G1" i="16"/>
  <c r="D1" i="3"/>
  <c r="D1" i="5"/>
  <c r="G1" i="6"/>
  <c r="E1" i="6"/>
  <c r="M1" i="8"/>
  <c r="H1" i="8"/>
  <c r="N1" i="7"/>
  <c r="J1" i="7"/>
  <c r="K1" i="12"/>
  <c r="G1" i="12"/>
  <c r="L1" i="9"/>
  <c r="G1" i="9"/>
  <c r="K1" i="15"/>
  <c r="H1" i="15"/>
  <c r="J1" i="14"/>
  <c r="F1" i="14"/>
  <c r="E1" i="1"/>
  <c r="M1" i="19"/>
  <c r="J1" i="19"/>
  <c r="K23" i="4"/>
  <c r="B6" i="3"/>
  <c r="B7" i="3" s="1"/>
  <c r="F57" i="7"/>
  <c r="F59" i="7"/>
  <c r="F60" i="7"/>
  <c r="B14" i="3"/>
  <c r="B49" i="3"/>
  <c r="E95" i="12"/>
  <c r="J100" i="12"/>
  <c r="R97" i="12"/>
  <c r="K102" i="12" s="1"/>
  <c r="D218" i="13"/>
  <c r="D217" i="13"/>
  <c r="D216" i="13"/>
  <c r="C177" i="13"/>
  <c r="C178" i="13"/>
  <c r="D177" i="13"/>
  <c r="D176" i="13"/>
  <c r="R79" i="12"/>
  <c r="P80" i="12"/>
  <c r="V20" i="18"/>
  <c r="V18" i="18"/>
  <c r="O23" i="18"/>
  <c r="B23" i="3"/>
  <c r="B29" i="3"/>
  <c r="H32" i="6"/>
  <c r="B41" i="3" s="1"/>
  <c r="O96" i="16" s="1"/>
  <c r="B6" i="5"/>
  <c r="B7" i="5" s="1"/>
  <c r="B8" i="5" s="1"/>
  <c r="B10" i="5"/>
  <c r="E36" i="12"/>
  <c r="N13" i="9"/>
  <c r="Q13" i="9"/>
  <c r="J38" i="12"/>
  <c r="R38" i="12"/>
  <c r="K43" i="12" s="1"/>
  <c r="B13" i="5" s="1"/>
  <c r="F37" i="7"/>
  <c r="F39" i="7"/>
  <c r="F40" i="7"/>
  <c r="B14" i="5"/>
  <c r="R55" i="12"/>
  <c r="K52" i="12"/>
  <c r="R56" i="12" s="1"/>
  <c r="K36" i="12"/>
  <c r="G51" i="16"/>
  <c r="G61" i="16"/>
  <c r="B29" i="5"/>
  <c r="H5" i="6"/>
  <c r="B41" i="5"/>
  <c r="G21" i="16"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F59" i="16"/>
  <c r="O56" i="16"/>
  <c r="N57" i="16"/>
  <c r="L105" i="16"/>
  <c r="B33" i="3"/>
  <c r="N10" i="16" s="1"/>
  <c r="N101" i="16"/>
  <c r="B32" i="3"/>
  <c r="N95" i="16"/>
  <c r="B35" i="3"/>
  <c r="O93" i="16" s="1"/>
  <c r="O88" i="16"/>
  <c r="G77" i="16"/>
  <c r="O75" i="16"/>
  <c r="O71" i="16"/>
  <c r="O69" i="16"/>
  <c r="O48" i="16"/>
  <c r="O47" i="16"/>
  <c r="O36" i="16"/>
  <c r="O35" i="16"/>
  <c r="O29" i="16"/>
  <c r="N27" i="16"/>
  <c r="O26" i="16"/>
  <c r="O24" i="16"/>
  <c r="O22" i="16"/>
  <c r="O20" i="16"/>
  <c r="N7" i="16"/>
  <c r="L5" i="16"/>
  <c r="O18" i="16"/>
  <c r="O14" i="16" s="1"/>
  <c r="O16" i="16" s="1"/>
  <c r="G67" i="16"/>
  <c r="D10" i="16"/>
  <c r="B33" i="5"/>
  <c r="F107" i="16" s="1"/>
  <c r="B32" i="5"/>
  <c r="F20" i="16" s="1"/>
  <c r="B35" i="5"/>
  <c r="G18" i="16" s="1"/>
  <c r="G25" i="16"/>
  <c r="G39" i="16"/>
  <c r="G45" i="16"/>
  <c r="G47" i="16"/>
  <c r="G53" i="16"/>
  <c r="G58" i="16"/>
  <c r="G76" i="16"/>
  <c r="G84" i="16"/>
  <c r="F88" i="16"/>
  <c r="G87" i="16"/>
  <c r="G90" i="16"/>
  <c r="G93" i="16"/>
  <c r="G95" i="16"/>
  <c r="G97" i="16"/>
  <c r="D109" i="16"/>
  <c r="B39" i="5"/>
  <c r="B37" i="5"/>
  <c r="F30" i="6"/>
  <c r="B39" i="3"/>
  <c r="B37" i="3"/>
  <c r="E29" i="8"/>
  <c r="E42" i="8"/>
  <c r="R76" i="12"/>
  <c r="R80" i="12"/>
  <c r="R77" i="12"/>
  <c r="R58" i="12"/>
  <c r="R57" i="12"/>
  <c r="Q14" i="9"/>
  <c r="Q61" i="9"/>
  <c r="J98" i="12"/>
  <c r="Q60" i="9"/>
  <c r="J97" i="12"/>
  <c r="G41" i="12"/>
  <c r="F95" i="12"/>
  <c r="F74" i="12"/>
  <c r="K39" i="9"/>
  <c r="K72" i="12"/>
  <c r="F72" i="12"/>
  <c r="T141" i="15"/>
  <c r="T132" i="15"/>
  <c r="T130" i="15"/>
  <c r="U65" i="15"/>
  <c r="U61" i="15"/>
  <c r="I16" i="14"/>
  <c r="D85" i="13"/>
  <c r="D84" i="13"/>
  <c r="D82" i="13"/>
  <c r="D81" i="13"/>
  <c r="D63" i="13"/>
  <c r="D62" i="13"/>
  <c r="D60" i="13"/>
  <c r="D59" i="13"/>
  <c r="C51" i="13"/>
  <c r="D50" i="13"/>
  <c r="E171" i="13"/>
  <c r="D171" i="13"/>
  <c r="C100" i="13"/>
  <c r="C101" i="13"/>
  <c r="C102" i="13"/>
  <c r="C103" i="13"/>
  <c r="E102" i="13"/>
  <c r="E100" i="13"/>
  <c r="E99" i="13"/>
  <c r="D101" i="13"/>
  <c r="D100" i="13"/>
  <c r="D99" i="13"/>
  <c r="F52" i="12"/>
  <c r="J39" i="12"/>
  <c r="N14" i="9"/>
  <c r="G39" i="12"/>
  <c r="G38" i="12"/>
  <c r="F64" i="7"/>
  <c r="F65" i="7"/>
  <c r="F63" i="7"/>
  <c r="H60" i="9"/>
  <c r="H13" i="9"/>
  <c r="J3" i="10"/>
  <c r="C104" i="10"/>
  <c r="D104" i="10"/>
  <c r="E104" i="10"/>
  <c r="F104" i="10"/>
  <c r="C103" i="10"/>
  <c r="D103" i="10"/>
  <c r="E103" i="10"/>
  <c r="F103" i="10"/>
  <c r="C102" i="10"/>
  <c r="D102" i="10"/>
  <c r="E102" i="10"/>
  <c r="F102" i="10"/>
  <c r="C101" i="10"/>
  <c r="D101" i="10"/>
  <c r="E101" i="10"/>
  <c r="F101" i="10"/>
  <c r="C100" i="10"/>
  <c r="D100" i="10"/>
  <c r="E100" i="10"/>
  <c r="F100" i="10"/>
  <c r="C99" i="10"/>
  <c r="D99" i="10"/>
  <c r="E99" i="10"/>
  <c r="F99" i="10"/>
  <c r="C98" i="10"/>
  <c r="D98" i="10"/>
  <c r="E98" i="10"/>
  <c r="F98" i="10"/>
  <c r="C97" i="10"/>
  <c r="D97" i="10"/>
  <c r="E97" i="10"/>
  <c r="F97" i="10"/>
  <c r="C96" i="10"/>
  <c r="D96" i="10"/>
  <c r="E96" i="10"/>
  <c r="F96" i="10"/>
  <c r="C95" i="10"/>
  <c r="D95" i="10"/>
  <c r="E95" i="10"/>
  <c r="F95" i="10"/>
  <c r="C94" i="10"/>
  <c r="D94" i="10"/>
  <c r="E94" i="10"/>
  <c r="F94" i="10"/>
  <c r="C93" i="10"/>
  <c r="D93" i="10"/>
  <c r="E93" i="10"/>
  <c r="F93" i="10"/>
  <c r="C92" i="10"/>
  <c r="D92" i="10"/>
  <c r="E92" i="10"/>
  <c r="F92" i="10"/>
  <c r="C91" i="10"/>
  <c r="D91" i="10"/>
  <c r="E91" i="10"/>
  <c r="F91" i="10"/>
  <c r="C90" i="10"/>
  <c r="D90" i="10"/>
  <c r="E90" i="10"/>
  <c r="F90" i="10"/>
  <c r="C89" i="10"/>
  <c r="D89" i="10"/>
  <c r="E89" i="10"/>
  <c r="F89" i="10"/>
  <c r="C88" i="10"/>
  <c r="D88" i="10"/>
  <c r="E88" i="10"/>
  <c r="F88" i="10"/>
  <c r="C87" i="10"/>
  <c r="D87" i="10"/>
  <c r="E87" i="10"/>
  <c r="F87" i="10"/>
  <c r="C86" i="10"/>
  <c r="D86" i="10"/>
  <c r="E86" i="10"/>
  <c r="F86" i="10"/>
  <c r="C85" i="10"/>
  <c r="D85" i="10"/>
  <c r="E85" i="10"/>
  <c r="F85" i="10"/>
  <c r="C84" i="10"/>
  <c r="D84" i="10"/>
  <c r="E84" i="10"/>
  <c r="F84" i="10"/>
  <c r="C83" i="10"/>
  <c r="D83" i="10"/>
  <c r="E83" i="10"/>
  <c r="F83" i="10"/>
  <c r="C82" i="10"/>
  <c r="D82" i="10"/>
  <c r="E82" i="10"/>
  <c r="F82" i="10"/>
  <c r="C81" i="10"/>
  <c r="D81" i="10"/>
  <c r="E81" i="10"/>
  <c r="F81" i="10"/>
  <c r="C80" i="10"/>
  <c r="D80" i="10"/>
  <c r="E80" i="10"/>
  <c r="F80" i="10"/>
  <c r="C79" i="10"/>
  <c r="D79" i="10"/>
  <c r="E79" i="10"/>
  <c r="F79" i="10"/>
  <c r="C78" i="10"/>
  <c r="D78" i="10"/>
  <c r="E78" i="10"/>
  <c r="F78" i="10"/>
  <c r="C77" i="10"/>
  <c r="D77" i="10"/>
  <c r="E77" i="10"/>
  <c r="F77" i="10"/>
  <c r="C76" i="10"/>
  <c r="D76" i="10"/>
  <c r="E76" i="10"/>
  <c r="F76" i="10"/>
  <c r="C75" i="10"/>
  <c r="D75" i="10"/>
  <c r="E75" i="10"/>
  <c r="F75" i="10"/>
  <c r="C74" i="10"/>
  <c r="D74" i="10"/>
  <c r="E74" i="10"/>
  <c r="F74" i="10"/>
  <c r="C73" i="10"/>
  <c r="D73" i="10"/>
  <c r="E73" i="10"/>
  <c r="F73" i="10"/>
  <c r="C72" i="10"/>
  <c r="D72" i="10"/>
  <c r="E72" i="10"/>
  <c r="F72" i="10"/>
  <c r="C71" i="10"/>
  <c r="D71" i="10"/>
  <c r="E71" i="10"/>
  <c r="F71" i="10"/>
  <c r="C70" i="10"/>
  <c r="D70" i="10"/>
  <c r="E70" i="10"/>
  <c r="F70" i="10"/>
  <c r="C69" i="10"/>
  <c r="D69" i="10"/>
  <c r="E69" i="10"/>
  <c r="F69" i="10"/>
  <c r="C68" i="10"/>
  <c r="D68" i="10"/>
  <c r="E68" i="10"/>
  <c r="F68" i="10"/>
  <c r="C67" i="10"/>
  <c r="D67" i="10"/>
  <c r="E67" i="10"/>
  <c r="F67" i="10"/>
  <c r="C66" i="10"/>
  <c r="D66" i="10"/>
  <c r="E66" i="10"/>
  <c r="F66" i="10"/>
  <c r="C65" i="10"/>
  <c r="D65" i="10"/>
  <c r="E65" i="10"/>
  <c r="F65" i="10"/>
  <c r="C64" i="10"/>
  <c r="D64" i="10"/>
  <c r="E64" i="10"/>
  <c r="F64" i="10"/>
  <c r="C63" i="10"/>
  <c r="D63" i="10"/>
  <c r="E63" i="10"/>
  <c r="F63" i="10"/>
  <c r="C62" i="10"/>
  <c r="D62" i="10"/>
  <c r="E62" i="10"/>
  <c r="F62" i="10"/>
  <c r="C61" i="10"/>
  <c r="D61" i="10"/>
  <c r="E61" i="10"/>
  <c r="F61" i="10"/>
  <c r="C60" i="10"/>
  <c r="D60" i="10"/>
  <c r="E60" i="10"/>
  <c r="F60" i="10"/>
  <c r="C59" i="10"/>
  <c r="D59" i="10"/>
  <c r="E59" i="10"/>
  <c r="F59" i="10"/>
  <c r="C58" i="10"/>
  <c r="D58" i="10"/>
  <c r="E58" i="10"/>
  <c r="F58" i="10"/>
  <c r="C57" i="10"/>
  <c r="D57" i="10"/>
  <c r="E57" i="10"/>
  <c r="F57" i="10"/>
  <c r="C56" i="10"/>
  <c r="D56" i="10"/>
  <c r="E56" i="10"/>
  <c r="F56" i="10"/>
  <c r="C55" i="10"/>
  <c r="D55" i="10"/>
  <c r="E55" i="10"/>
  <c r="F55" i="10"/>
  <c r="C54" i="10"/>
  <c r="D54" i="10"/>
  <c r="E54" i="10"/>
  <c r="F54" i="10"/>
  <c r="C53" i="10"/>
  <c r="D53" i="10"/>
  <c r="E53" i="10"/>
  <c r="F53" i="10"/>
  <c r="C52" i="10"/>
  <c r="D52" i="10"/>
  <c r="E52" i="10"/>
  <c r="F52" i="10"/>
  <c r="C51" i="10"/>
  <c r="D51" i="10"/>
  <c r="E51" i="10"/>
  <c r="F51" i="10"/>
  <c r="C50" i="10"/>
  <c r="D50" i="10"/>
  <c r="E50" i="10"/>
  <c r="F50" i="10"/>
  <c r="C49" i="10"/>
  <c r="D49" i="10"/>
  <c r="E49" i="10"/>
  <c r="F49" i="10"/>
  <c r="C48" i="10"/>
  <c r="D48" i="10"/>
  <c r="E48" i="10"/>
  <c r="F48" i="10"/>
  <c r="C47" i="10"/>
  <c r="D47" i="10"/>
  <c r="E47" i="10"/>
  <c r="F47" i="10"/>
  <c r="C46" i="10"/>
  <c r="D46" i="10"/>
  <c r="E46" i="10"/>
  <c r="F46" i="10"/>
  <c r="C45" i="10"/>
  <c r="D45" i="10"/>
  <c r="E45" i="10"/>
  <c r="F45" i="10"/>
  <c r="C44" i="10"/>
  <c r="D44" i="10"/>
  <c r="E44" i="10"/>
  <c r="F44" i="10"/>
  <c r="C43" i="10"/>
  <c r="D43" i="10"/>
  <c r="E43" i="10"/>
  <c r="F43" i="10"/>
  <c r="C42" i="10"/>
  <c r="D42" i="10"/>
  <c r="E42" i="10"/>
  <c r="F42" i="10"/>
  <c r="C41" i="10"/>
  <c r="D41" i="10"/>
  <c r="E41" i="10"/>
  <c r="F41" i="10"/>
  <c r="C40" i="10"/>
  <c r="D40" i="10"/>
  <c r="E40" i="10"/>
  <c r="F40" i="10"/>
  <c r="C39" i="10"/>
  <c r="D39" i="10"/>
  <c r="E39" i="10"/>
  <c r="F39" i="10"/>
  <c r="C38" i="10"/>
  <c r="D38" i="10"/>
  <c r="E38" i="10"/>
  <c r="F38" i="10"/>
  <c r="C37" i="10"/>
  <c r="D37" i="10"/>
  <c r="E37" i="10"/>
  <c r="F37" i="10"/>
  <c r="C36" i="10"/>
  <c r="D36" i="10"/>
  <c r="E36" i="10"/>
  <c r="F36" i="10"/>
  <c r="C35" i="10"/>
  <c r="D35" i="10"/>
  <c r="E35" i="10"/>
  <c r="F35" i="10"/>
  <c r="C33" i="10"/>
  <c r="D33" i="10"/>
  <c r="E33" i="10"/>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I24" i="10"/>
  <c r="C24" i="10"/>
  <c r="D24" i="10"/>
  <c r="E24" i="10"/>
  <c r="F24" i="10"/>
  <c r="C23" i="10"/>
  <c r="D23" i="10"/>
  <c r="E23" i="10"/>
  <c r="F23" i="10"/>
  <c r="I22" i="10"/>
  <c r="C22" i="10"/>
  <c r="D22" i="10"/>
  <c r="E22" i="10"/>
  <c r="F22" i="10"/>
  <c r="C21" i="10"/>
  <c r="D21" i="10"/>
  <c r="E21" i="10"/>
  <c r="F21" i="10"/>
  <c r="I20" i="10"/>
  <c r="C20" i="10"/>
  <c r="D20" i="10"/>
  <c r="E20" i="10"/>
  <c r="F20" i="10"/>
  <c r="C19" i="10"/>
  <c r="D19" i="10"/>
  <c r="E19" i="10"/>
  <c r="F19" i="10"/>
  <c r="I18" i="10"/>
  <c r="C18" i="10"/>
  <c r="D18" i="10"/>
  <c r="E18" i="10"/>
  <c r="F18" i="10"/>
  <c r="C17" i="10"/>
  <c r="D17" i="10"/>
  <c r="E17" i="10"/>
  <c r="F17" i="10"/>
  <c r="I16" i="10"/>
  <c r="C15" i="10"/>
  <c r="D15" i="10"/>
  <c r="E15" i="10"/>
  <c r="F5" i="10"/>
  <c r="F44" i="7"/>
  <c r="F45" i="7"/>
  <c r="F43" i="7"/>
  <c r="F3" i="6"/>
  <c r="A1" i="3"/>
  <c r="D2" i="3"/>
  <c r="F2" i="3"/>
  <c r="F1" i="3"/>
  <c r="K1" i="1"/>
  <c r="I1" i="1"/>
  <c r="B22" i="1"/>
  <c r="B21" i="1"/>
  <c r="B29" i="1"/>
  <c r="B27" i="1"/>
  <c r="E40" i="2"/>
  <c r="F4" i="2"/>
  <c r="C4" i="2"/>
  <c r="B3" i="2"/>
  <c r="F43" i="2"/>
  <c r="F44" i="2"/>
  <c r="E43" i="2"/>
  <c r="E42" i="2"/>
  <c r="E41" i="2"/>
  <c r="C43" i="2"/>
  <c r="C44" i="2"/>
  <c r="B43" i="2"/>
  <c r="B42" i="2"/>
  <c r="A1" i="5"/>
  <c r="D2" i="5"/>
  <c r="F2" i="5"/>
  <c r="O107" i="1"/>
  <c r="C38" i="21"/>
  <c r="O110" i="1"/>
  <c r="O104" i="1"/>
  <c r="C30" i="21"/>
  <c r="C31" i="21"/>
  <c r="B107" i="1"/>
  <c r="C17" i="21"/>
  <c r="C45" i="2"/>
  <c r="B44" i="2"/>
  <c r="F45" i="2"/>
  <c r="E44" i="2"/>
  <c r="F5" i="2"/>
  <c r="E3" i="2"/>
  <c r="B33" i="1"/>
  <c r="B28" i="1"/>
  <c r="C5" i="2"/>
  <c r="B4" i="2"/>
  <c r="I104" i="10"/>
  <c r="I102" i="10"/>
  <c r="I100" i="10"/>
  <c r="I98" i="10"/>
  <c r="I94" i="10"/>
  <c r="I92" i="10"/>
  <c r="I88" i="10"/>
  <c r="I82" i="10"/>
  <c r="I76" i="10"/>
  <c r="I70" i="10"/>
  <c r="I64" i="10"/>
  <c r="I62" i="10"/>
  <c r="I56" i="10"/>
  <c r="I50" i="10"/>
  <c r="I44" i="10"/>
  <c r="I42" i="10"/>
  <c r="I40" i="10"/>
  <c r="I36" i="10"/>
  <c r="I33" i="10"/>
  <c r="I29" i="10"/>
  <c r="I103" i="10"/>
  <c r="I101" i="10"/>
  <c r="I99" i="10"/>
  <c r="I97" i="10"/>
  <c r="I95" i="10"/>
  <c r="I93" i="10"/>
  <c r="I91" i="10"/>
  <c r="I89" i="10"/>
  <c r="I87" i="10"/>
  <c r="I85" i="10"/>
  <c r="I83" i="10"/>
  <c r="I81" i="10"/>
  <c r="I79" i="10"/>
  <c r="I77" i="10"/>
  <c r="I75" i="10"/>
  <c r="I73" i="10"/>
  <c r="I71" i="10"/>
  <c r="I69" i="10"/>
  <c r="I67" i="10"/>
  <c r="I65" i="10"/>
  <c r="I63" i="10"/>
  <c r="I61" i="10"/>
  <c r="I59" i="10"/>
  <c r="I57" i="10"/>
  <c r="I55" i="10"/>
  <c r="I53" i="10"/>
  <c r="I51" i="10"/>
  <c r="I49" i="10"/>
  <c r="I47" i="10"/>
  <c r="I45" i="10"/>
  <c r="I43" i="10"/>
  <c r="I41" i="10"/>
  <c r="I39" i="10"/>
  <c r="I37" i="10"/>
  <c r="I35" i="10"/>
  <c r="I32" i="10"/>
  <c r="I30" i="10"/>
  <c r="I28" i="10"/>
  <c r="I26" i="10"/>
  <c r="I23" i="10"/>
  <c r="I21" i="10"/>
  <c r="I19" i="10"/>
  <c r="I17" i="10"/>
  <c r="I15" i="10"/>
  <c r="I96" i="10"/>
  <c r="I90" i="10"/>
  <c r="I86" i="10"/>
  <c r="I84" i="10"/>
  <c r="I80" i="10"/>
  <c r="I78" i="10"/>
  <c r="I74" i="10"/>
  <c r="I72" i="10"/>
  <c r="I68" i="10"/>
  <c r="I66" i="10"/>
  <c r="I60" i="10"/>
  <c r="I58" i="10"/>
  <c r="I54" i="10"/>
  <c r="I52" i="10"/>
  <c r="I48" i="10"/>
  <c r="I46" i="10"/>
  <c r="I38" i="10"/>
  <c r="I31" i="10"/>
  <c r="I27" i="10"/>
  <c r="C104" i="13"/>
  <c r="D103" i="13"/>
  <c r="E103" i="13"/>
  <c r="C52" i="13"/>
  <c r="D51" i="13"/>
  <c r="K55" i="9"/>
  <c r="L48" i="9"/>
  <c r="K81" i="12"/>
  <c r="U81" i="12" s="1"/>
  <c r="R81" i="12" s="1"/>
  <c r="H48" i="9"/>
  <c r="H81" i="12"/>
  <c r="C28" i="21"/>
  <c r="K68" i="1"/>
  <c r="K70" i="1"/>
  <c r="K63" i="1"/>
  <c r="D7" i="1"/>
  <c r="D102" i="13"/>
  <c r="E101" i="13"/>
  <c r="C179" i="13"/>
  <c r="D178" i="13"/>
  <c r="C220" i="13"/>
  <c r="D219" i="13"/>
  <c r="C7" i="21"/>
  <c r="C14" i="21"/>
  <c r="E14" i="21"/>
  <c r="G10" i="20"/>
  <c r="G13" i="20"/>
  <c r="M12" i="20"/>
  <c r="B15" i="5"/>
  <c r="G69" i="16"/>
  <c r="G19" i="20"/>
  <c r="G18" i="20"/>
  <c r="G16" i="20"/>
  <c r="G12" i="20"/>
  <c r="G11" i="20"/>
  <c r="G17" i="20"/>
  <c r="M18" i="20"/>
  <c r="B15" i="3"/>
  <c r="O43" i="16"/>
  <c r="F14" i="16"/>
  <c r="K10" i="18"/>
  <c r="K12" i="18" s="1"/>
  <c r="F8" i="9"/>
  <c r="F22" i="9"/>
  <c r="N3" i="16"/>
  <c r="O106" i="1"/>
  <c r="L31" i="9"/>
  <c r="K59" i="12"/>
  <c r="U59" i="12" s="1"/>
  <c r="R59" i="12" s="1"/>
  <c r="H31" i="9"/>
  <c r="H59" i="12"/>
  <c r="K8" i="9"/>
  <c r="U14" i="9"/>
  <c r="C15" i="21"/>
  <c r="E15" i="21"/>
  <c r="Q62" i="9"/>
  <c r="J99" i="12"/>
  <c r="F92" i="12"/>
  <c r="C53" i="13"/>
  <c r="D52" i="13"/>
  <c r="B5" i="2"/>
  <c r="C6" i="2"/>
  <c r="F6" i="2"/>
  <c r="E4" i="2"/>
  <c r="F46" i="2"/>
  <c r="E45" i="2"/>
  <c r="B45" i="2"/>
  <c r="C46" i="2"/>
  <c r="C221" i="13"/>
  <c r="D220" i="13"/>
  <c r="C180" i="13"/>
  <c r="D179" i="13"/>
  <c r="C105" i="13"/>
  <c r="E104" i="13"/>
  <c r="D104" i="13"/>
  <c r="C181" i="13"/>
  <c r="D180" i="13"/>
  <c r="F47" i="2"/>
  <c r="E46" i="2"/>
  <c r="F7" i="2"/>
  <c r="E5" i="2"/>
  <c r="C54" i="13"/>
  <c r="D53" i="13"/>
  <c r="C47" i="2"/>
  <c r="B46" i="2"/>
  <c r="C7" i="2"/>
  <c r="B6" i="2"/>
  <c r="C106" i="13"/>
  <c r="E105" i="13"/>
  <c r="D105" i="13"/>
  <c r="C222" i="13"/>
  <c r="D221" i="13"/>
  <c r="U13" i="9"/>
  <c r="C8" i="2"/>
  <c r="B7" i="2"/>
  <c r="C223" i="13"/>
  <c r="D222" i="13"/>
  <c r="D54" i="13"/>
  <c r="C55" i="13"/>
  <c r="E6" i="2"/>
  <c r="F8" i="2"/>
  <c r="F48" i="2"/>
  <c r="E47" i="2"/>
  <c r="C182" i="13"/>
  <c r="D181" i="13"/>
  <c r="E106" i="13"/>
  <c r="C107" i="13"/>
  <c r="D106" i="13"/>
  <c r="C48" i="2"/>
  <c r="B47" i="2"/>
  <c r="C49" i="2"/>
  <c r="B48" i="2"/>
  <c r="C183" i="13"/>
  <c r="D182" i="13"/>
  <c r="C224" i="13"/>
  <c r="D223" i="13"/>
  <c r="F9" i="2"/>
  <c r="E7" i="2"/>
  <c r="C56" i="13"/>
  <c r="D55" i="13"/>
  <c r="C9" i="2"/>
  <c r="B8" i="2"/>
  <c r="C108" i="13"/>
  <c r="D107" i="13"/>
  <c r="E107" i="13"/>
  <c r="F49" i="2"/>
  <c r="E48" i="2"/>
  <c r="C109" i="13"/>
  <c r="E108" i="13"/>
  <c r="D108" i="13"/>
  <c r="B9" i="2"/>
  <c r="C10" i="2"/>
  <c r="C57" i="13"/>
  <c r="D56" i="13"/>
  <c r="F10" i="2"/>
  <c r="E8" i="2"/>
  <c r="C225" i="13"/>
  <c r="D224" i="13"/>
  <c r="C184" i="13"/>
  <c r="D183" i="13"/>
  <c r="F50" i="2"/>
  <c r="E49" i="2"/>
  <c r="C50" i="2"/>
  <c r="B49" i="2"/>
  <c r="C11" i="2"/>
  <c r="B10" i="2"/>
  <c r="C110" i="13"/>
  <c r="D109" i="13"/>
  <c r="E109" i="13"/>
  <c r="C51" i="2"/>
  <c r="B50" i="2"/>
  <c r="F51" i="2"/>
  <c r="E50" i="2"/>
  <c r="C185" i="13"/>
  <c r="D184" i="13"/>
  <c r="C226" i="13"/>
  <c r="D225" i="13"/>
  <c r="F11" i="2"/>
  <c r="E9" i="2"/>
  <c r="C58" i="13"/>
  <c r="D57" i="13"/>
  <c r="D58" i="13"/>
  <c r="C61" i="13"/>
  <c r="C64" i="13"/>
  <c r="E10" i="2"/>
  <c r="F12" i="2"/>
  <c r="C227" i="13"/>
  <c r="D226" i="13"/>
  <c r="C186" i="13"/>
  <c r="D185" i="13"/>
  <c r="F52" i="2"/>
  <c r="E51" i="2"/>
  <c r="E110" i="13"/>
  <c r="C111" i="13"/>
  <c r="D110" i="13"/>
  <c r="C12" i="2"/>
  <c r="B11" i="2"/>
  <c r="C52" i="2"/>
  <c r="B51" i="2"/>
  <c r="C53" i="2"/>
  <c r="B52" i="2"/>
  <c r="C13" i="2"/>
  <c r="B12" i="2"/>
  <c r="C112" i="13"/>
  <c r="D111" i="13"/>
  <c r="E111" i="13"/>
  <c r="F13" i="2"/>
  <c r="E11" i="2"/>
  <c r="D64" i="13"/>
  <c r="C65" i="13"/>
  <c r="F53" i="2"/>
  <c r="E52" i="2"/>
  <c r="C187" i="13"/>
  <c r="D186" i="13"/>
  <c r="C228" i="13"/>
  <c r="D227" i="13"/>
  <c r="C229" i="13"/>
  <c r="D228" i="13"/>
  <c r="C188" i="13"/>
  <c r="D187" i="13"/>
  <c r="F54" i="2"/>
  <c r="E53" i="2"/>
  <c r="F14" i="2"/>
  <c r="E12" i="2"/>
  <c r="C66" i="13"/>
  <c r="D65" i="13"/>
  <c r="C113" i="13"/>
  <c r="E112" i="13"/>
  <c r="D112" i="13"/>
  <c r="B13" i="2"/>
  <c r="C14" i="2"/>
  <c r="B53" i="2"/>
  <c r="C54" i="2"/>
  <c r="C55" i="2"/>
  <c r="B54" i="2"/>
  <c r="C15" i="2"/>
  <c r="B14" i="2"/>
  <c r="C114" i="13"/>
  <c r="E113" i="13"/>
  <c r="D113" i="13"/>
  <c r="D66" i="13"/>
  <c r="C67" i="13"/>
  <c r="F15" i="2"/>
  <c r="E13" i="2"/>
  <c r="F55" i="2"/>
  <c r="E54" i="2"/>
  <c r="C189" i="13"/>
  <c r="D188" i="13"/>
  <c r="C230" i="13"/>
  <c r="D229" i="13"/>
  <c r="C231" i="13"/>
  <c r="D230" i="13"/>
  <c r="C190" i="13"/>
  <c r="D189" i="13"/>
  <c r="F56" i="2"/>
  <c r="E55" i="2"/>
  <c r="C68" i="13"/>
  <c r="D67" i="13"/>
  <c r="E114" i="13"/>
  <c r="C115" i="13"/>
  <c r="D114" i="13"/>
  <c r="C16" i="2"/>
  <c r="B15" i="2"/>
  <c r="C56" i="2"/>
  <c r="B55" i="2"/>
  <c r="E14" i="2"/>
  <c r="F16" i="2"/>
  <c r="C57" i="2"/>
  <c r="B56" i="2"/>
  <c r="C17" i="2"/>
  <c r="B16" i="2"/>
  <c r="F17" i="2"/>
  <c r="E15" i="2"/>
  <c r="D68" i="13"/>
  <c r="C69" i="13"/>
  <c r="F57" i="2"/>
  <c r="E56" i="2"/>
  <c r="C191" i="13"/>
  <c r="D190" i="13"/>
  <c r="C232" i="13"/>
  <c r="D231" i="13"/>
  <c r="C116" i="13"/>
  <c r="D115" i="13"/>
  <c r="E115" i="13"/>
  <c r="C70" i="13"/>
  <c r="D69" i="13"/>
  <c r="C117" i="13"/>
  <c r="E116" i="13"/>
  <c r="D116" i="13"/>
  <c r="C233" i="13"/>
  <c r="D232" i="13"/>
  <c r="C192" i="13"/>
  <c r="D191" i="13"/>
  <c r="F58" i="2"/>
  <c r="E57" i="2"/>
  <c r="F18" i="2"/>
  <c r="E16" i="2"/>
  <c r="B17" i="2"/>
  <c r="C18" i="2"/>
  <c r="C58" i="2"/>
  <c r="B57" i="2"/>
  <c r="F19" i="2"/>
  <c r="E17" i="2"/>
  <c r="F59" i="2"/>
  <c r="E58" i="2"/>
  <c r="C193" i="13"/>
  <c r="D192" i="13"/>
  <c r="C234" i="13"/>
  <c r="D233" i="13"/>
  <c r="C19" i="2"/>
  <c r="B18" i="2"/>
  <c r="C118" i="13"/>
  <c r="D117" i="13"/>
  <c r="E117" i="13"/>
  <c r="D70" i="13"/>
  <c r="C71" i="13"/>
  <c r="C59" i="2"/>
  <c r="B58" i="2"/>
  <c r="C60" i="2"/>
  <c r="B59" i="2"/>
  <c r="C72" i="13"/>
  <c r="D71" i="13"/>
  <c r="E118" i="13"/>
  <c r="C119" i="13"/>
  <c r="D118" i="13"/>
  <c r="C20" i="2"/>
  <c r="B19" i="2"/>
  <c r="C235" i="13"/>
  <c r="D234" i="13"/>
  <c r="C194" i="13"/>
  <c r="D193" i="13"/>
  <c r="F60" i="2"/>
  <c r="E59" i="2"/>
  <c r="E18" i="2"/>
  <c r="F20" i="2"/>
  <c r="F61" i="2"/>
  <c r="E60" i="2"/>
  <c r="C195" i="13"/>
  <c r="D194" i="13"/>
  <c r="C21" i="2"/>
  <c r="B20" i="2"/>
  <c r="C120" i="13"/>
  <c r="D119" i="13"/>
  <c r="E119" i="13"/>
  <c r="F21" i="2"/>
  <c r="E19" i="2"/>
  <c r="D72" i="13"/>
  <c r="C73" i="13"/>
  <c r="C61" i="2"/>
  <c r="B60" i="2"/>
  <c r="C236" i="13"/>
  <c r="D235" i="13"/>
  <c r="C237" i="13"/>
  <c r="D236" i="13"/>
  <c r="B61" i="2"/>
  <c r="C62" i="2"/>
  <c r="F22" i="2"/>
  <c r="E20" i="2"/>
  <c r="C74" i="13"/>
  <c r="D73" i="13"/>
  <c r="E120" i="13"/>
  <c r="C121" i="13"/>
  <c r="D120" i="13"/>
  <c r="B21" i="2"/>
  <c r="C22" i="2"/>
  <c r="C196" i="13"/>
  <c r="D195" i="13"/>
  <c r="F62" i="2"/>
  <c r="E61" i="2"/>
  <c r="F63" i="2"/>
  <c r="E62" i="2"/>
  <c r="C197" i="13"/>
  <c r="D196" i="13"/>
  <c r="C122" i="13"/>
  <c r="D121" i="13"/>
  <c r="E121" i="13"/>
  <c r="C63" i="2"/>
  <c r="B62" i="2"/>
  <c r="C23" i="2"/>
  <c r="B22" i="2"/>
  <c r="D74" i="13"/>
  <c r="C75" i="13"/>
  <c r="F23" i="2"/>
  <c r="E21" i="2"/>
  <c r="C238" i="13"/>
  <c r="D237" i="13"/>
  <c r="C239" i="13"/>
  <c r="D238" i="13"/>
  <c r="C24" i="2"/>
  <c r="B23" i="2"/>
  <c r="C64" i="2"/>
  <c r="B63" i="2"/>
  <c r="C76" i="13"/>
  <c r="D75" i="13"/>
  <c r="E122" i="13"/>
  <c r="C123" i="13"/>
  <c r="D122" i="13"/>
  <c r="C198" i="13"/>
  <c r="D197" i="13"/>
  <c r="F64" i="2"/>
  <c r="E63" i="2"/>
  <c r="E22" i="2"/>
  <c r="F24" i="2"/>
  <c r="F65" i="2"/>
  <c r="E64" i="2"/>
  <c r="C199" i="13"/>
  <c r="D198" i="13"/>
  <c r="F25" i="2"/>
  <c r="E23" i="2"/>
  <c r="D76" i="13"/>
  <c r="C77" i="13"/>
  <c r="C65" i="2"/>
  <c r="B64" i="2"/>
  <c r="C25" i="2"/>
  <c r="B24" i="2"/>
  <c r="C240" i="13"/>
  <c r="D239" i="13"/>
  <c r="C124" i="13"/>
  <c r="D123" i="13"/>
  <c r="E123" i="13"/>
  <c r="C78" i="13"/>
  <c r="D77" i="13"/>
  <c r="E124" i="13"/>
  <c r="C125" i="13"/>
  <c r="D124" i="13"/>
  <c r="C241" i="13"/>
  <c r="D240" i="13"/>
  <c r="B25" i="2"/>
  <c r="C26" i="2"/>
  <c r="C66" i="2"/>
  <c r="B65" i="2"/>
  <c r="F26" i="2"/>
  <c r="E24" i="2"/>
  <c r="C200" i="13"/>
  <c r="D199" i="13"/>
  <c r="F66" i="2"/>
  <c r="E65" i="2"/>
  <c r="F67" i="2"/>
  <c r="E66" i="2"/>
  <c r="C201" i="13"/>
  <c r="D200" i="13"/>
  <c r="F27" i="2"/>
  <c r="E25" i="2"/>
  <c r="C242" i="13"/>
  <c r="D241" i="13"/>
  <c r="C126" i="13"/>
  <c r="D125" i="13"/>
  <c r="E125" i="13"/>
  <c r="C27" i="2"/>
  <c r="B26" i="2"/>
  <c r="D78" i="13"/>
  <c r="C79" i="13"/>
  <c r="C67" i="2"/>
  <c r="B66" i="2"/>
  <c r="C68" i="2"/>
  <c r="B67" i="2"/>
  <c r="C80" i="13"/>
  <c r="D79" i="13"/>
  <c r="E126" i="13"/>
  <c r="C127" i="13"/>
  <c r="D126" i="13"/>
  <c r="C243" i="13"/>
  <c r="D242" i="13"/>
  <c r="E26" i="2"/>
  <c r="F28" i="2"/>
  <c r="C202" i="13"/>
  <c r="D201" i="13"/>
  <c r="F68" i="2"/>
  <c r="E67" i="2"/>
  <c r="C28" i="2"/>
  <c r="B27" i="2"/>
  <c r="F29" i="2"/>
  <c r="E27" i="2"/>
  <c r="D80" i="13"/>
  <c r="C83" i="13"/>
  <c r="C86" i="13"/>
  <c r="C69" i="2"/>
  <c r="B68" i="2"/>
  <c r="C29" i="2"/>
  <c r="B28" i="2"/>
  <c r="F69" i="2"/>
  <c r="E68" i="2"/>
  <c r="C203" i="13"/>
  <c r="D202" i="13"/>
  <c r="C244" i="13"/>
  <c r="D243" i="13"/>
  <c r="C128" i="13"/>
  <c r="D127" i="13"/>
  <c r="E127" i="13"/>
  <c r="C87" i="13"/>
  <c r="D86" i="13"/>
  <c r="E128" i="13"/>
  <c r="C129" i="13"/>
  <c r="D128" i="13"/>
  <c r="C245" i="13"/>
  <c r="D244" i="13"/>
  <c r="C204" i="13"/>
  <c r="D203" i="13"/>
  <c r="F70" i="2"/>
  <c r="E69" i="2"/>
  <c r="B29" i="2"/>
  <c r="C30" i="2"/>
  <c r="B69" i="2"/>
  <c r="C70" i="2"/>
  <c r="F30" i="2"/>
  <c r="E28" i="2"/>
  <c r="F31" i="2"/>
  <c r="E29" i="2"/>
  <c r="F71" i="2"/>
  <c r="E70" i="2"/>
  <c r="C205" i="13"/>
  <c r="D204" i="13"/>
  <c r="C246" i="13"/>
  <c r="D245" i="13"/>
  <c r="C130" i="13"/>
  <c r="D129" i="13"/>
  <c r="E129" i="13"/>
  <c r="C71" i="2"/>
  <c r="B70" i="2"/>
  <c r="C31" i="2"/>
  <c r="B30" i="2"/>
  <c r="C88" i="13"/>
  <c r="D87" i="13"/>
  <c r="C89" i="13"/>
  <c r="D88" i="13"/>
  <c r="C32" i="2"/>
  <c r="B31" i="2"/>
  <c r="C72" i="2"/>
  <c r="B71" i="2"/>
  <c r="C131" i="13"/>
  <c r="D130" i="13"/>
  <c r="E130" i="13"/>
  <c r="C247" i="13"/>
  <c r="D246" i="13"/>
  <c r="C206" i="13"/>
  <c r="D205" i="13"/>
  <c r="F72" i="2"/>
  <c r="E71" i="2"/>
  <c r="E30" i="2"/>
  <c r="F32" i="2"/>
  <c r="C207" i="13"/>
  <c r="D206" i="13"/>
  <c r="C248" i="13"/>
  <c r="D247" i="13"/>
  <c r="F33" i="2"/>
  <c r="E31" i="2"/>
  <c r="C132" i="13"/>
  <c r="D131" i="13"/>
  <c r="E131" i="13"/>
  <c r="C73" i="2"/>
  <c r="B72" i="2"/>
  <c r="C33" i="2"/>
  <c r="B32" i="2"/>
  <c r="C90" i="13"/>
  <c r="D89" i="13"/>
  <c r="F73" i="2"/>
  <c r="E72" i="2"/>
  <c r="F74" i="2"/>
  <c r="E73" i="2"/>
  <c r="C91" i="13"/>
  <c r="D90" i="13"/>
  <c r="B33" i="2"/>
  <c r="C34" i="2"/>
  <c r="E132" i="13"/>
  <c r="C133" i="13"/>
  <c r="D132" i="13"/>
  <c r="F34" i="2"/>
  <c r="E32" i="2"/>
  <c r="C249" i="13"/>
  <c r="D248" i="13"/>
  <c r="C208" i="13"/>
  <c r="D207" i="13"/>
  <c r="C74" i="2"/>
  <c r="B73" i="2"/>
  <c r="C75" i="2"/>
  <c r="B74" i="2"/>
  <c r="C209" i="13"/>
  <c r="D208" i="13"/>
  <c r="C250" i="13"/>
  <c r="D249" i="13"/>
  <c r="C134" i="13"/>
  <c r="D133" i="13"/>
  <c r="E133" i="13"/>
  <c r="C35" i="2"/>
  <c r="B34" i="2"/>
  <c r="C92" i="13"/>
  <c r="D91" i="13"/>
  <c r="F75" i="2"/>
  <c r="E74" i="2"/>
  <c r="F35" i="2"/>
  <c r="E33" i="2"/>
  <c r="E34" i="2"/>
  <c r="F36" i="2"/>
  <c r="F76" i="2"/>
  <c r="E75" i="2"/>
  <c r="C93" i="13"/>
  <c r="D92" i="13"/>
  <c r="C36" i="2"/>
  <c r="B35" i="2"/>
  <c r="E134" i="13"/>
  <c r="C135" i="13"/>
  <c r="D134" i="13"/>
  <c r="C251" i="13"/>
  <c r="D250" i="13"/>
  <c r="C210" i="13"/>
  <c r="D209" i="13"/>
  <c r="C76" i="2"/>
  <c r="B75" i="2"/>
  <c r="C77" i="2"/>
  <c r="B76" i="2"/>
  <c r="C211" i="13"/>
  <c r="D210" i="13"/>
  <c r="C136" i="13"/>
  <c r="D135" i="13"/>
  <c r="E135" i="13"/>
  <c r="F37" i="2"/>
  <c r="E35" i="2"/>
  <c r="C37" i="2"/>
  <c r="B36" i="2"/>
  <c r="C94" i="13"/>
  <c r="D94" i="13"/>
  <c r="D93" i="13"/>
  <c r="F77" i="2"/>
  <c r="E76" i="2"/>
  <c r="C252" i="13"/>
  <c r="D251"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D252" i="13"/>
  <c r="F78" i="2"/>
  <c r="E77" i="2"/>
  <c r="B37" i="2"/>
  <c r="C38" i="2"/>
  <c r="D136" i="13"/>
  <c r="C137" i="13"/>
  <c r="E136" i="13"/>
  <c r="D211" i="13"/>
  <c r="C212" i="13"/>
  <c r="B77" i="2"/>
  <c r="C78" i="2"/>
  <c r="F38" i="2"/>
  <c r="E36" i="2"/>
  <c r="F39" i="2"/>
  <c r="E37" i="2"/>
  <c r="C138" i="13"/>
  <c r="E137" i="13"/>
  <c r="D137" i="13"/>
  <c r="C39" i="2"/>
  <c r="B38" i="2"/>
  <c r="C79" i="2"/>
  <c r="B79" i="2"/>
  <c r="B78" i="2"/>
  <c r="F79" i="2"/>
  <c r="E79" i="2"/>
  <c r="E78" i="2"/>
  <c r="C40" i="2"/>
  <c r="B40" i="2"/>
  <c r="B39" i="2"/>
  <c r="D138" i="13"/>
  <c r="C139" i="13"/>
  <c r="E138" i="13"/>
  <c r="E38" i="2"/>
  <c r="F40" i="2"/>
  <c r="E39" i="2"/>
  <c r="C140" i="13"/>
  <c r="E139" i="13"/>
  <c r="D139" i="13"/>
  <c r="D140" i="13"/>
  <c r="C141" i="13"/>
  <c r="E140" i="13"/>
  <c r="C142" i="13"/>
  <c r="E141" i="13"/>
  <c r="D141" i="13"/>
  <c r="D142" i="13"/>
  <c r="C143" i="13"/>
  <c r="E142" i="13"/>
  <c r="C144" i="13"/>
  <c r="E143" i="13"/>
  <c r="D143" i="13"/>
  <c r="D144" i="13"/>
  <c r="C145" i="13"/>
  <c r="E144" i="13"/>
  <c r="C146" i="13"/>
  <c r="E145" i="13"/>
  <c r="D145" i="13"/>
  <c r="D146" i="13"/>
  <c r="C147" i="13"/>
  <c r="E146" i="13"/>
  <c r="C148" i="13"/>
  <c r="E147" i="13"/>
  <c r="D147" i="13"/>
  <c r="D148" i="13"/>
  <c r="C149" i="13"/>
  <c r="E148" i="13"/>
  <c r="C150" i="13"/>
  <c r="E149" i="13"/>
  <c r="D149" i="13"/>
  <c r="D150" i="13"/>
  <c r="C151" i="13"/>
  <c r="E150" i="13"/>
  <c r="C152" i="13"/>
  <c r="E151" i="13"/>
  <c r="D151" i="13"/>
  <c r="D152" i="13"/>
  <c r="C153" i="13"/>
  <c r="E152" i="13"/>
  <c r="C154" i="13"/>
  <c r="E153" i="13"/>
  <c r="D153" i="13"/>
  <c r="D154" i="13"/>
  <c r="C155" i="13"/>
  <c r="E154" i="13"/>
  <c r="C156" i="13"/>
  <c r="E155" i="13"/>
  <c r="D155" i="13"/>
  <c r="D156" i="13"/>
  <c r="C157" i="13"/>
  <c r="E156" i="13"/>
  <c r="C158" i="13"/>
  <c r="E157" i="13"/>
  <c r="D157" i="13"/>
  <c r="D158" i="13"/>
  <c r="C159" i="13"/>
  <c r="E158" i="13"/>
  <c r="C160" i="13"/>
  <c r="E159" i="13"/>
  <c r="D159" i="13"/>
  <c r="D160" i="13"/>
  <c r="C161" i="13"/>
  <c r="E160" i="13"/>
  <c r="C162" i="13"/>
  <c r="E161" i="13"/>
  <c r="D161" i="13"/>
  <c r="D162" i="13"/>
  <c r="C163" i="13"/>
  <c r="E162" i="13"/>
  <c r="C164" i="13"/>
  <c r="E163" i="13"/>
  <c r="D163" i="13"/>
  <c r="D164" i="13"/>
  <c r="C165" i="13"/>
  <c r="E164" i="13"/>
  <c r="C166" i="13"/>
  <c r="E165" i="13"/>
  <c r="D165" i="13"/>
  <c r="D166" i="13"/>
  <c r="C167" i="13"/>
  <c r="E166" i="13"/>
  <c r="C168" i="13"/>
  <c r="E167" i="13"/>
  <c r="D167" i="13"/>
  <c r="D168" i="13"/>
  <c r="C169" i="13"/>
  <c r="E168" i="13"/>
  <c r="C170" i="13"/>
  <c r="E169" i="13"/>
  <c r="D169" i="13"/>
  <c r="D170" i="13"/>
  <c r="E170" i="13"/>
  <c r="U61" i="9"/>
  <c r="K92" i="12"/>
  <c r="U60" i="9"/>
  <c r="C33" i="21"/>
  <c r="E33" i="21"/>
  <c r="C34" i="21"/>
  <c r="E34" i="21"/>
  <c r="K33" i="12"/>
  <c r="F33" i="12"/>
  <c r="N15" i="9"/>
  <c r="G40" i="12"/>
  <c r="Q15" i="9"/>
  <c r="J40" i="12"/>
  <c r="C36" i="21"/>
  <c r="E36" i="21"/>
  <c r="C35" i="21"/>
  <c r="E35" i="21"/>
  <c r="K22" i="9"/>
  <c r="K50" i="12"/>
  <c r="F50" i="12"/>
  <c r="K72" i="1"/>
  <c r="B13" i="3"/>
  <c r="E40" i="21"/>
  <c r="O108" i="1"/>
  <c r="C13" i="21"/>
  <c r="E13" i="21"/>
  <c r="C12" i="21"/>
  <c r="E12" i="21"/>
  <c r="E19" i="21"/>
  <c r="B108" i="1"/>
  <c r="J128" i="15" l="1"/>
  <c r="O67" i="16" s="1"/>
  <c r="T145" i="15"/>
  <c r="T143" i="15"/>
  <c r="I84" i="14"/>
  <c r="B9" i="3"/>
  <c r="B11" i="3" s="1"/>
  <c r="O38" i="16" s="1"/>
  <c r="O31" i="16"/>
  <c r="B9" i="5"/>
  <c r="B11" i="5" s="1"/>
  <c r="G74" i="16" s="1"/>
  <c r="I57" i="14"/>
  <c r="I42" i="14"/>
  <c r="B22" i="3"/>
  <c r="B48" i="3"/>
  <c r="B8" i="3"/>
  <c r="K71" i="1"/>
  <c r="B22" i="5"/>
  <c r="F72" i="16" s="1"/>
  <c r="F36" i="12"/>
  <c r="B16" i="3"/>
  <c r="N41" i="16" s="1"/>
  <c r="F104" i="16"/>
  <c r="J55" i="15"/>
  <c r="G49" i="16" s="1"/>
  <c r="G55" i="16"/>
  <c r="J130" i="15" l="1"/>
  <c r="J151" i="15" s="1"/>
  <c r="B51" i="3" s="1"/>
  <c r="B58" i="3" s="1"/>
  <c r="B24" i="3"/>
  <c r="B50" i="3"/>
  <c r="B19" i="5"/>
  <c r="B24" i="5"/>
  <c r="J57" i="15"/>
  <c r="J70" i="15" s="1"/>
  <c r="B52" i="5" s="1"/>
  <c r="B59" i="5" s="1"/>
  <c r="B51" i="5"/>
  <c r="B19" i="3"/>
  <c r="B52" i="3" l="1"/>
  <c r="B25" i="3"/>
  <c r="B26" i="3" s="1"/>
  <c r="B27" i="3" s="1"/>
  <c r="B30" i="3" s="1"/>
  <c r="B55" i="5"/>
  <c r="B61" i="5" s="1"/>
  <c r="B25" i="5"/>
  <c r="G36" i="16" s="1"/>
  <c r="B54" i="3"/>
  <c r="B60" i="3" s="1"/>
  <c r="B53" i="5"/>
  <c r="B26" i="5" l="1"/>
  <c r="G34" i="16" s="1"/>
  <c r="B64" i="3"/>
  <c r="O109" i="16" s="1"/>
  <c r="P109" i="16" s="1"/>
  <c r="L109" i="16"/>
  <c r="B43" i="3"/>
  <c r="O107" i="16" s="1"/>
  <c r="P107" i="16" s="1"/>
  <c r="K73" i="1"/>
  <c r="L107" i="16"/>
  <c r="C7" i="16"/>
  <c r="B65" i="5"/>
  <c r="F7" i="16" s="1"/>
  <c r="G7" i="16" s="1"/>
  <c r="B27" i="5" l="1"/>
  <c r="B30" i="5" s="1"/>
  <c r="C5" i="16" s="1"/>
  <c r="K74" i="1" l="1"/>
  <c r="B43" i="5"/>
  <c r="F5" i="16" s="1"/>
  <c r="G5"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rPr>
          <t xml:space="preserve">
</t>
        </r>
      </text>
    </comment>
    <comment ref="C48" authorId="1" shapeId="0" xr:uid="{00000000-0006-0000-0900-000003000000}">
      <text>
        <r>
          <rPr>
            <sz val="8"/>
            <color indexed="81"/>
            <rFont val="Tahoma"/>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5" authorId="0" shapeId="0" xr:uid="{00000000-0006-0000-0A00-000002000000}">
      <text>
        <r>
          <rPr>
            <sz val="8"/>
            <color indexed="81"/>
            <rFont val="Tahoma"/>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4" authorId="0" shapeId="0" xr:uid="{00000000-0006-0000-0A00-000003000000}">
      <text>
        <r>
          <rPr>
            <sz val="8"/>
            <color indexed="81"/>
            <rFont val="Tahoma"/>
          </rPr>
          <t xml:space="preserve">
</t>
        </r>
        <r>
          <rPr>
            <b/>
            <sz val="8"/>
            <color indexed="81"/>
            <rFont val="Tahoma"/>
            <family val="2"/>
          </rPr>
          <t>Figure 1</t>
        </r>
        <r>
          <rPr>
            <sz val="8"/>
            <color indexed="81"/>
            <rFont val="Tahoma"/>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rPr>
          <t xml:space="preserve">
</t>
        </r>
      </text>
    </comment>
    <comment ref="H57" authorId="0" shapeId="0" xr:uid="{00000000-0006-0000-0B00-000007000000}">
      <text>
        <r>
          <rPr>
            <sz val="8"/>
            <color indexed="81"/>
            <rFont val="Tahoma"/>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5" authorId="0" shapeId="0" xr:uid="{00000000-0006-0000-0B00-000009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rPr>
          <t xml:space="preserve">
</t>
        </r>
      </text>
    </comment>
    <comment ref="B27" authorId="0" shapeId="0" xr:uid="{00000000-0006-0000-0C00-000002000000}">
      <text>
        <r>
          <rPr>
            <sz val="10"/>
            <color indexed="81"/>
            <rFont val="Tahoma"/>
            <family val="2"/>
          </rPr>
          <t xml:space="preserve">
Also known as the C/N</t>
        </r>
        <r>
          <rPr>
            <sz val="8"/>
            <color indexed="81"/>
            <rFont val="Tahoma"/>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rPr>
          <t xml:space="preserve">
</t>
        </r>
        <r>
          <rPr>
            <sz val="10"/>
            <color indexed="81"/>
            <rFont val="Tahoma"/>
            <family val="2"/>
          </rPr>
          <t>This value is calculated by:
     S/N</t>
        </r>
        <r>
          <rPr>
            <sz val="8"/>
            <color indexed="81"/>
            <rFont val="Tahoma"/>
          </rPr>
          <t>o</t>
        </r>
        <r>
          <rPr>
            <sz val="10"/>
            <color indexed="81"/>
            <rFont val="Tahoma"/>
            <family val="2"/>
          </rPr>
          <t xml:space="preserve"> = P</t>
        </r>
        <r>
          <rPr>
            <sz val="8"/>
            <color indexed="81"/>
            <rFont val="Tahoma"/>
          </rPr>
          <t>iso</t>
        </r>
        <r>
          <rPr>
            <sz val="10"/>
            <color indexed="81"/>
            <rFont val="Tahoma"/>
            <family val="2"/>
          </rPr>
          <t xml:space="preserve">+(G/T)-K
     where:  K = Boltzman's Constant
</t>
        </r>
      </text>
    </comment>
    <comment ref="B30" authorId="0" shapeId="0" xr:uid="{00000000-0006-0000-0C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rPr>
          <t xml:space="preserve">o is known, </t>
        </r>
        <r>
          <rPr>
            <sz val="10"/>
            <color indexed="81"/>
            <rFont val="Tahoma"/>
            <family val="2"/>
          </rPr>
          <t>the E</t>
        </r>
        <r>
          <rPr>
            <sz val="8"/>
            <color indexed="81"/>
            <rFont val="Tahoma"/>
          </rPr>
          <t>b</t>
        </r>
        <r>
          <rPr>
            <sz val="10"/>
            <color indexed="81"/>
            <rFont val="Tahoma"/>
            <family val="2"/>
          </rPr>
          <t>/N</t>
        </r>
        <r>
          <rPr>
            <sz val="8"/>
            <color indexed="81"/>
            <rFont val="Tahoma"/>
          </rPr>
          <t>o</t>
        </r>
        <r>
          <rPr>
            <sz val="10"/>
            <color indexed="81"/>
            <rFont val="Tahoma"/>
            <family val="2"/>
          </rPr>
          <t xml:space="preserve"> is simply calculated by:  E</t>
        </r>
        <r>
          <rPr>
            <sz val="8"/>
            <color indexed="81"/>
            <rFont val="Tahoma"/>
          </rPr>
          <t>b</t>
        </r>
        <r>
          <rPr>
            <sz val="10"/>
            <color indexed="81"/>
            <rFont val="Tahoma"/>
            <family val="2"/>
          </rPr>
          <t>/N</t>
        </r>
        <r>
          <rPr>
            <sz val="8"/>
            <color indexed="81"/>
            <rFont val="Tahoma"/>
          </rPr>
          <t>o</t>
        </r>
        <r>
          <rPr>
            <sz val="10"/>
            <color indexed="81"/>
            <rFont val="Tahoma"/>
            <family val="2"/>
          </rPr>
          <t xml:space="preserve"> = S/N</t>
        </r>
        <r>
          <rPr>
            <sz val="8"/>
            <color indexed="81"/>
            <rFont val="Tahoma"/>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4" authorId="0" shapeId="0" xr:uid="{00000000-0006-0000-0C00-000008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2" authorId="0" shapeId="0" xr:uid="{00000000-0006-0000-0D00-000002000000}">
      <text>
        <r>
          <rPr>
            <sz val="10"/>
            <color indexed="81"/>
            <rFont val="Tahoma"/>
            <family val="2"/>
          </rPr>
          <t xml:space="preserve">
Operator Enter Transmitter DC to RF Power Efficiency</t>
        </r>
        <r>
          <rPr>
            <sz val="8"/>
            <color indexed="81"/>
            <rFont val="Tahoma"/>
          </rPr>
          <t xml:space="preserve">
</t>
        </r>
      </text>
    </comment>
    <comment ref="O14" authorId="0" shapeId="0" xr:uid="{00000000-0006-0000-0D00-000003000000}">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6" authorId="0" shapeId="0" xr:uid="{00000000-0006-0000-0D00-000004000000}">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rPr>
          <t xml:space="preserve">
</t>
        </r>
      </text>
    </comment>
    <comment ref="A13" authorId="0" shapeId="0" xr:uid="{00000000-0006-0000-0F00-000004000000}">
      <text>
        <r>
          <rPr>
            <sz val="8"/>
            <color indexed="81"/>
            <rFont val="Tahoma"/>
          </rPr>
          <t xml:space="preserve">
</t>
        </r>
        <r>
          <rPr>
            <sz val="10"/>
            <color indexed="81"/>
            <rFont val="Tahoma"/>
            <family val="2"/>
          </rPr>
          <t>This is a tool for determining the performance of a small (and simple) parabolic reflector.  It uses a sin</t>
        </r>
        <r>
          <rPr>
            <sz val="10"/>
            <color indexed="81"/>
            <rFont val="Arial"/>
          </rPr>
          <t>²θ</t>
        </r>
        <r>
          <rPr>
            <sz val="10"/>
            <color indexed="81"/>
            <rFont val="Tahoma"/>
            <family val="2"/>
          </rPr>
          <t>/</t>
        </r>
        <r>
          <rPr>
            <sz val="10"/>
            <color indexed="81"/>
            <rFont val="Arial"/>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rPr>
          <t>°</t>
        </r>
        <r>
          <rPr>
            <sz val="10"/>
            <color indexed="81"/>
            <rFont val="Tahoma"/>
            <family val="2"/>
          </rPr>
          <t>. = 11.0</t>
        </r>
        <r>
          <rPr>
            <sz val="10"/>
            <color indexed="81"/>
            <rFont val="Arial"/>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rPr>
          <t>A</t>
        </r>
        <r>
          <rPr>
            <sz val="10"/>
            <color indexed="81"/>
            <rFont val="Tahoma"/>
            <family val="2"/>
          </rPr>
          <t>, L</t>
        </r>
        <r>
          <rPr>
            <sz val="8"/>
            <color indexed="81"/>
            <rFont val="Tahoma"/>
          </rPr>
          <t>B</t>
        </r>
        <r>
          <rPr>
            <sz val="10"/>
            <color indexed="81"/>
            <rFont val="Tahoma"/>
            <family val="2"/>
          </rPr>
          <t xml:space="preserve"> and L</t>
        </r>
        <r>
          <rPr>
            <sz val="8"/>
            <color indexed="81"/>
            <rFont val="Tahoma"/>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67" authorId="0" shapeId="0" xr:uid="{00000000-0006-0000-1100-000003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88" authorId="0" shapeId="0" xr:uid="{00000000-0006-0000-1100-000004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10" authorId="0" shapeId="0" xr:uid="{00000000-0006-0000-1100-000005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32" authorId="0" shapeId="0" xr:uid="{00000000-0006-0000-1100-000006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rPr>
          <t>tx</t>
        </r>
        <r>
          <rPr>
            <sz val="10"/>
            <color indexed="81"/>
            <rFont val="Tahoma"/>
            <family val="2"/>
          </rPr>
          <t>/Z</t>
        </r>
        <r>
          <rPr>
            <sz val="8"/>
            <color indexed="81"/>
            <rFont val="Tahoma"/>
          </rPr>
          <t>sys</t>
        </r>
        <r>
          <rPr>
            <sz val="10"/>
            <color indexed="81"/>
            <rFont val="Tahoma"/>
            <family val="2"/>
          </rPr>
          <t>,where Z</t>
        </r>
        <r>
          <rPr>
            <sz val="8"/>
            <color indexed="81"/>
            <rFont val="Tahoma"/>
          </rPr>
          <t>tx</t>
        </r>
        <r>
          <rPr>
            <sz val="10"/>
            <color indexed="81"/>
            <rFont val="Tahoma"/>
            <family val="2"/>
          </rPr>
          <t xml:space="preserve"> is the impedance of the transmitter and Z</t>
        </r>
        <r>
          <rPr>
            <sz val="8"/>
            <color indexed="81"/>
            <rFont val="Tahoma"/>
          </rPr>
          <t>sys</t>
        </r>
        <r>
          <rPr>
            <sz val="10"/>
            <color indexed="81"/>
            <rFont val="Tahoma"/>
            <family val="2"/>
          </rPr>
          <t xml:space="preserve"> is the impedance of the rest of the sytem looking into the feedline from the transmitter end.  </t>
        </r>
        <r>
          <rPr>
            <sz val="8"/>
            <color indexed="81"/>
            <rFont val="Tahoma"/>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rPr>
          <t xml:space="preserve">
</t>
        </r>
        <r>
          <rPr>
            <sz val="10"/>
            <color indexed="81"/>
            <rFont val="Tahoma"/>
            <family val="2"/>
          </rPr>
          <t>The VSWR of the transmitter system is equal to:
                  |Z</t>
        </r>
        <r>
          <rPr>
            <sz val="8"/>
            <color indexed="81"/>
            <rFont val="Tahoma"/>
          </rPr>
          <t>tx</t>
        </r>
        <r>
          <rPr>
            <sz val="10"/>
            <color indexed="81"/>
            <rFont val="Tahoma"/>
            <family val="2"/>
          </rPr>
          <t>|        |Z</t>
        </r>
        <r>
          <rPr>
            <sz val="8"/>
            <color indexed="81"/>
            <rFont val="Tahoma"/>
          </rPr>
          <t>sys</t>
        </r>
        <r>
          <rPr>
            <sz val="10"/>
            <color indexed="81"/>
            <rFont val="Tahoma"/>
            <family val="2"/>
          </rPr>
          <t>|
     VSWR = ------  or  --------
                  |Z</t>
        </r>
        <r>
          <rPr>
            <sz val="8"/>
            <color indexed="81"/>
            <rFont val="Tahoma"/>
          </rPr>
          <t>sys</t>
        </r>
        <r>
          <rPr>
            <sz val="10"/>
            <color indexed="81"/>
            <rFont val="Tahoma"/>
            <family val="2"/>
          </rPr>
          <t>|      |Z</t>
        </r>
        <r>
          <rPr>
            <sz val="8"/>
            <color indexed="81"/>
            <rFont val="Tahoma"/>
          </rPr>
          <t>tx</t>
        </r>
        <r>
          <rPr>
            <sz val="10"/>
            <color indexed="81"/>
            <rFont val="Tahoma"/>
            <family val="2"/>
          </rPr>
          <t>|
     whichever is greater.</t>
        </r>
      </text>
    </comment>
    <comment ref="G42" authorId="0" shapeId="0" xr:uid="{00000000-0006-0000-1200-000003000000}">
      <text>
        <r>
          <rPr>
            <sz val="8"/>
            <color indexed="81"/>
            <rFont val="Tahoma"/>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rPr>
          <t xml:space="preserve">
The Azimuth Calculation within a Quadrant.
</t>
        </r>
      </text>
    </comment>
    <comment ref="B38" authorId="0" shapeId="0" xr:uid="{00000000-0006-0000-1300-000002000000}">
      <text>
        <r>
          <rPr>
            <sz val="8"/>
            <color indexed="81"/>
            <rFont val="Tahoma"/>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rPr>
          <t xml:space="preserve">
Option #2 is intended for High Earth Orbits using eliptical orbits.  The link model operator selects
</t>
        </r>
      </text>
    </comment>
    <comment ref="J68" authorId="0" shapeId="0" xr:uid="{00000000-0006-0000-0200-000003000000}">
      <text>
        <r>
          <rPr>
            <sz val="8"/>
            <color indexed="81"/>
            <rFont val="Tahoma"/>
          </rPr>
          <t xml:space="preserve">
This is the Earth's diameter (not counting the atmosphere) as seen from the spacecraft.
</t>
        </r>
      </text>
    </comment>
    <comment ref="J69" authorId="0" shapeId="0" xr:uid="{00000000-0006-0000-0200-000004000000}">
      <text>
        <r>
          <rPr>
            <sz val="8"/>
            <color indexed="81"/>
            <rFont val="Tahoma"/>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rPr>
          <t xml:space="preserve">
</t>
        </r>
      </text>
    </comment>
    <comment ref="O96" authorId="0" shapeId="0" xr:uid="{00000000-0006-0000-0200-000009000000}">
      <text>
        <r>
          <rPr>
            <sz val="8"/>
            <color indexed="81"/>
            <rFont val="Tahoma"/>
          </rPr>
          <t xml:space="preserve">
This data entry allows a downlink to the same user or to a different user location. 
</t>
        </r>
      </text>
    </comment>
    <comment ref="A102" authorId="0" shapeId="0" xr:uid="{00000000-0006-0000-0200-00000A000000}">
      <text>
        <r>
          <rPr>
            <sz val="8"/>
            <color indexed="81"/>
            <rFont val="Tahoma"/>
          </rPr>
          <t xml:space="preserve">
Spacecraft Slot Latitude is 0</t>
        </r>
        <r>
          <rPr>
            <sz val="8"/>
            <color indexed="81"/>
            <rFont val="Arial"/>
          </rPr>
          <t>°</t>
        </r>
        <r>
          <rPr>
            <sz val="8"/>
            <color indexed="81"/>
            <rFont val="Tahoma"/>
          </rPr>
          <t xml:space="preserve"> by Definition.
</t>
        </r>
      </text>
    </comment>
    <comment ref="G115" authorId="0" shapeId="0" xr:uid="{00000000-0006-0000-0200-00000B000000}">
      <text>
        <r>
          <rPr>
            <sz val="8"/>
            <color indexed="81"/>
            <rFont val="Tahoma"/>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Vigely Mastro</author>
  </authors>
  <commentList>
    <comment ref="B6" authorId="0" shapeId="0" xr:uid="{00000000-0006-0000-0400-000001000000}">
      <text>
        <r>
          <rPr>
            <sz val="8"/>
            <color indexed="81"/>
            <rFont val="Tahoma"/>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 ref="E34" authorId="1" shapeId="0" xr:uid="{DC565F39-6DA1-4B3B-BA97-0DE61C6B6F48}">
      <text>
        <r>
          <rPr>
            <sz val="9"/>
            <color indexed="81"/>
            <rFont val="Tahoma"/>
            <family val="2"/>
          </rPr>
          <t>Includes PolyPhasers:
2x connectors = 1 PolyPhasers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Vigely Mastro</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rPr>
          <t xml:space="preserve">
</t>
        </r>
      </text>
    </comment>
    <comment ref="V54" authorId="0" shapeId="0" xr:uid="{00000000-0006-0000-0500-000003000000}">
      <text>
        <r>
          <rPr>
            <sz val="8"/>
            <color indexed="81"/>
            <rFont val="Tahoma"/>
          </rPr>
          <t xml:space="preserve">
</t>
        </r>
        <r>
          <rPr>
            <sz val="10"/>
            <color indexed="81"/>
            <rFont val="Tahoma"/>
            <family val="2"/>
          </rPr>
          <t>The</t>
        </r>
        <r>
          <rPr>
            <sz val="8"/>
            <color indexed="81"/>
            <rFont val="Tahoma"/>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rPr>
          <t xml:space="preserve"> </t>
        </r>
        <r>
          <rPr>
            <sz val="10"/>
            <color indexed="81"/>
            <rFont val="Tahoma"/>
            <family val="2"/>
          </rPr>
          <t>temperature in</t>
        </r>
        <r>
          <rPr>
            <sz val="8"/>
            <color indexed="81"/>
            <rFont val="Tahoma"/>
          </rPr>
          <t xml:space="preserve"> </t>
        </r>
        <r>
          <rPr>
            <sz val="10"/>
            <color indexed="81"/>
            <rFont val="Arial"/>
          </rPr>
          <t>°</t>
        </r>
        <r>
          <rPr>
            <sz val="10"/>
            <color indexed="81"/>
            <rFont val="Tahoma"/>
            <family val="2"/>
          </rPr>
          <t>K</t>
        </r>
        <r>
          <rPr>
            <sz val="8"/>
            <color indexed="81"/>
            <rFont val="Tahoma"/>
          </rPr>
          <t xml:space="preserve">.  </t>
        </r>
        <r>
          <rPr>
            <sz val="10"/>
            <color indexed="81"/>
            <rFont val="Tahoma"/>
            <family val="2"/>
          </rPr>
          <t>The translation between the two</t>
        </r>
        <r>
          <rPr>
            <sz val="8"/>
            <color indexed="81"/>
            <rFont val="Tahoma"/>
          </rPr>
          <t xml:space="preserve"> </t>
        </r>
        <r>
          <rPr>
            <sz val="10"/>
            <color indexed="81"/>
            <rFont val="Tahoma"/>
            <family val="2"/>
          </rPr>
          <t>depends upon the reference temperature of the</t>
        </r>
        <r>
          <rPr>
            <sz val="8"/>
            <color indexed="81"/>
            <rFont val="Tahoma"/>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rPr>
          <t xml:space="preserve">
</t>
        </r>
      </text>
    </comment>
    <comment ref="J67" authorId="1" shapeId="0" xr:uid="{63C4A227-18FE-4A07-842D-C35E57275DF5}">
      <text>
        <r>
          <rPr>
            <b/>
            <sz val="9"/>
            <color indexed="81"/>
            <rFont val="Tahoma"/>
            <family val="2"/>
          </rPr>
          <t>Vigely Mastro:</t>
        </r>
        <r>
          <rPr>
            <sz val="9"/>
            <color indexed="81"/>
            <rFont val="Tahoma"/>
            <family val="2"/>
          </rPr>
          <t xml:space="preserve">
Includes all passive and active (if any) devices after the first LNA, including the N.F. of the LNA in the transceiver IC.  Using Friis noise model for calculations.</t>
        </r>
      </text>
    </comment>
    <comment ref="J70" authorId="1" shapeId="0" xr:uid="{E1E9CBEF-8B9A-4E4F-B693-5418F16D05EB}">
      <text>
        <r>
          <rPr>
            <b/>
            <sz val="9"/>
            <color indexed="81"/>
            <rFont val="Tahoma"/>
            <family val="2"/>
          </rPr>
          <t xml:space="preserve">Vigely Mastro:
</t>
        </r>
        <r>
          <rPr>
            <sz val="9"/>
            <color indexed="81"/>
            <rFont val="Tahoma"/>
            <family val="2"/>
          </rPr>
          <t>This system noise temp. model (based on SME text) is liberal vs. Kraus' model.</t>
        </r>
      </text>
    </comment>
    <comment ref="I101" authorId="0" shapeId="0" xr:uid="{00000000-0006-0000-0500-000005000000}">
      <text>
        <r>
          <rPr>
            <sz val="8"/>
            <color indexed="81"/>
            <rFont val="Tahoma"/>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rPr>
          <t xml:space="preserve">
</t>
        </r>
      </text>
    </comment>
    <comment ref="H109" authorId="0" shapeId="0" xr:uid="{00000000-0006-0000-0500-000006000000}">
      <text>
        <r>
          <rPr>
            <sz val="8"/>
            <color indexed="81"/>
            <rFont val="Tahoma"/>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G132"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P139" authorId="0" shapeId="0" xr:uid="{00000000-0006-0000-0500-000008000000}">
      <text>
        <r>
          <rPr>
            <sz val="8"/>
            <color indexed="81"/>
            <rFont val="Tahoma"/>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rPr>
          <t xml:space="preserve">LNA x </t>
        </r>
        <r>
          <rPr>
            <sz val="10"/>
            <color indexed="81"/>
            <rFont val="Tahoma"/>
            <family val="2"/>
          </rPr>
          <t>B).</t>
        </r>
      </text>
    </comment>
    <comment ref="G140" authorId="0" shapeId="0" xr:uid="{00000000-0006-0000-0500-000009000000}">
      <text>
        <r>
          <rPr>
            <sz val="8"/>
            <color indexed="81"/>
            <rFont val="Tahoma"/>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 ref="J148" authorId="1" shapeId="0" xr:uid="{238A503A-22F8-4FBB-97C1-61C5BCE3AB10}">
      <text>
        <r>
          <rPr>
            <b/>
            <sz val="9"/>
            <color indexed="81"/>
            <rFont val="Tahoma"/>
            <charset val="1"/>
          </rPr>
          <t xml:space="preserve">Vigely Mastro:
</t>
        </r>
        <r>
          <rPr>
            <sz val="9"/>
            <color indexed="81"/>
            <rFont val="Tahoma"/>
            <family val="2"/>
          </rPr>
          <t>Includes all passive and active (if any) devices after the first LNA, including the PolyPhaser, long lines, and N.F. of the SDR.  Using Friis noise model for calculations.</t>
        </r>
      </text>
    </comment>
    <comment ref="J151" authorId="1" shapeId="0" xr:uid="{C8A2EFFF-7658-4A63-BDD8-3B7EEDEC5F43}">
      <text>
        <r>
          <rPr>
            <b/>
            <sz val="9"/>
            <color indexed="81"/>
            <rFont val="Tahoma"/>
            <family val="2"/>
          </rPr>
          <t>Vigely Mastro:</t>
        </r>
        <r>
          <rPr>
            <sz val="9"/>
            <color indexed="81"/>
            <rFont val="Tahoma"/>
            <family val="2"/>
          </rPr>
          <t xml:space="preserve">
This system noise temp. model (based on SME text) is liberal vs. Kraus' model.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rPr>
          <t xml:space="preserve">Operator Enter RHCP, LHCP, Linear 
NOTE:  Linear antennas are discouraged.
</t>
        </r>
      </text>
    </comment>
    <comment ref="K24" authorId="0" shapeId="0" xr:uid="{00000000-0006-0000-0600-000003000000}">
      <text>
        <r>
          <rPr>
            <sz val="8"/>
            <color indexed="81"/>
            <rFont val="Tahoma"/>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rPr>
          <t xml:space="preserve">
</t>
        </r>
      </text>
    </comment>
    <comment ref="K41" authorId="0" shapeId="0" xr:uid="{00000000-0006-0000-0600-000006000000}">
      <text>
        <r>
          <rPr>
            <sz val="8"/>
            <color indexed="81"/>
            <rFont val="Tahoma"/>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rPr>
          <t xml:space="preserve">
</t>
        </r>
      </text>
    </comment>
    <comment ref="K58" authorId="0" shapeId="0" xr:uid="{00000000-0006-0000-0600-000009000000}">
      <text>
        <r>
          <rPr>
            <sz val="8"/>
            <color indexed="81"/>
            <rFont val="Tahoma"/>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rPr>
          <t>θ</t>
        </r>
        <r>
          <rPr>
            <b/>
            <sz val="8"/>
            <color indexed="81"/>
            <rFont val="Tahoma"/>
            <family val="2"/>
          </rPr>
          <t>3</t>
        </r>
        <r>
          <rPr>
            <sz val="8"/>
            <color indexed="81"/>
            <rFont val="Tahoma"/>
          </rPr>
          <t xml:space="preserve"> </t>
        </r>
        <r>
          <rPr>
            <sz val="10"/>
            <color indexed="81"/>
            <rFont val="Tahoma"/>
            <family val="2"/>
          </rPr>
          <t xml:space="preserve">is defined in the same manner as </t>
        </r>
        <r>
          <rPr>
            <b/>
            <sz val="10"/>
            <color indexed="81"/>
            <rFont val="Arial"/>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rPr>
          <t>²</t>
        </r>
        <r>
          <rPr>
            <sz val="10"/>
            <color indexed="81"/>
            <rFont val="Tahoma"/>
            <family val="2"/>
          </rPr>
          <t>/</t>
        </r>
        <r>
          <rPr>
            <sz val="10"/>
            <color indexed="81"/>
            <rFont val="Symbol"/>
            <family val="1"/>
          </rPr>
          <t>q</t>
        </r>
        <r>
          <rPr>
            <sz val="10"/>
            <color indexed="81"/>
            <rFont val="Arial"/>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rPr>
          <t>θ</t>
        </r>
        <r>
          <rPr>
            <sz val="8"/>
            <color indexed="81"/>
            <rFont val="Tahoma"/>
          </rPr>
          <t>1</t>
        </r>
        <r>
          <rPr>
            <sz val="10"/>
            <color indexed="81"/>
            <rFont val="Tahoma"/>
            <family val="2"/>
          </rPr>
          <t xml:space="preserve">, </t>
        </r>
        <r>
          <rPr>
            <sz val="10"/>
            <color indexed="81"/>
            <rFont val="Arial"/>
          </rPr>
          <t>θ</t>
        </r>
        <r>
          <rPr>
            <sz val="8"/>
            <color indexed="81"/>
            <rFont val="Tahoma"/>
          </rPr>
          <t>2</t>
        </r>
        <r>
          <rPr>
            <sz val="10"/>
            <color indexed="81"/>
            <rFont val="Tahoma"/>
            <family val="2"/>
          </rPr>
          <t xml:space="preserve">, </t>
        </r>
        <r>
          <rPr>
            <sz val="10"/>
            <color indexed="81"/>
            <rFont val="Arial"/>
          </rPr>
          <t>θ</t>
        </r>
        <r>
          <rPr>
            <sz val="8"/>
            <color indexed="81"/>
            <rFont val="Tahoma"/>
          </rPr>
          <t>3</t>
        </r>
        <r>
          <rPr>
            <sz val="10"/>
            <color indexed="81"/>
            <rFont val="Tahoma"/>
            <family val="2"/>
          </rPr>
          <t xml:space="preserve"> and </t>
        </r>
        <r>
          <rPr>
            <sz val="10"/>
            <color indexed="81"/>
            <rFont val="Arial"/>
          </rPr>
          <t>θ</t>
        </r>
        <r>
          <rPr>
            <sz val="8"/>
            <color indexed="81"/>
            <rFont val="Tahoma"/>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rPr>
          <t>θ</t>
        </r>
        <r>
          <rPr>
            <b/>
            <sz val="8"/>
            <color indexed="81"/>
            <rFont val="Tahoma"/>
            <family val="2"/>
          </rPr>
          <t>1</t>
        </r>
        <r>
          <rPr>
            <sz val="10"/>
            <color indexed="81"/>
            <rFont val="Tahoma"/>
            <family val="2"/>
          </rPr>
          <t xml:space="preserve"> thru </t>
        </r>
        <r>
          <rPr>
            <b/>
            <sz val="10"/>
            <color indexed="81"/>
            <rFont val="Arial"/>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rPr>
          <t>θ</t>
        </r>
        <r>
          <rPr>
            <sz val="10"/>
            <color indexed="81"/>
            <rFont val="Arial"/>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rPr>
          <t>θ</t>
        </r>
        <r>
          <rPr>
            <sz val="9"/>
            <color indexed="81"/>
            <rFont val="Tahoma"/>
            <family val="2"/>
          </rPr>
          <t xml:space="preserve"> </t>
        </r>
        <r>
          <rPr>
            <sz val="10"/>
            <color indexed="81"/>
            <rFont val="Tahoma"/>
            <family val="2"/>
          </rPr>
          <t xml:space="preserve">with the spacecraft attitude component </t>
        </r>
        <r>
          <rPr>
            <b/>
            <sz val="10"/>
            <color indexed="81"/>
            <rFont val="Arial"/>
          </rPr>
          <t>θ</t>
        </r>
        <r>
          <rPr>
            <sz val="10"/>
            <color indexed="81"/>
            <rFont val="Arial"/>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<sst xmlns="http://schemas.openxmlformats.org/spreadsheetml/2006/main" count="2762" uniqueCount="1090">
  <si>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</si>
  <si>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</si>
  <si>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</si>
  <si>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</si>
  <si>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</si>
  <si>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</si>
  <si>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</si>
  <si>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</si>
  <si>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</si>
  <si>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</si>
  <si>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</si>
  <si>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</si>
  <si>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</si>
  <si>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</si>
  <si>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</si>
  <si>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</si>
  <si>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</si>
  <si>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</si>
  <si>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</si>
  <si>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</si>
  <si>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</si>
  <si>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</si>
  <si>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</si>
  <si>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</si>
  <si>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</si>
  <si>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</si>
  <si>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</si>
  <si>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rPr>
      <t>1</t>
    </r>
    <r>
      <rPr>
        <sz val="10"/>
        <rFont val="Arial"/>
      </rPr>
      <t xml:space="preserve"> and F</t>
    </r>
    <r>
      <rPr>
        <sz val="8"/>
        <rFont val="Arial"/>
      </rPr>
      <t>2</t>
    </r>
    <r>
      <rPr>
        <sz val="10"/>
        <rFont val="Arial"/>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</si>
  <si>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</si>
  <si>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</si>
  <si>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</si>
  <si>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</si>
  <si>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</si>
  <si>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</si>
  <si>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</si>
  <si>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</si>
  <si>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</si>
  <si>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</si>
  <si>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</si>
  <si>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</si>
  <si>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</si>
  <si>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</si>
  <si>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</si>
  <si>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</si>
  <si>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</si>
  <si>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</si>
  <si>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</si>
  <si>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</si>
  <si>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</si>
  <si>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</si>
  <si>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</si>
  <si>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</si>
  <si>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</si>
  <si>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</si>
  <si>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</si>
  <si>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</si>
  <si>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</si>
  <si>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</si>
  <si>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</si>
  <si>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</si>
  <si>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</si>
  <si>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</si>
  <si>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</si>
  <si>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</si>
  <si>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rPr>
      <t>):</t>
    </r>
  </si>
  <si>
    <t>Turns (n):</t>
  </si>
  <si>
    <r>
      <t>Turn Spacing (</t>
    </r>
    <r>
      <rPr>
        <sz val="10"/>
        <rFont val="Symbol"/>
        <family val="1"/>
      </rPr>
      <t>l</t>
    </r>
    <r>
      <rPr>
        <sz val="10"/>
        <rFont val="Arial"/>
      </rPr>
      <t>):</t>
    </r>
  </si>
  <si>
    <r>
      <t>Loop (</t>
    </r>
    <r>
      <rPr>
        <sz val="10"/>
        <rFont val="Symbol"/>
        <family val="1"/>
      </rPr>
      <t>l</t>
    </r>
    <r>
      <rPr>
        <sz val="10"/>
        <rFont val="Arial"/>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</si>
  <si>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</si>
  <si>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</si>
  <si>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</si>
  <si>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</si>
  <si>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</si>
  <si>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</si>
  <si>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</si>
  <si>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</si>
  <si>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</si>
  <si>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</si>
  <si>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</si>
  <si>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</si>
  <si>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</si>
  <si>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</si>
  <si>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</si>
  <si>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</si>
  <si>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</si>
  <si>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</si>
  <si>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</si>
  <si>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</si>
  <si>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</si>
  <si>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</si>
  <si>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</si>
  <si>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</si>
  <si>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</si>
  <si>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</si>
  <si>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</si>
  <si>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</si>
  <si>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</si>
  <si>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</si>
  <si>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</si>
  <si>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</si>
  <si>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</si>
  <si>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</si>
  <si>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</si>
  <si>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</si>
  <si>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</si>
  <si>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</si>
  <si>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</si>
  <si>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</si>
  <si>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</si>
  <si>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</si>
  <si>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</si>
  <si>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</si>
  <si>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</si>
  <si>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</si>
  <si>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</si>
  <si>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</si>
  <si>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</si>
  <si>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</si>
  <si>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</si>
  <si>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</si>
  <si>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</si>
  <si>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</si>
  <si>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</si>
  <si>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</si>
  <si>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</si>
  <si>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</si>
  <si>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</si>
  <si>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</si>
  <si>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</si>
  <si>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</si>
  <si>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</si>
  <si>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</si>
  <si>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</si>
  <si>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</si>
  <si>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</si>
  <si>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</si>
  <si>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</si>
  <si>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</si>
  <si>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</si>
  <si>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</si>
  <si>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</si>
  <si>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</si>
  <si>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</si>
  <si>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</si>
  <si>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</si>
  <si>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</si>
  <si>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</si>
  <si>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</si>
  <si>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</si>
  <si>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</si>
  <si>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</si>
  <si>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</si>
  <si>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</si>
  <si>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rPr>
      <t xml:space="preserve"> wrt Symmetry Axis (</t>
    </r>
    <r>
      <rPr>
        <sz val="10"/>
        <rFont val="Arial"/>
      </rPr>
      <t>θ)°</t>
    </r>
    <r>
      <rPr>
        <sz val="10"/>
        <rFont val="Arial"/>
      </rPr>
      <t>:</t>
    </r>
  </si>
  <si>
    <t>LHCP</t>
  </si>
  <si>
    <t>Antenna Gain (dBi):</t>
  </si>
  <si>
    <t>Spacecraft Antennas:</t>
  </si>
  <si>
    <t>Uplink Transmitter System (At Ground Station):</t>
  </si>
  <si>
    <t>Downlink Transmitter System (At Spacecraft):</t>
  </si>
  <si>
    <t>Block Diagram:</t>
  </si>
  <si>
    <t>Transmitter Power:</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</si>
  <si>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</si>
  <si>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</si>
  <si>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</si>
  <si>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</si>
  <si>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</si>
  <si>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</si>
  <si>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</si>
  <si>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</si>
  <si>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</si>
  <si>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</si>
  <si>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Filter Insertion Losses:</t>
  </si>
  <si>
    <t>No. of In-Line Connectors:</t>
  </si>
  <si>
    <t>Other In-Line Losses:</t>
  </si>
  <si>
    <t>MHz =</t>
  </si>
  <si>
    <t>Other Components in Line:</t>
  </si>
  <si>
    <t>Total Line Losses:</t>
  </si>
  <si>
    <t>System Transmitters &amp; Line Losses:</t>
  </si>
  <si>
    <t>Antenna Mismatch Losses:</t>
  </si>
  <si>
    <t>Antenna Mismatch</t>
  </si>
  <si>
    <t xml:space="preserve">   Line B</t>
  </si>
  <si>
    <t xml:space="preserve">       Line C</t>
  </si>
  <si>
    <t>Line A Length:</t>
  </si>
  <si>
    <t>Line B Length:</t>
  </si>
  <si>
    <t>Line C Length:</t>
  </si>
  <si>
    <t>Line B</t>
  </si>
  <si>
    <t xml:space="preserve">   Line C</t>
  </si>
  <si>
    <t xml:space="preserve">Line A    </t>
  </si>
  <si>
    <t>Total Line Length (Line A+B+C):</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</si>
  <si>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</si>
  <si>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</si>
  <si>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</si>
  <si>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</si>
  <si>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</si>
  <si>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</si>
  <si>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</si>
  <si>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</si>
  <si>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</si>
  <si>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</si>
  <si>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</si>
  <si>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</si>
  <si>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rPr>
      <t>s</t>
    </r>
    <r>
      <rPr>
        <sz val="10"/>
        <rFont val="Arial"/>
      </rPr>
      <t>):</t>
    </r>
  </si>
  <si>
    <t>Where:</t>
  </si>
  <si>
    <r>
      <t>L</t>
    </r>
    <r>
      <rPr>
        <sz val="8"/>
        <rFont val="Arial"/>
      </rPr>
      <t xml:space="preserve">A          </t>
    </r>
  </si>
  <si>
    <r>
      <t xml:space="preserve">       L</t>
    </r>
    <r>
      <rPr>
        <sz val="8"/>
        <rFont val="Arial"/>
      </rPr>
      <t xml:space="preserve">B   </t>
    </r>
  </si>
  <si>
    <r>
      <t xml:space="preserve">      L</t>
    </r>
    <r>
      <rPr>
        <sz val="8"/>
        <rFont val="Arial"/>
      </rPr>
      <t>C</t>
    </r>
  </si>
  <si>
    <r>
      <t>T</t>
    </r>
    <r>
      <rPr>
        <sz val="8"/>
        <rFont val="Arial"/>
      </rPr>
      <t>o</t>
    </r>
  </si>
  <si>
    <r>
      <t xml:space="preserve">      T</t>
    </r>
    <r>
      <rPr>
        <sz val="8"/>
        <rFont val="Arial"/>
      </rPr>
      <t>o</t>
    </r>
  </si>
  <si>
    <r>
      <t>a</t>
    </r>
    <r>
      <rPr>
        <sz val="10"/>
        <rFont val="Arial"/>
      </rPr>
      <t xml:space="preserve"> </t>
    </r>
    <r>
      <rPr>
        <sz val="10"/>
        <rFont val="Symbol"/>
        <family val="1"/>
      </rPr>
      <t xml:space="preserve">º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</si>
  <si>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T</t>
    </r>
    <r>
      <rPr>
        <sz val="8"/>
        <rFont val="Arial"/>
      </rPr>
      <t>LNA</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</si>
  <si>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2ndStage</t>
    </r>
    <r>
      <rPr>
        <b/>
        <sz val="10"/>
        <rFont val="Arial"/>
        <family val="2"/>
      </rPr>
      <t>/G</t>
    </r>
    <r>
      <rPr>
        <b/>
        <sz val="8"/>
        <rFont val="Arial"/>
        <family val="2"/>
      </rPr>
      <t>LNA</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</si>
  <si>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</si>
  <si>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</si>
  <si>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</si>
  <si>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</si>
  <si>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</si>
  <si>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</si>
  <si>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</si>
  <si>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r>
      <t>T</t>
    </r>
    <r>
      <rPr>
        <sz val="8"/>
        <rFont val="Arial"/>
      </rPr>
      <t>2nd Stage</t>
    </r>
  </si>
  <si>
    <t>Cable or Waveguide "Line" Losses:</t>
  </si>
  <si>
    <t>Cable or Waveguide ("Line") Losses:</t>
  </si>
  <si>
    <r>
      <t>L</t>
    </r>
    <r>
      <rPr>
        <sz val="8"/>
        <rFont val="Arial"/>
      </rPr>
      <t>A</t>
    </r>
    <r>
      <rPr>
        <sz val="10"/>
        <rFont val="Arial"/>
      </rPr>
      <t xml:space="preserve"> = </t>
    </r>
  </si>
  <si>
    <r>
      <t>L</t>
    </r>
    <r>
      <rPr>
        <sz val="8"/>
        <rFont val="Arial"/>
      </rPr>
      <t>B</t>
    </r>
    <r>
      <rPr>
        <sz val="10"/>
        <rFont val="Arial"/>
      </rPr>
      <t xml:space="preserve"> = </t>
    </r>
  </si>
  <si>
    <r>
      <t>L</t>
    </r>
    <r>
      <rPr>
        <sz val="8"/>
        <rFont val="Arial"/>
      </rPr>
      <t>C</t>
    </r>
    <r>
      <rPr>
        <sz val="10"/>
        <rFont val="Arial"/>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</si>
  <si>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</si>
  <si>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</si>
  <si>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</si>
  <si>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</si>
  <si>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</si>
  <si>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</si>
  <si>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</si>
  <si>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rPr>
      <t>BPF</t>
    </r>
    <r>
      <rPr>
        <sz val="10"/>
        <rFont val="Arial"/>
      </rPr>
      <t xml:space="preserve"> =</t>
    </r>
  </si>
  <si>
    <t>Insertion Loss of Other In-Line Devices:</t>
  </si>
  <si>
    <r>
      <t>L</t>
    </r>
    <r>
      <rPr>
        <sz val="8"/>
        <rFont val="Arial"/>
      </rPr>
      <t>other</t>
    </r>
    <r>
      <rPr>
        <sz val="10"/>
        <rFont val="Arial"/>
      </rPr>
      <t xml:space="preserve"> = </t>
    </r>
  </si>
  <si>
    <t>Total In-Line Losses from Antenna to LNA:</t>
  </si>
  <si>
    <t>Transmission Line Coefficient:</t>
  </si>
  <si>
    <r>
      <t>a</t>
    </r>
    <r>
      <rPr>
        <sz val="10"/>
        <rFont val="Arial"/>
      </rPr>
      <t xml:space="preserve"> = </t>
    </r>
  </si>
  <si>
    <t>Antenna or "Sky" Temperature:</t>
  </si>
  <si>
    <r>
      <t>T</t>
    </r>
    <r>
      <rPr>
        <sz val="8"/>
        <rFont val="Arial"/>
      </rPr>
      <t>a</t>
    </r>
    <r>
      <rPr>
        <sz val="10"/>
        <rFont val="Arial"/>
      </rPr>
      <t xml:space="preserve"> =</t>
    </r>
  </si>
  <si>
    <t>Spacecraft Temperature:</t>
  </si>
  <si>
    <r>
      <t>T</t>
    </r>
    <r>
      <rPr>
        <sz val="8"/>
        <rFont val="Arial"/>
      </rPr>
      <t>o</t>
    </r>
    <r>
      <rPr>
        <sz val="10"/>
        <rFont val="Arial"/>
      </rPr>
      <t xml:space="preserve"> =</t>
    </r>
  </si>
  <si>
    <t>LNA Temperature:</t>
  </si>
  <si>
    <r>
      <t>T</t>
    </r>
    <r>
      <rPr>
        <sz val="8"/>
        <rFont val="Arial"/>
      </rPr>
      <t>LNA</t>
    </r>
    <r>
      <rPr>
        <sz val="10"/>
        <rFont val="Arial"/>
      </rPr>
      <t xml:space="preserve"> =</t>
    </r>
  </si>
  <si>
    <t>2nd Stage Temperature:</t>
  </si>
  <si>
    <t>LNA Gain:</t>
  </si>
  <si>
    <r>
      <t>G</t>
    </r>
    <r>
      <rPr>
        <sz val="8"/>
        <rFont val="Arial"/>
      </rPr>
      <t>LNA</t>
    </r>
    <r>
      <rPr>
        <sz val="10"/>
        <rFont val="Arial"/>
      </rPr>
      <t xml:space="preserve"> =</t>
    </r>
  </si>
  <si>
    <r>
      <t>T</t>
    </r>
    <r>
      <rPr>
        <sz val="8"/>
        <rFont val="Arial"/>
      </rPr>
      <t>2ndStage</t>
    </r>
    <r>
      <rPr>
        <sz val="10"/>
        <rFont val="Arial"/>
      </rPr>
      <t xml:space="preserve"> =</t>
    </r>
  </si>
  <si>
    <t>System Noise Temperature:</t>
  </si>
  <si>
    <r>
      <t>T</t>
    </r>
    <r>
      <rPr>
        <sz val="8"/>
        <rFont val="Arial"/>
      </rPr>
      <t>s</t>
    </r>
    <r>
      <rPr>
        <sz val="10"/>
        <rFont val="Arial"/>
      </rPr>
      <t xml:space="preserve"> =</t>
    </r>
  </si>
  <si>
    <t>or</t>
  </si>
  <si>
    <r>
      <t>NF</t>
    </r>
    <r>
      <rPr>
        <sz val="8"/>
        <rFont val="Arial"/>
      </rPr>
      <t xml:space="preserve">dB </t>
    </r>
    <r>
      <rPr>
        <sz val="10"/>
        <rFont val="Arial"/>
      </rPr>
      <t>=</t>
    </r>
  </si>
  <si>
    <r>
      <t>T</t>
    </r>
    <r>
      <rPr>
        <sz val="10"/>
        <rFont val="Arial"/>
      </rPr>
      <t xml:space="preserve"> = T</t>
    </r>
    <r>
      <rPr>
        <sz val="8"/>
        <rFont val="Arial"/>
      </rPr>
      <t>o</t>
    </r>
    <r>
      <rPr>
        <sz val="10"/>
        <rFont val="Arial"/>
      </rPr>
      <t>[10^(NF</t>
    </r>
    <r>
      <rPr>
        <sz val="8"/>
        <rFont val="Arial"/>
      </rPr>
      <t>dB</t>
    </r>
    <r>
      <rPr>
        <sz val="10"/>
        <rFont val="Arial"/>
      </rPr>
      <t>/10)-1]</t>
    </r>
  </si>
  <si>
    <r>
      <t>NF</t>
    </r>
    <r>
      <rPr>
        <sz val="8"/>
        <rFont val="Arial"/>
      </rPr>
      <t>dB</t>
    </r>
    <r>
      <rPr>
        <sz val="10"/>
        <rFont val="Arial"/>
      </rPr>
      <t xml:space="preserve"> = 10 LOG</t>
    </r>
    <r>
      <rPr>
        <sz val="8"/>
        <rFont val="Arial"/>
      </rPr>
      <t>10</t>
    </r>
    <r>
      <rPr>
        <sz val="10"/>
        <rFont val="Arial"/>
      </rPr>
      <t>[1+(T</t>
    </r>
    <r>
      <rPr>
        <sz val="10"/>
        <rFont val="Arial"/>
      </rPr>
      <t>/T</t>
    </r>
    <r>
      <rPr>
        <sz val="8"/>
        <rFont val="Arial"/>
      </rPr>
      <t>o</t>
    </r>
    <r>
      <rPr>
        <sz val="10"/>
        <rFont val="Arial"/>
      </rPr>
      <t xml:space="preserve">)] </t>
    </r>
  </si>
  <si>
    <t>T =</t>
  </si>
  <si>
    <r>
      <t>NF</t>
    </r>
    <r>
      <rPr>
        <sz val="8"/>
        <rFont val="Arial"/>
      </rPr>
      <t xml:space="preserve">dB  </t>
    </r>
    <r>
      <rPr>
        <sz val="10"/>
        <rFont val="Arial"/>
      </rPr>
      <t>=</t>
    </r>
  </si>
  <si>
    <t>OR</t>
  </si>
  <si>
    <t>Enter Data Here:</t>
  </si>
  <si>
    <t>Result is Here</t>
  </si>
  <si>
    <t>Downlink Receiver System (At Ground Station):</t>
  </si>
  <si>
    <t xml:space="preserve">No. of In-Line Connectors: </t>
  </si>
  <si>
    <t>X .05 dB/Con.=</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</si>
  <si>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</si>
  <si>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</si>
  <si>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</si>
  <si>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</si>
  <si>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</si>
  <si>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</si>
  <si>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</si>
  <si>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</si>
  <si>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</si>
  <si>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</si>
  <si>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</si>
  <si>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</si>
  <si>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</si>
  <si>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</si>
  <si>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</si>
  <si>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</si>
  <si>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</si>
  <si>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</si>
  <si>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</si>
  <si>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</si>
  <si>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</si>
  <si>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</si>
  <si>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</si>
  <si>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</si>
  <si>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</si>
  <si>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</si>
  <si>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</si>
  <si>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</si>
  <si>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</si>
  <si>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</si>
  <si>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</si>
  <si>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</si>
  <si>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</si>
  <si>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</si>
  <si>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</si>
  <si>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</si>
  <si>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</si>
  <si>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</si>
  <si>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</si>
  <si>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</si>
  <si>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</si>
  <si>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</si>
  <si>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</si>
  <si>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</si>
  <si>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</si>
  <si>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</si>
  <si>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</si>
  <si>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</si>
  <si>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</si>
  <si>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</si>
  <si>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</si>
  <si>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</si>
  <si>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</si>
  <si>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</si>
  <si>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</si>
  <si>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</si>
  <si>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</si>
  <si>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</si>
  <si>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</si>
  <si>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</si>
  <si>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</si>
  <si>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</si>
  <si>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</si>
  <si>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</si>
  <si>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</si>
  <si>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</si>
  <si>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</si>
  <si>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</si>
  <si>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</si>
  <si>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</si>
  <si>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</si>
  <si>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</si>
  <si>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</si>
  <si>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</si>
  <si>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</si>
  <si>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</si>
  <si>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</si>
  <si>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</si>
  <si>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</si>
  <si>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</si>
  <si>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</si>
  <si>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</si>
  <si>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</si>
  <si>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</si>
  <si>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</si>
  <si>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</si>
  <si>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</si>
  <si>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</si>
  <si>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</si>
  <si>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</si>
  <si>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rPr>
      <t xml:space="preserve">Longitude </t>
    </r>
    <r>
      <rPr>
        <sz val="10"/>
        <rFont val="Symbol"/>
        <family val="1"/>
      </rPr>
      <t>£</t>
    </r>
    <r>
      <rPr>
        <sz val="10"/>
        <rFont val="Arial"/>
      </rPr>
      <t xml:space="preserve"> 81.3</t>
    </r>
    <r>
      <rPr>
        <sz val="10"/>
        <rFont val="Arial"/>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</si>
  <si>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</si>
  <si>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</si>
  <si>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</si>
  <si>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</si>
  <si>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</si>
  <si>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</si>
  <si>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</si>
  <si>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</si>
  <si>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</si>
  <si>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</si>
  <si>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</si>
  <si>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</si>
  <si>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</si>
  <si>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</si>
  <si>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</si>
  <si>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</si>
  <si>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</si>
  <si>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</si>
  <si>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</si>
  <si>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</si>
  <si>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</si>
  <si>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</si>
  <si>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</si>
  <si>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</si>
  <si>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</si>
  <si>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</si>
  <si>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</si>
  <si>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</si>
  <si>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</si>
  <si>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</si>
  <si>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</si>
  <si>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</si>
  <si>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</si>
  <si>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rPr>
      <t>); Transferred from "Frequency" W/S</t>
    </r>
  </si>
  <si>
    <r>
      <t xml:space="preserve">is clearly referred to as such in the budget </t>
    </r>
    <r>
      <rPr>
        <i/>
        <sz val="10"/>
        <rFont val="Arial"/>
        <family val="2"/>
      </rPr>
      <t>parameter</t>
    </r>
    <r>
      <rPr>
        <sz val="10"/>
        <rFont val="Arial"/>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</si>
  <si>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rPr>
      <t>,</t>
    </r>
  </si>
  <si>
    <r>
      <t xml:space="preserve">in the equations that sum the gains and losses to yield the result, the gains are </t>
    </r>
    <r>
      <rPr>
        <i/>
        <sz val="10"/>
        <rFont val="Arial"/>
        <family val="2"/>
      </rPr>
      <t>added</t>
    </r>
    <r>
      <rPr>
        <sz val="10"/>
        <rFont val="Arial"/>
      </rPr>
      <t xml:space="preserve"> and the losses are </t>
    </r>
    <r>
      <rPr>
        <i/>
        <sz val="10"/>
        <rFont val="Arial"/>
        <family val="2"/>
      </rPr>
      <t>subtracted</t>
    </r>
    <r>
      <rPr>
        <sz val="10"/>
        <rFont val="Arial"/>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</si>
  <si>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</si>
  <si>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</si>
  <si>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</si>
  <si>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</si>
  <si>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</si>
  <si>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</si>
  <si>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rPr>
      <t>X-712-67-441, NASA/Goddard Space Flight Center, 1967, Entire Document.</t>
    </r>
  </si>
  <si>
    <t>dBi (L or C)</t>
  </si>
  <si>
    <t>System Link Margin</t>
  </si>
  <si>
    <r>
      <t>G/T = Ga-L</t>
    </r>
    <r>
      <rPr>
        <sz val="8"/>
        <rFont val="Arial"/>
      </rPr>
      <t>tl</t>
    </r>
    <r>
      <rPr>
        <sz val="10"/>
        <rFont val="Arial"/>
      </rPr>
      <t>-10log(T</t>
    </r>
    <r>
      <rPr>
        <sz val="8"/>
        <rFont val="Arial"/>
      </rPr>
      <t>s</t>
    </r>
    <r>
      <rPr>
        <sz val="10"/>
        <rFont val="Arial"/>
      </rPr>
      <t>).  This is the uptimate measure of the receiver's performance.</t>
    </r>
  </si>
  <si>
    <r>
      <t>G/T = Ga-L</t>
    </r>
    <r>
      <rPr>
        <sz val="8"/>
        <rFont val="Arial"/>
      </rPr>
      <t>tl</t>
    </r>
    <r>
      <rPr>
        <sz val="10"/>
        <rFont val="Arial"/>
      </rPr>
      <t>-10log(T</t>
    </r>
    <r>
      <rPr>
        <sz val="8"/>
        <rFont val="Arial"/>
      </rPr>
      <t>s</t>
    </r>
    <r>
      <rPr>
        <sz val="10"/>
        <rFont val="Arial"/>
      </rPr>
      <t>). This is the ultimate measure of the receiver's performance.</t>
    </r>
  </si>
  <si>
    <r>
      <t>Ps = P</t>
    </r>
    <r>
      <rPr>
        <sz val="8"/>
        <rFont val="Arial"/>
      </rPr>
      <t>iso</t>
    </r>
    <r>
      <rPr>
        <sz val="10"/>
        <rFont val="Arial"/>
      </rPr>
      <t>+G</t>
    </r>
    <r>
      <rPr>
        <sz val="8"/>
        <rFont val="Arial"/>
      </rPr>
      <t>a</t>
    </r>
    <r>
      <rPr>
        <sz val="10"/>
        <rFont val="Arial"/>
      </rPr>
      <t>-L</t>
    </r>
    <r>
      <rPr>
        <sz val="8"/>
        <rFont val="Arial"/>
      </rPr>
      <t>pl</t>
    </r>
    <r>
      <rPr>
        <sz val="10"/>
        <rFont val="Arial"/>
      </rPr>
      <t>-L</t>
    </r>
    <r>
      <rPr>
        <sz val="8"/>
        <rFont val="Arial"/>
      </rPr>
      <t xml:space="preserve">tl;  </t>
    </r>
    <r>
      <rPr>
        <sz val="10"/>
        <rFont val="Arial"/>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</si>
  <si>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</si>
  <si>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</si>
  <si>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</si>
  <si>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</si>
  <si>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</si>
  <si>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</si>
  <si>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</si>
  <si>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</si>
  <si>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</si>
  <si>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</si>
  <si>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</si>
  <si>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</si>
  <si>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</si>
  <si>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</si>
  <si>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</si>
  <si>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</si>
  <si>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</si>
  <si>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</si>
  <si>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</si>
  <si>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</si>
  <si>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</si>
  <si>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</si>
  <si>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</si>
  <si>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</si>
  <si>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</si>
  <si>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</si>
  <si>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</si>
  <si>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</si>
  <si>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</si>
  <si>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</si>
  <si>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</si>
  <si>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</si>
  <si>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</si>
  <si>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</si>
  <si>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</si>
  <si>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</si>
  <si>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</si>
  <si>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</si>
  <si>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</si>
  <si>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</si>
  <si>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</si>
  <si>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</si>
  <si>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</si>
  <si>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</si>
  <si>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Line A</t>
  </si>
  <si>
    <t>Line C</t>
  </si>
  <si>
    <r>
      <t xml:space="preserve">    P</t>
    </r>
    <r>
      <rPr>
        <sz val="8"/>
        <rFont val="Arial"/>
      </rPr>
      <t>Tx</t>
    </r>
    <r>
      <rPr>
        <sz val="10"/>
        <rFont val="Arial"/>
      </rPr>
      <t xml:space="preserve"> =</t>
    </r>
  </si>
  <si>
    <r>
      <t xml:space="preserve">    L</t>
    </r>
    <r>
      <rPr>
        <sz val="8"/>
        <rFont val="Arial"/>
      </rPr>
      <t xml:space="preserve">A </t>
    </r>
    <r>
      <rPr>
        <sz val="10"/>
        <rFont val="Arial"/>
      </rPr>
      <t>=</t>
    </r>
  </si>
  <si>
    <r>
      <t xml:space="preserve">    L</t>
    </r>
    <r>
      <rPr>
        <sz val="8"/>
        <rFont val="Arial"/>
      </rPr>
      <t>B</t>
    </r>
    <r>
      <rPr>
        <sz val="10"/>
        <rFont val="Arial"/>
      </rPr>
      <t xml:space="preserve"> =</t>
    </r>
  </si>
  <si>
    <r>
      <t xml:space="preserve">    L</t>
    </r>
    <r>
      <rPr>
        <sz val="8"/>
        <rFont val="Arial"/>
      </rPr>
      <t>C</t>
    </r>
    <r>
      <rPr>
        <sz val="10"/>
        <rFont val="Arial"/>
      </rPr>
      <t xml:space="preserve"> = </t>
    </r>
  </si>
  <si>
    <t xml:space="preserve">    R = </t>
  </si>
  <si>
    <r>
      <t xml:space="preserve">    L</t>
    </r>
    <r>
      <rPr>
        <sz val="8"/>
        <rFont val="Arial"/>
      </rPr>
      <t>p</t>
    </r>
    <r>
      <rPr>
        <sz val="10"/>
        <rFont val="Arial"/>
      </rPr>
      <t xml:space="preserve"> =</t>
    </r>
  </si>
  <si>
    <r>
      <t xml:space="preserve">    L</t>
    </r>
    <r>
      <rPr>
        <sz val="8"/>
        <rFont val="Arial"/>
      </rPr>
      <t>Tbpf =</t>
    </r>
  </si>
  <si>
    <r>
      <t xml:space="preserve">    L</t>
    </r>
    <r>
      <rPr>
        <sz val="8"/>
        <rFont val="Arial"/>
      </rPr>
      <t>C=</t>
    </r>
  </si>
  <si>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</si>
  <si>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</si>
  <si>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Tother =</t>
    </r>
  </si>
  <si>
    <r>
      <t xml:space="preserve">    T</t>
    </r>
    <r>
      <rPr>
        <sz val="8"/>
        <rFont val="Arial"/>
      </rPr>
      <t>LNA</t>
    </r>
    <r>
      <rPr>
        <sz val="10"/>
        <rFont val="Arial"/>
      </rPr>
      <t xml:space="preserve"> =</t>
    </r>
    <r>
      <rPr>
        <sz val="8"/>
        <rFont val="Arial"/>
      </rPr>
      <t xml:space="preserve"> </t>
    </r>
  </si>
  <si>
    <r>
      <t xml:space="preserve">    G</t>
    </r>
    <r>
      <rPr>
        <sz val="8"/>
        <rFont val="Arial"/>
      </rPr>
      <t>LNA</t>
    </r>
    <r>
      <rPr>
        <sz val="10"/>
        <rFont val="Arial"/>
      </rPr>
      <t xml:space="preserve"> =</t>
    </r>
  </si>
  <si>
    <r>
      <t>L</t>
    </r>
    <r>
      <rPr>
        <sz val="8"/>
        <rFont val="Arial"/>
      </rPr>
      <t xml:space="preserve">total line </t>
    </r>
    <r>
      <rPr>
        <sz val="10"/>
        <rFont val="Arial"/>
      </rPr>
      <t>=</t>
    </r>
    <r>
      <rPr>
        <sz val="10"/>
        <rFont val="Arial"/>
      </rPr>
      <t xml:space="preserve"> </t>
    </r>
  </si>
  <si>
    <r>
      <t>L</t>
    </r>
    <r>
      <rPr>
        <sz val="8"/>
        <rFont val="Arial"/>
      </rPr>
      <t xml:space="preserve">total line </t>
    </r>
    <r>
      <rPr>
        <sz val="10"/>
        <rFont val="Arial"/>
      </rPr>
      <t>=</t>
    </r>
  </si>
  <si>
    <r>
      <t>T</t>
    </r>
    <r>
      <rPr>
        <sz val="8"/>
        <rFont val="Arial"/>
      </rPr>
      <t>2nd Amp</t>
    </r>
    <r>
      <rPr>
        <sz val="10"/>
        <rFont val="Arial"/>
      </rPr>
      <t xml:space="preserve"> =</t>
    </r>
  </si>
  <si>
    <t xml:space="preserve">  Demodulator Type:</t>
  </si>
  <si>
    <t>Link Margin:</t>
  </si>
  <si>
    <r>
      <t xml:space="preserve">    E</t>
    </r>
    <r>
      <rPr>
        <sz val="8"/>
        <rFont val="Arial"/>
      </rPr>
      <t>b</t>
    </r>
    <r>
      <rPr>
        <sz val="10"/>
        <rFont val="Arial"/>
      </rPr>
      <t>/N</t>
    </r>
    <r>
      <rPr>
        <sz val="8"/>
        <rFont val="Arial"/>
      </rPr>
      <t>o</t>
    </r>
    <r>
      <rPr>
        <sz val="10"/>
        <rFont val="Arial"/>
      </rPr>
      <t xml:space="preserve"> = </t>
    </r>
  </si>
  <si>
    <t xml:space="preserve">    S/N =</t>
  </si>
  <si>
    <r>
      <t xml:space="preserve">    T</t>
    </r>
    <r>
      <rPr>
        <sz val="8"/>
        <rFont val="Arial"/>
      </rPr>
      <t>sys</t>
    </r>
    <r>
      <rPr>
        <sz val="10"/>
        <rFont val="Arial"/>
      </rPr>
      <t xml:space="preserve"> =</t>
    </r>
  </si>
  <si>
    <t xml:space="preserve">    G/T =</t>
  </si>
  <si>
    <r>
      <t xml:space="preserve">    G</t>
    </r>
    <r>
      <rPr>
        <sz val="8"/>
        <rFont val="Arial"/>
      </rPr>
      <t xml:space="preserve">T </t>
    </r>
    <r>
      <rPr>
        <sz val="10"/>
        <rFont val="Arial"/>
      </rPr>
      <t>=</t>
    </r>
  </si>
  <si>
    <r>
      <t xml:space="preserve">  L</t>
    </r>
    <r>
      <rPr>
        <sz val="8"/>
        <rFont val="Arial"/>
      </rPr>
      <t>Rbpf</t>
    </r>
    <r>
      <rPr>
        <sz val="10"/>
        <rFont val="Arial"/>
      </rPr>
      <t xml:space="preserve"> =</t>
    </r>
  </si>
  <si>
    <r>
      <t xml:space="preserve">   G</t>
    </r>
    <r>
      <rPr>
        <sz val="8"/>
        <rFont val="Arial"/>
      </rPr>
      <t>R</t>
    </r>
    <r>
      <rPr>
        <sz val="10"/>
        <rFont val="Arial"/>
      </rPr>
      <t xml:space="preserve"> =</t>
    </r>
  </si>
  <si>
    <r>
      <t xml:space="preserve">  EIRP</t>
    </r>
    <r>
      <rPr>
        <sz val="8"/>
        <rFont val="Arial"/>
      </rPr>
      <t xml:space="preserve">gs </t>
    </r>
    <r>
      <rPr>
        <sz val="10"/>
        <rFont val="Arial"/>
      </rPr>
      <t>=</t>
    </r>
  </si>
  <si>
    <t xml:space="preserve">  Modulation Method:</t>
  </si>
  <si>
    <r>
      <t xml:space="preserve">   B</t>
    </r>
    <r>
      <rPr>
        <sz val="8"/>
        <rFont val="Arial"/>
      </rPr>
      <t>Rbpf</t>
    </r>
    <r>
      <rPr>
        <sz val="10"/>
        <rFont val="Arial"/>
      </rPr>
      <t xml:space="preserve"> = </t>
    </r>
  </si>
  <si>
    <t>(Used Only in S/N Calc.)</t>
  </si>
  <si>
    <t>S/N Method:</t>
  </si>
  <si>
    <r>
      <t>E</t>
    </r>
    <r>
      <rPr>
        <sz val="8"/>
        <rFont val="Arial"/>
      </rPr>
      <t>b</t>
    </r>
    <r>
      <rPr>
        <sz val="10"/>
        <rFont val="Arial"/>
      </rPr>
      <t>/No Method:</t>
    </r>
  </si>
  <si>
    <t>Spec. B.E.R.:</t>
  </si>
  <si>
    <r>
      <t xml:space="preserve">  </t>
    </r>
    <r>
      <rPr>
        <b/>
        <sz val="10"/>
        <rFont val="Arial"/>
        <family val="2"/>
      </rPr>
      <t>UPLINK SYSTEM:</t>
    </r>
  </si>
  <si>
    <t xml:space="preserve">    R =</t>
  </si>
  <si>
    <t>DOWNLINK SYSTEM:</t>
  </si>
  <si>
    <t xml:space="preserve">    Total Link Losses:</t>
  </si>
  <si>
    <t xml:space="preserve">  Polarization:</t>
  </si>
  <si>
    <t xml:space="preserve"> Polarization:</t>
  </si>
  <si>
    <r>
      <t xml:space="preserve">    P</t>
    </r>
    <r>
      <rPr>
        <sz val="8"/>
        <rFont val="Arial"/>
      </rPr>
      <t xml:space="preserve">Tx </t>
    </r>
    <r>
      <rPr>
        <sz val="10"/>
        <rFont val="Arial"/>
      </rPr>
      <t>=</t>
    </r>
  </si>
  <si>
    <r>
      <t xml:space="preserve">    h</t>
    </r>
    <r>
      <rPr>
        <sz val="8"/>
        <rFont val="Arial"/>
      </rPr>
      <t xml:space="preserve">Tx </t>
    </r>
    <r>
      <rPr>
        <sz val="10"/>
        <rFont val="Arial"/>
      </rPr>
      <t>=</t>
    </r>
  </si>
  <si>
    <t>Tx DC Pwr:</t>
  </si>
  <si>
    <t>Tx Dissipation:</t>
  </si>
  <si>
    <t xml:space="preserve">   Modulation Method:</t>
  </si>
  <si>
    <r>
      <t xml:space="preserve">   L</t>
    </r>
    <r>
      <rPr>
        <sz val="8"/>
        <rFont val="Arial"/>
      </rPr>
      <t>TXbpf</t>
    </r>
    <r>
      <rPr>
        <sz val="10"/>
        <rFont val="Arial"/>
      </rPr>
      <t xml:space="preserve"> =</t>
    </r>
  </si>
  <si>
    <r>
      <t xml:space="preserve">    L</t>
    </r>
    <r>
      <rPr>
        <sz val="8"/>
        <rFont val="Arial"/>
      </rPr>
      <t>B</t>
    </r>
    <r>
      <rPr>
        <sz val="10"/>
        <rFont val="Arial"/>
      </rPr>
      <t xml:space="preserve"> =</t>
    </r>
  </si>
  <si>
    <r>
      <t xml:space="preserve">    L</t>
    </r>
    <r>
      <rPr>
        <sz val="8"/>
        <rFont val="Arial"/>
      </rPr>
      <t>C</t>
    </r>
    <r>
      <rPr>
        <sz val="10"/>
        <rFont val="Arial"/>
      </rPr>
      <t xml:space="preserve"> =</t>
    </r>
  </si>
  <si>
    <r>
      <t xml:space="preserve"> L</t>
    </r>
    <r>
      <rPr>
        <sz val="8"/>
        <rFont val="Arial"/>
      </rPr>
      <t>total line</t>
    </r>
    <r>
      <rPr>
        <sz val="10"/>
        <rFont val="Arial"/>
      </rPr>
      <t xml:space="preserve"> =</t>
    </r>
  </si>
  <si>
    <r>
      <t xml:space="preserve">    G</t>
    </r>
    <r>
      <rPr>
        <sz val="8"/>
        <rFont val="Arial"/>
      </rPr>
      <t>T</t>
    </r>
    <r>
      <rPr>
        <sz val="10"/>
        <rFont val="Arial"/>
      </rPr>
      <t xml:space="preserve"> = </t>
    </r>
  </si>
  <si>
    <r>
      <t>EIRP</t>
    </r>
    <r>
      <rPr>
        <sz val="8"/>
        <rFont val="Arial"/>
      </rPr>
      <t>S/C</t>
    </r>
    <r>
      <rPr>
        <sz val="10"/>
        <rFont val="Arial"/>
      </rPr>
      <t xml:space="preserve"> =</t>
    </r>
  </si>
  <si>
    <r>
      <t xml:space="preserve">   L</t>
    </r>
    <r>
      <rPr>
        <sz val="8"/>
        <rFont val="Arial"/>
      </rPr>
      <t>Tother</t>
    </r>
    <r>
      <rPr>
        <sz val="10"/>
        <rFont val="Arial"/>
      </rPr>
      <t xml:space="preserve"> =</t>
    </r>
  </si>
  <si>
    <t xml:space="preserve">     Total Link Losses:</t>
  </si>
  <si>
    <r>
      <t xml:space="preserve">    L</t>
    </r>
    <r>
      <rPr>
        <sz val="8"/>
        <rFont val="Arial"/>
      </rPr>
      <t>P</t>
    </r>
    <r>
      <rPr>
        <sz val="10"/>
        <rFont val="Arial"/>
      </rPr>
      <t xml:space="preserve"> =</t>
    </r>
  </si>
  <si>
    <r>
      <t xml:space="preserve">    G</t>
    </r>
    <r>
      <rPr>
        <sz val="8"/>
        <rFont val="Arial"/>
      </rPr>
      <t>R</t>
    </r>
    <r>
      <rPr>
        <sz val="10"/>
        <rFont val="Arial"/>
      </rPr>
      <t xml:space="preserve"> =</t>
    </r>
  </si>
  <si>
    <r>
      <t xml:space="preserve">     L</t>
    </r>
    <r>
      <rPr>
        <sz val="8"/>
        <rFont val="Arial"/>
      </rPr>
      <t>C</t>
    </r>
    <r>
      <rPr>
        <sz val="10"/>
        <rFont val="Arial"/>
      </rPr>
      <t xml:space="preserve"> =</t>
    </r>
  </si>
  <si>
    <t>Angle between S/C antenna symmetry axis</t>
  </si>
  <si>
    <t>GROUND RCVR Eb/No:</t>
  </si>
  <si>
    <t>SOME KEY ORBIT &amp; LINK PARAMETERS</t>
  </si>
  <si>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</si>
  <si>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</si>
  <si>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 xml:space="preserve">Rbpf </t>
    </r>
    <r>
      <rPr>
        <sz val="10"/>
        <rFont val="Arial"/>
      </rPr>
      <t>=</t>
    </r>
  </si>
  <si>
    <r>
      <t xml:space="preserve">   L</t>
    </r>
    <r>
      <rPr>
        <sz val="8"/>
        <rFont val="Arial"/>
      </rPr>
      <t>total</t>
    </r>
    <r>
      <rPr>
        <sz val="10"/>
        <rFont val="Arial"/>
      </rPr>
      <t xml:space="preserve"> =</t>
    </r>
  </si>
  <si>
    <r>
      <t xml:space="preserve">    G</t>
    </r>
    <r>
      <rPr>
        <sz val="8"/>
        <rFont val="Arial"/>
      </rPr>
      <t>LNA</t>
    </r>
    <r>
      <rPr>
        <sz val="10"/>
        <rFont val="Arial"/>
      </rPr>
      <t xml:space="preserve"> =</t>
    </r>
  </si>
  <si>
    <r>
      <t xml:space="preserve">    T</t>
    </r>
    <r>
      <rPr>
        <sz val="8"/>
        <rFont val="Arial"/>
      </rPr>
      <t>LNA</t>
    </r>
    <r>
      <rPr>
        <sz val="10"/>
        <rFont val="Arial"/>
      </rPr>
      <t xml:space="preserve"> =</t>
    </r>
  </si>
  <si>
    <r>
      <t xml:space="preserve">  T</t>
    </r>
    <r>
      <rPr>
        <sz val="8"/>
        <rFont val="Arial"/>
      </rPr>
      <t>2nd amp</t>
    </r>
    <r>
      <rPr>
        <sz val="10"/>
        <rFont val="Arial"/>
      </rPr>
      <t xml:space="preserve"> =</t>
    </r>
  </si>
  <si>
    <r>
      <t xml:space="preserve">    B</t>
    </r>
    <r>
      <rPr>
        <sz val="8"/>
        <rFont val="Arial"/>
      </rPr>
      <t xml:space="preserve">Rbpf  </t>
    </r>
    <r>
      <rPr>
        <sz val="10"/>
        <rFont val="Arial"/>
      </rPr>
      <t>=</t>
    </r>
  </si>
  <si>
    <t>(Used only in S/N Calc.)</t>
  </si>
  <si>
    <t xml:space="preserve">   F.E.C. Decoder Type:</t>
  </si>
  <si>
    <t xml:space="preserve"> F.E.C. Decoder Type:</t>
  </si>
  <si>
    <t xml:space="preserve">   F.E.C. Encoder Type:</t>
  </si>
  <si>
    <t xml:space="preserve">     F.E.C. Encoder Type:</t>
  </si>
  <si>
    <t xml:space="preserve">     Demodulator Type:</t>
  </si>
  <si>
    <r>
      <t xml:space="preserve"> E</t>
    </r>
    <r>
      <rPr>
        <sz val="8"/>
        <rFont val="Arial"/>
      </rPr>
      <t>b</t>
    </r>
    <r>
      <rPr>
        <sz val="10"/>
        <rFont val="Arial"/>
      </rPr>
      <t>/N</t>
    </r>
    <r>
      <rPr>
        <sz val="8"/>
        <rFont val="Arial"/>
      </rPr>
      <t>o</t>
    </r>
    <r>
      <rPr>
        <sz val="10"/>
        <rFont val="Arial"/>
      </rPr>
      <t xml:space="preserve"> Method:</t>
    </r>
  </si>
  <si>
    <t>silver over copper over steel 0.039" (1 mm) dia.  Typically used with SMA or even TNC connectors.  This is a very rugged cable type.</t>
  </si>
  <si>
    <t xml:space="preserve"> S/N Method:</t>
  </si>
  <si>
    <r>
      <t xml:space="preserve">  E</t>
    </r>
    <r>
      <rPr>
        <sz val="8"/>
        <rFont val="Arial"/>
      </rPr>
      <t>b</t>
    </r>
    <r>
      <rPr>
        <sz val="10"/>
        <rFont val="Arial"/>
      </rPr>
      <t>/N</t>
    </r>
    <r>
      <rPr>
        <sz val="8"/>
        <rFont val="Arial"/>
      </rPr>
      <t>o</t>
    </r>
    <r>
      <rPr>
        <sz val="10"/>
        <rFont val="Arial"/>
      </rPr>
      <t xml:space="preserve"> =</t>
    </r>
  </si>
  <si>
    <t xml:space="preserve">   S/N =</t>
  </si>
  <si>
    <t xml:space="preserve">Link Margin: </t>
  </si>
  <si>
    <t xml:space="preserve">  Line C</t>
  </si>
  <si>
    <t xml:space="preserve">  Line A</t>
  </si>
  <si>
    <t xml:space="preserve">  Line B</t>
  </si>
  <si>
    <t>none</t>
  </si>
  <si>
    <t>Other In-Line Device Type:</t>
  </si>
  <si>
    <t>(See "VSWR Loss Tool" W/S)</t>
  </si>
  <si>
    <t>Measured or Estimated VSWR:</t>
  </si>
  <si>
    <t>Transmitter Power Output:</t>
  </si>
  <si>
    <t>Power Reflected and Lost:</t>
  </si>
  <si>
    <t>Power Transmitted:</t>
  </si>
  <si>
    <r>
      <t>:</t>
    </r>
    <r>
      <rPr>
        <sz val="10"/>
        <rFont val="Arial"/>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</si>
  <si>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</si>
  <si>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</si>
  <si>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</si>
  <si>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</si>
  <si>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</si>
  <si>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</si>
  <si>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</si>
  <si>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</si>
  <si>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</si>
  <si>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</si>
  <si>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</si>
  <si>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</si>
  <si>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</si>
  <si>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</si>
  <si>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</si>
  <si>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</si>
  <si>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</si>
  <si>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</si>
  <si>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</si>
  <si>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</si>
  <si>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</si>
  <si>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</si>
  <si>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</si>
  <si>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</si>
  <si>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</si>
  <si>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</si>
  <si>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</si>
  <si>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</si>
  <si>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</si>
  <si>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rPr>
      <t>isotropic</t>
    </r>
    <r>
      <rPr>
        <sz val="10"/>
        <rFont val="Arial"/>
      </rPr>
      <t>).  So, if the gain in a particular direction, is below that of an</t>
    </r>
  </si>
  <si>
    <r>
      <t xml:space="preserve">  L</t>
    </r>
    <r>
      <rPr>
        <sz val="8"/>
        <rFont val="Arial"/>
      </rPr>
      <t>Rother</t>
    </r>
    <r>
      <rPr>
        <sz val="10"/>
        <rFont val="Arial"/>
      </rPr>
      <t xml:space="preserve"> =</t>
    </r>
  </si>
  <si>
    <r>
      <t xml:space="preserve">  L</t>
    </r>
    <r>
      <rPr>
        <sz val="8"/>
        <rFont val="Arial"/>
      </rPr>
      <t>Tother</t>
    </r>
    <r>
      <rPr>
        <sz val="10"/>
        <rFont val="Arial"/>
      </rPr>
      <t xml:space="preserve"> = </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</si>
  <si>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</si>
  <si>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</si>
  <si>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</si>
  <si>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</si>
  <si>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</si>
  <si>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</si>
  <si>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rPr>
      <t>:</t>
    </r>
  </si>
  <si>
    <r>
      <t xml:space="preserve">Measured </t>
    </r>
    <r>
      <rPr>
        <b/>
        <sz val="10"/>
        <rFont val="Arial"/>
        <family val="2"/>
      </rPr>
      <t>Z</t>
    </r>
    <r>
      <rPr>
        <b/>
        <sz val="8"/>
        <rFont val="Arial"/>
        <family val="2"/>
      </rPr>
      <t>sys</t>
    </r>
    <r>
      <rPr>
        <sz val="10"/>
        <rFont val="Arial"/>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</si>
  <si>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</si>
  <si>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</si>
  <si>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</si>
  <si>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</si>
  <si>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</si>
  <si>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</si>
  <si>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</si>
  <si>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</si>
  <si>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</si>
  <si>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</si>
  <si>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</si>
  <si>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</si>
  <si>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</si>
  <si>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</si>
  <si>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</si>
  <si>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</si>
  <si>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</si>
  <si>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</si>
  <si>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</si>
  <si>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</si>
  <si>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</si>
  <si>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</si>
  <si>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</si>
  <si>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</si>
  <si>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</si>
  <si>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</si>
  <si>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</si>
  <si>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</si>
  <si>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</si>
  <si>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</si>
  <si>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</si>
  <si>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</si>
  <si>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</si>
  <si>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</si>
  <si>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</si>
  <si>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</si>
  <si>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</si>
  <si>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</si>
  <si>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</si>
  <si>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</si>
  <si>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</si>
  <si>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</si>
  <si>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</si>
  <si>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</si>
  <si>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</si>
  <si>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</si>
  <si>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</si>
  <si>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</si>
  <si>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</si>
  <si>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</si>
  <si>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</si>
  <si>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</si>
  <si>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</si>
  <si>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</si>
  <si>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</si>
  <si>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</si>
  <si>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</si>
  <si>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</si>
  <si>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</si>
  <si>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</si>
  <si>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rPr>
      <t xml:space="preserve">  An FEP (Teflon) solid covered "clean" cable for general purpose spacecraft transmission lines.</t>
    </r>
  </si>
  <si>
    <t>Can not find data source. Data estimated by VK4GEY.</t>
  </si>
  <si>
    <t>Ground Station Feedline Temperature:</t>
  </si>
  <si>
    <r>
      <t>RG-303 /U:</t>
    </r>
    <r>
      <rPr>
        <sz val="10"/>
        <rFont val="Arial"/>
      </rPr>
      <t xml:space="preserve">  A PTFE (Teflon) solid covered "clean" cable for ruggedized spacecraft transmission line applications.</t>
    </r>
  </si>
  <si>
    <r>
      <t xml:space="preserve">50 </t>
    </r>
    <r>
      <rPr>
        <sz val="10"/>
        <rFont val="Symbol"/>
        <family val="1"/>
      </rPr>
      <t>W</t>
    </r>
    <r>
      <rPr>
        <sz val="10"/>
        <rFont val="Arial"/>
      </rPr>
      <t xml:space="preserve"> </t>
    </r>
    <r>
      <rPr>
        <b/>
        <sz val="10"/>
        <rFont val="Arial"/>
        <family val="2"/>
      </rPr>
      <t xml:space="preserve">Semi-Rigid Cable (0.085" dia.):  </t>
    </r>
    <r>
      <rPr>
        <sz val="10"/>
        <rFont val="Arial"/>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</si>
  <si>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</si>
  <si>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</si>
  <si>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</si>
  <si>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</si>
  <si>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</si>
  <si>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</si>
  <si>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rPr>
      <t xml:space="preserve"> </t>
    </r>
    <r>
      <rPr>
        <b/>
        <sz val="10"/>
        <rFont val="Arial"/>
        <family val="2"/>
      </rPr>
      <t xml:space="preserve">Semi-Rigid Cable (0.141" dia.):  </t>
    </r>
    <r>
      <rPr>
        <sz val="10"/>
        <rFont val="Arial"/>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</si>
  <si>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</si>
  <si>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rPr>
      <t>].</t>
    </r>
  </si>
  <si>
    <r>
      <t>Data courtesy Storm Products Co.[</t>
    </r>
    <r>
      <rPr>
        <b/>
        <sz val="10"/>
        <rFont val="Arial"/>
        <family val="2"/>
      </rPr>
      <t>Bold Text</t>
    </r>
    <r>
      <rPr>
        <sz val="10"/>
        <rFont val="Arial"/>
      </rPr>
      <t>].</t>
    </r>
  </si>
  <si>
    <t>Don't Change These Formulas</t>
  </si>
  <si>
    <t>W</t>
  </si>
  <si>
    <t>TEST 1</t>
  </si>
  <si>
    <t>TEST 2</t>
  </si>
  <si>
    <t>% of Power</t>
  </si>
  <si>
    <t>Manually Enter Results of Test #1 or Test #2 at Cell [H8]</t>
  </si>
  <si>
    <r>
      <t>|Z</t>
    </r>
    <r>
      <rPr>
        <sz val="8"/>
        <rFont val="Arial"/>
      </rPr>
      <t>tx</t>
    </r>
    <r>
      <rPr>
        <sz val="10"/>
        <rFont val="Arial"/>
      </rPr>
      <t>| =</t>
    </r>
  </si>
  <si>
    <r>
      <t>|Z</t>
    </r>
    <r>
      <rPr>
        <sz val="8"/>
        <rFont val="Arial"/>
      </rPr>
      <t>sys</t>
    </r>
    <r>
      <rPr>
        <sz val="10"/>
        <rFont val="Arial"/>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</si>
  <si>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</si>
  <si>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</si>
  <si>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</si>
  <si>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</si>
  <si>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</si>
  <si>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</si>
  <si>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</si>
  <si>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</si>
  <si>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</si>
  <si>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</si>
  <si>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</si>
  <si>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</si>
  <si>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</si>
  <si>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</si>
  <si>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</si>
  <si>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</si>
  <si>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</si>
  <si>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</si>
  <si>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</si>
  <si>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</si>
  <si>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</si>
  <si>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</si>
  <si>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</si>
  <si>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</si>
  <si>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</si>
  <si>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</si>
  <si>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</si>
  <si>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</si>
  <si>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</si>
  <si>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</si>
  <si>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</si>
  <si>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</si>
  <si>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</si>
  <si>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</si>
  <si>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</si>
  <si>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</si>
  <si>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</si>
  <si>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</si>
  <si>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COMMAND</t>
  </si>
  <si>
    <t xml:space="preserve">        TELEMETRY</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</si>
  <si>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</si>
  <si>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</si>
  <si>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</si>
  <si>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</si>
  <si>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</si>
  <si>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</si>
  <si>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</si>
  <si>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</si>
  <si>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</si>
  <si>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</si>
  <si>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</si>
  <si>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</si>
  <si>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</si>
  <si>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</si>
  <si>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</si>
  <si>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</si>
  <si>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</si>
  <si>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</si>
  <si>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</si>
  <si>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</si>
  <si>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</si>
  <si>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</si>
  <si>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</si>
  <si>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</si>
  <si>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</si>
  <si>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</si>
  <si>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</si>
  <si>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</si>
  <si>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</si>
  <si>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</si>
  <si>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</si>
  <si>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</si>
  <si>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</si>
  <si>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</si>
  <si>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</si>
  <si>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</si>
  <si>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</si>
  <si>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</si>
  <si>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</si>
  <si>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</si>
  <si>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</si>
  <si>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</si>
  <si>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</si>
  <si>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</si>
  <si>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</si>
  <si>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</si>
  <si>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</si>
  <si>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</si>
  <si>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</si>
  <si>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</si>
  <si>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</si>
  <si>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</si>
  <si>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</si>
  <si>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</si>
  <si>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</si>
  <si>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</si>
  <si>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</si>
  <si>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</si>
  <si>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</si>
  <si>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</si>
  <si>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</si>
  <si>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</si>
  <si>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</si>
  <si>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</si>
  <si>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</si>
  <si>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</si>
  <si>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</si>
  <si>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sz val="8"/>
        <rFont val="Arial"/>
      </rPr>
      <t>ComRcvr</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</si>
  <si>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</si>
  <si>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</si>
  <si>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</si>
  <si>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</si>
  <si>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</si>
  <si>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</si>
  <si>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rPr>
      <t>ComRcvr</t>
    </r>
    <r>
      <rPr>
        <sz val="10"/>
        <rFont val="Arial"/>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</si>
  <si>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</si>
  <si>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rPr>
      <t xml:space="preserve">.  The important distinction is, that tools </t>
    </r>
    <r>
      <rPr>
        <i/>
        <sz val="10"/>
        <rFont val="Arial"/>
        <family val="2"/>
      </rPr>
      <t>never</t>
    </r>
    <r>
      <rPr>
        <sz val="10"/>
        <rFont val="Arial"/>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</si>
  <si>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</si>
  <si>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</si>
  <si>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</si>
  <si>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</si>
  <si>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</si>
  <si>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</si>
  <si>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</si>
  <si>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</si>
  <si>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</si>
  <si>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</si>
  <si>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</si>
  <si>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</si>
  <si>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</si>
  <si>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</si>
  <si>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</si>
  <si>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</si>
  <si>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</si>
  <si>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</si>
  <si>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</si>
  <si>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</si>
  <si>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</si>
  <si>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</si>
  <si>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</si>
  <si>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</si>
  <si>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</si>
  <si>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rPr>
      <t>American Radio Relay League, 1974, pp. 153-155.</t>
    </r>
  </si>
  <si>
    <r>
      <t xml:space="preserve">Feher, Dr. Kamilo, </t>
    </r>
    <r>
      <rPr>
        <i/>
        <sz val="10"/>
        <rFont val="Arial"/>
        <family val="2"/>
      </rPr>
      <t>Digital Communications, Satellite/Earth Station Engineering</t>
    </r>
    <r>
      <rPr>
        <sz val="10"/>
        <rFont val="Arial"/>
      </rPr>
      <t>, Prentice-Hall Books, 1983, Chapter 4.</t>
    </r>
  </si>
  <si>
    <r>
      <t xml:space="preserve">Ippolito, L.J.Jr., </t>
    </r>
    <r>
      <rPr>
        <i/>
        <sz val="10"/>
        <rFont val="Arial"/>
        <family val="2"/>
      </rPr>
      <t xml:space="preserve">Radiowave Propagation in Satellite Communications, </t>
    </r>
    <r>
      <rPr>
        <sz val="10"/>
        <rFont val="Arial"/>
      </rPr>
      <t>Van Norstrand Reinhold Co., 1986, Chapters 3 and 7.</t>
    </r>
  </si>
  <si>
    <r>
      <t xml:space="preserve">Jordan, E.C. (Edit.), </t>
    </r>
    <r>
      <rPr>
        <i/>
        <sz val="10"/>
        <rFont val="Arial"/>
        <family val="2"/>
      </rPr>
      <t>Reference Data for Engineers:  Radio, Electronics, Computer, and Communications, 7th Edition</t>
    </r>
    <r>
      <rPr>
        <sz val="10"/>
        <rFont val="Arial"/>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</si>
  <si>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</si>
  <si>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rPr>
      <t>Jet Propulsion Laboratory, TMOD Directorate, 1996, p.44-46.</t>
    </r>
  </si>
  <si>
    <r>
      <t xml:space="preserve">Morgan, W.L. and Gordon, G.D., </t>
    </r>
    <r>
      <rPr>
        <i/>
        <sz val="10"/>
        <rFont val="Arial"/>
        <family val="2"/>
      </rPr>
      <t>Principles of Communicaitons Satellites</t>
    </r>
    <r>
      <rPr>
        <sz val="10"/>
        <rFont val="Arial"/>
      </rPr>
      <t>, John Wiley &amp; Sons, Inc., 1993, Chapter 2 and pp.140-143.</t>
    </r>
  </si>
  <si>
    <r>
      <t xml:space="preserve">Van Wie, D.G. and Roark, R.C., </t>
    </r>
    <r>
      <rPr>
        <i/>
        <sz val="10"/>
        <rFont val="Arial"/>
        <family val="2"/>
      </rPr>
      <t xml:space="preserve">A New Alert Protocol, </t>
    </r>
    <r>
      <rPr>
        <sz val="10"/>
        <rFont val="Arial"/>
      </rPr>
      <t>Blue Water Design, LLC</t>
    </r>
    <r>
      <rPr>
        <i/>
        <sz val="10"/>
        <rFont val="Arial"/>
        <family val="2"/>
      </rPr>
      <t xml:space="preserve">, 2003, </t>
    </r>
    <r>
      <rPr>
        <sz val="10"/>
        <rFont val="Arial"/>
      </rPr>
      <t>pp. 18-23.</t>
    </r>
  </si>
  <si>
    <t xml:space="preserve">    Revisions:</t>
  </si>
  <si>
    <t xml:space="preserve">  The following formal revisons have been made to this Link Model System:</t>
  </si>
  <si>
    <t>Version:</t>
  </si>
  <si>
    <t>Date:</t>
  </si>
  <si>
    <r>
      <t>NEW</t>
    </r>
    <r>
      <rPr>
        <sz val="10"/>
        <rFont val="Arial"/>
      </rPr>
      <t xml:space="preserve">; </t>
    </r>
    <r>
      <rPr>
        <sz val="10"/>
        <rFont val="Symbol"/>
        <family val="1"/>
      </rPr>
      <t>b</t>
    </r>
    <r>
      <rPr>
        <sz val="10"/>
        <rFont val="Arial"/>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</si>
  <si>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</si>
  <si>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</si>
  <si>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</si>
  <si>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</si>
  <si>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</si>
  <si>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</si>
  <si>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</si>
  <si>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</si>
  <si>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</si>
  <si>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</si>
  <si>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</si>
  <si>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</si>
  <si>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</si>
  <si>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</si>
  <si>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</si>
  <si>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</si>
  <si>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</si>
  <si>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</si>
  <si>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</si>
  <si>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</si>
  <si>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rPr>
      <t>dt:</t>
    </r>
  </si>
  <si>
    <t>deg./day</t>
  </si>
  <si>
    <r>
      <t>d</t>
    </r>
    <r>
      <rPr>
        <sz val="10"/>
        <rFont val="Symbol"/>
        <family val="1"/>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</si>
  <si>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</si>
  <si>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</si>
  <si>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</si>
  <si>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</si>
  <si>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</si>
  <si>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</si>
  <si>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</si>
  <si>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</si>
  <si>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</si>
  <si>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</si>
  <si>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</si>
  <si>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</si>
  <si>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</si>
  <si>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</si>
  <si>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</si>
  <si>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</si>
  <si>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</si>
  <si>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</si>
  <si>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</si>
  <si>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</si>
  <si>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</si>
  <si>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</si>
  <si>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</si>
  <si>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</si>
  <si>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</si>
  <si>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</si>
  <si>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</si>
  <si>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</si>
  <si>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</si>
  <si>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</si>
  <si>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</si>
  <si>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</si>
  <si>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</si>
  <si>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</si>
  <si>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</si>
  <si>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</si>
  <si>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</si>
  <si>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</si>
  <si>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</si>
  <si>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</si>
  <si>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</si>
  <si>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</si>
  <si>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</si>
  <si>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</si>
  <si>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</si>
  <si>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</si>
  <si>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</si>
  <si>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</si>
  <si>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</si>
  <si>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</si>
  <si>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</si>
  <si>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</si>
  <si>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</si>
  <si>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</si>
  <si>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</si>
  <si>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</si>
  <si>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</si>
  <si>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</si>
  <si>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</si>
  <si>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</si>
  <si>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</si>
  <si>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</si>
  <si>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</si>
  <si>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</si>
  <si>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</si>
  <si>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</si>
  <si>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</si>
  <si>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</si>
  <si>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</si>
  <si>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</si>
  <si>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</si>
  <si>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</si>
  <si>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</si>
  <si>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</si>
  <si>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</si>
  <si>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</si>
  <si>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</si>
  <si>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</si>
  <si>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</si>
  <si>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</si>
  <si>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</si>
  <si>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</si>
  <si>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</si>
  <si>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</si>
  <si>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</si>
  <si>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</si>
  <si>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</si>
  <si>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</si>
  <si>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</si>
  <si>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</si>
  <si>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</si>
  <si>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</si>
  <si>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</si>
  <si>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</si>
  <si>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</si>
  <si>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</si>
  <si>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</si>
  <si>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</si>
  <si>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</si>
  <si>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</si>
  <si>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</si>
  <si>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rPr>
      <t xml:space="preserve"> </t>
    </r>
    <r>
      <rPr>
        <b/>
        <sz val="10"/>
        <rFont val="Arial"/>
        <family val="2"/>
      </rPr>
      <t>Data Entry</t>
    </r>
    <r>
      <rPr>
        <sz val="10"/>
        <rFont val="Arial"/>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</si>
  <si>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</si>
  <si>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</si>
  <si>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</si>
  <si>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</si>
  <si>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</si>
  <si>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</si>
  <si>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</si>
  <si>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</si>
  <si>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</si>
  <si>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</si>
  <si>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</si>
  <si>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</si>
  <si>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</si>
  <si>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</si>
  <si>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</si>
  <si>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</si>
  <si>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</si>
  <si>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</si>
  <si>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GMSK</t>
  </si>
  <si>
    <t>Convolutional R=1/2, K=7</t>
  </si>
  <si>
    <t>Conv. R=1/2,K=7 &amp; R.S. (255,223)</t>
  </si>
  <si>
    <t>Conv. R=1/6,K=15 &amp; R.S. (255,223)</t>
  </si>
  <si>
    <t>User Defined</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</si>
  <si>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</si>
  <si>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</si>
  <si>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</si>
  <si>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</si>
  <si>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</si>
  <si>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</si>
  <si>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</si>
  <si>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</si>
  <si>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</si>
  <si>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</si>
  <si>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</si>
  <si>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</si>
  <si>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</si>
  <si>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</si>
  <si>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</si>
  <si>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</si>
  <si>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</si>
  <si>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</si>
  <si>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</si>
  <si>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</si>
  <si>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</si>
  <si>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</si>
  <si>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</si>
  <si>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</si>
  <si>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</si>
  <si>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</si>
  <si>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</si>
  <si>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</si>
  <si>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</si>
  <si>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</si>
  <si>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</si>
  <si>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</si>
  <si>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</si>
  <si>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</si>
  <si>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</si>
  <si>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</si>
  <si>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</si>
  <si>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</si>
  <si>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</si>
  <si>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</si>
  <si>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</si>
  <si>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</si>
  <si>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</si>
  <si>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</si>
  <si>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</si>
  <si>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</si>
  <si>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</si>
  <si>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</si>
  <si>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</si>
  <si>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</si>
  <si>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</si>
  <si>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</si>
  <si>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</si>
  <si>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</si>
  <si>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</si>
  <si>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</si>
  <si>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</si>
  <si>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</si>
  <si>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</si>
  <si>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</si>
  <si>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</si>
  <si>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</si>
  <si>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</si>
  <si>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</si>
  <si>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</si>
  <si>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</si>
  <si>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</si>
  <si>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</si>
  <si>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</si>
  <si>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</si>
  <si>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</si>
  <si>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</si>
  <si>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</si>
  <si>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</si>
  <si>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</si>
  <si>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rPr>
      <t>a</t>
    </r>
    <r>
      <rPr>
        <sz val="10"/>
        <rFont val="Arial"/>
      </rPr>
      <t xml:space="preserve"> =</t>
    </r>
    <r>
      <rPr>
        <sz val="10"/>
        <rFont val="Arial"/>
      </rPr>
      <t xml:space="preserve"> Antenna Temperature or Sky Temperature (</t>
    </r>
    <r>
      <rPr>
        <sz val="10"/>
        <rFont val="Arial"/>
      </rPr>
      <t>°K)</t>
    </r>
  </si>
  <si>
    <r>
      <t>T</t>
    </r>
    <r>
      <rPr>
        <sz val="8"/>
        <rFont val="Arial"/>
      </rPr>
      <t>o</t>
    </r>
    <r>
      <rPr>
        <sz val="10"/>
        <rFont val="Arial"/>
      </rPr>
      <t xml:space="preserve"> = System Line Temperature (Physical Temperature) (</t>
    </r>
    <r>
      <rPr>
        <sz val="10"/>
        <rFont val="Arial"/>
      </rPr>
      <t xml:space="preserve">°K) </t>
    </r>
    <r>
      <rPr>
        <sz val="10"/>
        <rFont val="Symbol"/>
        <family val="1"/>
      </rPr>
      <t>º</t>
    </r>
    <r>
      <rPr>
        <sz val="10"/>
        <rFont val="Arial"/>
      </rPr>
      <t xml:space="preserve"> System Reference Temperature</t>
    </r>
  </si>
  <si>
    <r>
      <t>T</t>
    </r>
    <r>
      <rPr>
        <sz val="8"/>
        <rFont val="Arial"/>
      </rPr>
      <t>LNA</t>
    </r>
    <r>
      <rPr>
        <sz val="8"/>
        <rFont val="Arial"/>
      </rPr>
      <t>=</t>
    </r>
    <r>
      <rPr>
        <sz val="10"/>
        <rFont val="Arial"/>
      </rPr>
      <t xml:space="preserve"> Noise Temperature of the Low Noise Amplifier (</t>
    </r>
    <r>
      <rPr>
        <sz val="10"/>
        <rFont val="Arial"/>
      </rPr>
      <t>°K)</t>
    </r>
  </si>
  <si>
    <r>
      <t>T</t>
    </r>
    <r>
      <rPr>
        <sz val="8"/>
        <rFont val="Arial"/>
      </rPr>
      <t>2nd Stage</t>
    </r>
    <r>
      <rPr>
        <sz val="10"/>
        <rFont val="Arial"/>
      </rPr>
      <t xml:space="preserve"> </t>
    </r>
    <r>
      <rPr>
        <sz val="10"/>
        <rFont val="Symbol"/>
        <family val="1"/>
      </rPr>
      <t>=</t>
    </r>
    <r>
      <rPr>
        <sz val="10"/>
        <rFont val="Arial"/>
      </rPr>
      <t xml:space="preserve">  Noise Temperature of Next Stage Amplifier or Mixer (</t>
    </r>
    <r>
      <rPr>
        <sz val="10"/>
        <rFont val="Arial"/>
      </rPr>
      <t>°K)</t>
    </r>
  </si>
  <si>
    <r>
      <t>G</t>
    </r>
    <r>
      <rPr>
        <sz val="8"/>
        <rFont val="Arial"/>
      </rPr>
      <t>LNA</t>
    </r>
    <r>
      <rPr>
        <sz val="10"/>
        <rFont val="Arial"/>
      </rPr>
      <t xml:space="preserve"> = The gain of the LNA in linear (non-dB) units</t>
    </r>
  </si>
  <si>
    <r>
      <t>a</t>
    </r>
    <r>
      <rPr>
        <sz val="10"/>
        <rFont val="Arial"/>
      </rPr>
      <t xml:space="preserve"> </t>
    </r>
    <r>
      <rPr>
        <sz val="10"/>
        <rFont val="Arial"/>
      </rPr>
      <t>=</t>
    </r>
    <r>
      <rPr>
        <sz val="10"/>
        <rFont val="Symbol"/>
        <family val="1"/>
      </rPr>
      <t xml:space="preserve">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</si>
  <si>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L</t>
    </r>
    <r>
      <rPr>
        <sz val="8"/>
        <rFont val="Arial"/>
      </rPr>
      <t>A</t>
    </r>
    <r>
      <rPr>
        <sz val="10"/>
        <rFont val="Arial"/>
      </rPr>
      <t>, L</t>
    </r>
    <r>
      <rPr>
        <sz val="8"/>
        <rFont val="Arial"/>
      </rPr>
      <t>B</t>
    </r>
    <r>
      <rPr>
        <sz val="10"/>
        <rFont val="Arial"/>
      </rPr>
      <t>, L</t>
    </r>
    <r>
      <rPr>
        <sz val="8"/>
        <rFont val="Arial"/>
      </rPr>
      <t>C</t>
    </r>
    <r>
      <rPr>
        <sz val="10"/>
        <rFont val="Arial"/>
      </rPr>
      <t xml:space="preserve"> = All Cable or Waveguide Losses (expressed in dB)</t>
    </r>
  </si>
  <si>
    <r>
      <t>L</t>
    </r>
    <r>
      <rPr>
        <sz val="8"/>
        <rFont val="Arial"/>
      </rPr>
      <t>BPF</t>
    </r>
    <r>
      <rPr>
        <sz val="10"/>
        <rFont val="Arial"/>
      </rPr>
      <t xml:space="preserve"> = Insertion Loss of any bandpass fiter used in front of LNA (expressed in dB)</t>
    </r>
  </si>
  <si>
    <r>
      <t>L</t>
    </r>
    <r>
      <rPr>
        <sz val="8"/>
        <rFont val="Arial"/>
      </rPr>
      <t>other</t>
    </r>
    <r>
      <rPr>
        <sz val="10"/>
        <rFont val="Arial"/>
      </rPr>
      <t xml:space="preserve"> = Insertion Loss of any other In-Line device in front of LNA (expressed in dB)</t>
    </r>
  </si>
  <si>
    <r>
      <t>T</t>
    </r>
    <r>
      <rPr>
        <sz val="8"/>
        <rFont val="Arial"/>
      </rPr>
      <t>a</t>
    </r>
    <r>
      <rPr>
        <sz val="10"/>
        <rFont val="Arial"/>
      </rPr>
      <t xml:space="preserve"> =</t>
    </r>
    <r>
      <rPr>
        <sz val="10"/>
        <rFont val="Arial"/>
      </rPr>
      <t>Antenna Temperature or Sky Temperature (</t>
    </r>
    <r>
      <rPr>
        <sz val="10"/>
        <rFont val="Arial"/>
      </rPr>
      <t>°K)</t>
    </r>
  </si>
  <si>
    <r>
      <t>T</t>
    </r>
    <r>
      <rPr>
        <sz val="8"/>
        <rFont val="Arial"/>
      </rPr>
      <t>o</t>
    </r>
    <r>
      <rPr>
        <sz val="10"/>
        <rFont val="Arial"/>
      </rPr>
      <t xml:space="preserve"> = System Line Temperature (Physical Temperature) (</t>
    </r>
    <r>
      <rPr>
        <sz val="10"/>
        <rFont val="Arial"/>
      </rPr>
      <t>°K)</t>
    </r>
  </si>
  <si>
    <r>
      <t>T</t>
    </r>
    <r>
      <rPr>
        <sz val="8"/>
        <rFont val="Arial"/>
      </rPr>
      <t>ComRcvr</t>
    </r>
    <r>
      <rPr>
        <sz val="10"/>
        <rFont val="Arial"/>
      </rPr>
      <t xml:space="preserve"> =  Noise Temperature of Communications Receiver Front End (</t>
    </r>
    <r>
      <rPr>
        <sz val="10"/>
        <rFont val="Arial"/>
      </rPr>
      <t>°K)</t>
    </r>
  </si>
  <si>
    <t>Dish Size?</t>
  </si>
  <si>
    <t>Revised Beam Roll-off Tool Tab to Include Dish Diameter in Wavelengths and Test for 10 wavelength condition.</t>
  </si>
  <si>
    <t xml:space="preserve"> Version: 2.5.5</t>
  </si>
  <si>
    <r>
      <t>S/C Angle</t>
    </r>
    <r>
      <rPr>
        <sz val="10"/>
        <rFont val="Arial"/>
      </rPr>
      <t xml:space="preserve"> wrt Symmetry Axis (</t>
    </r>
    <r>
      <rPr>
        <sz val="10"/>
        <rFont val="Arial"/>
      </rPr>
      <t>θ)°</t>
    </r>
    <r>
      <rPr>
        <sz val="10"/>
        <rFont val="Arial"/>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</si>
  <si>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</si>
  <si>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</si>
  <si>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</si>
  <si>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t>
  </si>
  <si>
    <t>LEO -- ELaNa Determined *ISS Deploy* CubeSat Satellite</t>
  </si>
  <si>
    <t>Unity Gain Antenna on S/C;  High Gain Antenna at E.S.</t>
  </si>
  <si>
    <t>Andrew Greenberg, KD7CJT</t>
  </si>
  <si>
    <t>Glenn LeBrasseur, KJ7SU / Vigely Mastrogiannis, KJ7AOG</t>
  </si>
  <si>
    <r>
      <t>PDX_CS0_v1/</t>
    </r>
    <r>
      <rPr>
        <b/>
        <sz val="12"/>
        <rFont val="Arial"/>
        <family val="2"/>
      </rPr>
      <t>2.5.5</t>
    </r>
  </si>
  <si>
    <t>2U CubeSat Satellite</t>
  </si>
  <si>
    <t>OreSat - CS0</t>
  </si>
  <si>
    <t>Portland State University</t>
  </si>
  <si>
    <t>R=1/2</t>
  </si>
  <si>
    <t>Quad Helix</t>
  </si>
  <si>
    <t>WiMo Helix 23-4</t>
  </si>
  <si>
    <t>Crossed Yagi</t>
  </si>
  <si>
    <t>https://www.wimo.com/helix-antennas_e.html</t>
  </si>
  <si>
    <t>M2inc 436CP30</t>
  </si>
  <si>
    <t>http://www.m2inc.com/FG436CP30</t>
  </si>
  <si>
    <t>Cable/W. Guide Type (loss/m):</t>
  </si>
  <si>
    <t>Cable A Spec:</t>
  </si>
  <si>
    <t>Cable B Spec:</t>
  </si>
  <si>
    <t>Cable C Spec:</t>
  </si>
  <si>
    <t>Total Line Loss (Line A+B+C):</t>
  </si>
  <si>
    <t>RG-142</t>
  </si>
  <si>
    <t>Cable/Guide Type (loss/m):</t>
  </si>
  <si>
    <t>Dir. Coupler</t>
  </si>
  <si>
    <t>Low Pass</t>
  </si>
  <si>
    <t>???</t>
  </si>
  <si>
    <t>Switch</t>
  </si>
  <si>
    <t>FSJ4-50B</t>
  </si>
  <si>
    <t>Connectors  X  0.05 dB/con.  =</t>
  </si>
  <si>
    <t>Connectors  X  0.05 dB/con. =</t>
  </si>
  <si>
    <t>Semi-Rigid 0.085"</t>
  </si>
  <si>
    <t>at freq.</t>
  </si>
  <si>
    <t>This section is modified</t>
  </si>
  <si>
    <t>Note: Mods. by KJ7AOG</t>
  </si>
  <si>
    <t>2018 October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</si>
</sst>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 &quot;bps&quot;"/>
    <numFmt numFmtId="175" formatCode="0.0\ &quot;watts&quot;"/>
    <numFmt numFmtId="176" formatCode="0.00\ &quot;dB&quot;"/>
    <numFmt numFmtId="177" formatCode="0.000\ &quot;dB&quot;"/>
    <numFmt numFmtId="178" formatCode="0.0\ &quot;dBi&quot;"/>
    <numFmt numFmtId="179" formatCode="0.0\ &quot;dBW&quot;"/>
    <numFmt numFmtId="180" formatCode="0\ &quot;K&quot;"/>
    <numFmt numFmtId="181" formatCode="0.0\ &quot;dB/K&quot;"/>
    <numFmt numFmtId="182" formatCode="0\ &quot;Hz&quot;"/>
    <numFmt numFmtId="183" formatCode="0.00\ &quot;MHz&quot;"/>
    <numFmt numFmtId="184" formatCode="0.0%"/>
    <numFmt numFmtId="185" formatCode="0\ &quot;MHz&quot;"/>
    <numFmt numFmtId="186" formatCode="0.00&quot; m&quot;"/>
    <numFmt numFmtId="187" formatCode="0.0\ &quot;j&quot;"/>
    <numFmt numFmtId="188" formatCode="_(* #,##0.0_);_(* \(#,##0.0\);_(* &quot;-&quot;??_);_(@_)"/>
    <numFmt numFmtId="189" formatCode="#,##0.0_ ;\-#,##0.0\ "/>
    <numFmt numFmtId="190" formatCode="#,##0.0"/>
    <numFmt numFmtId="191" formatCode="#,##0.0;\-#,##0.0"/>
    <numFmt numFmtId="192" formatCode="0.00\ &quot;:1&quot;"/>
    <numFmt numFmtId="193" formatCode="0.00\ &quot;watts&quot;"/>
    <numFmt numFmtId="194" formatCode="#,##0.000"/>
    <numFmt numFmtId="195" formatCode="0.000E+00"/>
    <numFmt numFmtId="196" formatCode="0.00\ &quot;dB/m&quot;"/>
  </numFmts>
  <fonts count="87">
    <font>
      <sz val="10"/>
      <name val="Arial"/>
    </font>
    <font>
      <sz val="10"/>
      <name val="Arial"/>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ont>
    <font>
      <i/>
      <sz val="12"/>
      <name val="Arial"/>
    </font>
    <font>
      <sz val="12"/>
      <color indexed="12"/>
      <name val="Arial"/>
      <family val="2"/>
    </font>
    <font>
      <sz val="10"/>
      <color indexed="10"/>
      <name val="Arial"/>
      <family val="2"/>
    </font>
    <font>
      <sz val="14"/>
      <name val="Arial"/>
      <family val="2"/>
    </font>
    <font>
      <sz val="8"/>
      <name val="Arial"/>
    </font>
    <font>
      <sz val="14"/>
      <name val="Arial"/>
      <family val="2"/>
    </font>
    <font>
      <b/>
      <sz val="10"/>
      <name val="Times New Roman"/>
    </font>
    <font>
      <sz val="9"/>
      <name val="Arial"/>
      <family val="2"/>
    </font>
    <font>
      <b/>
      <sz val="14"/>
      <name val="Arial"/>
      <family val="2"/>
    </font>
    <font>
      <b/>
      <sz val="9"/>
      <name val="Arial"/>
      <family val="2"/>
    </font>
    <font>
      <b/>
      <sz val="8"/>
      <name val="Arial"/>
      <family val="2"/>
    </font>
    <font>
      <sz val="8"/>
      <color indexed="81"/>
      <name val="Tahoma"/>
    </font>
    <font>
      <sz val="12"/>
      <name val="Arial"/>
      <family val="2"/>
    </font>
    <font>
      <b/>
      <sz val="12"/>
      <name val="Arial"/>
      <family val="2"/>
    </font>
    <font>
      <sz val="10"/>
      <name val="Arial"/>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ont>
    <font>
      <i/>
      <sz val="10"/>
      <color indexed="81"/>
      <name val="Tahoma"/>
      <family val="2"/>
    </font>
    <font>
      <b/>
      <sz val="18"/>
      <name val="Arial"/>
    </font>
    <font>
      <b/>
      <sz val="12"/>
      <name val="Symbol"/>
      <family val="1"/>
    </font>
    <font>
      <sz val="10"/>
      <color indexed="81"/>
      <name val="Symbol"/>
      <family val="1"/>
    </font>
    <font>
      <sz val="10"/>
      <color indexed="22"/>
      <name val="Arial"/>
    </font>
    <font>
      <b/>
      <sz val="10"/>
      <color indexed="22"/>
      <name val="Symbol"/>
      <family val="1"/>
    </font>
    <font>
      <sz val="9"/>
      <color indexed="10"/>
      <name val="Arial"/>
    </font>
    <font>
      <b/>
      <sz val="10"/>
      <color indexed="81"/>
      <name val="Tahoma"/>
      <family val="2"/>
    </font>
    <font>
      <sz val="20"/>
      <color indexed="10"/>
      <name val="Symbol"/>
      <family val="1"/>
    </font>
    <font>
      <b/>
      <sz val="10"/>
      <color indexed="81"/>
      <name val="Arial"/>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ont>
    <font>
      <b/>
      <i/>
      <sz val="12"/>
      <name val="Arial"/>
      <family val="2"/>
    </font>
    <font>
      <b/>
      <i/>
      <sz val="10"/>
      <name val="Arial"/>
      <family val="2"/>
    </font>
    <font>
      <sz val="9"/>
      <name val="Symbol"/>
      <family val="1"/>
    </font>
    <font>
      <sz val="10"/>
      <color theme="0" tint="-0.249977111117893"/>
      <name val="Arial"/>
      <family val="2"/>
    </font>
    <font>
      <sz val="10"/>
      <color rgb="FFFF0000"/>
      <name val="Arial"/>
    </font>
    <font>
      <b/>
      <sz val="10"/>
      <color rgb="FF0000FF"/>
      <name val="Arial"/>
      <family val="2"/>
    </font>
    <font>
      <sz val="10"/>
      <color theme="0" tint="-0.34998626667073579"/>
      <name val="Arial"/>
    </font>
    <font>
      <u/>
      <sz val="10"/>
      <color indexed="12"/>
      <name val="Arial"/>
    </font>
    <font>
      <sz val="10"/>
      <name val="Arial"/>
      <family val="2"/>
    </font>
    <font>
      <b/>
      <sz val="9"/>
      <color indexed="81"/>
      <name val="Tahoma"/>
      <family val="2"/>
    </font>
    <font>
      <sz val="10"/>
      <color rgb="FFFF0000"/>
      <name val="Arial"/>
      <family val="2"/>
    </font>
    <font>
      <b/>
      <sz val="9"/>
      <color indexed="81"/>
      <name val="Tahoma"/>
      <charset val="1"/>
    </font>
  </fonts>
  <fills count="28">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s>
  <borders count="4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6">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xf numFmtId="0" fontId="82" fillId="0" borderId="0" applyNumberFormat="0" applyFill="0" applyBorder="0" applyAlignment="0" applyProtection="0">
      <alignment vertical="top"/>
      <protection locked="0"/>
    </xf>
  </cellStyleXfs>
  <cellXfs count="1005">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6" borderId="4" xfId="0" applyFill="1" applyBorder="1"/>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73" fontId="25" fillId="11" borderId="0" xfId="0" applyNumberFormat="1" applyFont="1" applyFill="1" applyBorder="1" applyAlignment="1">
      <alignment horizontal="center"/>
    </xf>
    <xf numFmtId="0" fontId="25" fillId="11" borderId="0" xfId="0" applyFont="1" applyFill="1" applyBorder="1"/>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9" fillId="6" borderId="9"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15" fillId="15" borderId="0" xfId="0" quotePrefix="1" applyFont="1" applyFill="1" applyBorder="1"/>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168" fontId="17" fillId="6" borderId="9" xfId="0" applyNumberFormat="1" applyFont="1" applyFill="1" applyBorder="1" applyAlignment="1">
      <alignment horizontal="center"/>
    </xf>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0" fillId="14" borderId="0" xfId="0" applyFill="1" applyBorder="1" applyAlignment="1">
      <alignment horizontal="right"/>
    </xf>
    <xf numFmtId="0" fontId="29" fillId="14" borderId="0" xfId="0" applyFont="1" applyFill="1" applyBorder="1"/>
    <xf numFmtId="0" fontId="29" fillId="14" borderId="0" xfId="0" applyFont="1"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0" fillId="4" borderId="14" xfId="0" applyFill="1" applyBorder="1"/>
    <xf numFmtId="0" fontId="0" fillId="4" borderId="16" xfId="0" applyFill="1" applyBorder="1"/>
    <xf numFmtId="0" fontId="0" fillId="4" borderId="19" xfId="0" applyFill="1" applyBorder="1"/>
    <xf numFmtId="0" fontId="0" fillId="4" borderId="21" xfId="0" applyFill="1" applyBorder="1"/>
    <xf numFmtId="0" fontId="0" fillId="4" borderId="14" xfId="0" applyFill="1" applyBorder="1" applyAlignment="1">
      <alignment horizontal="left"/>
    </xf>
    <xf numFmtId="0" fontId="0" fillId="4" borderId="16" xfId="0" applyFill="1" applyBorder="1" applyAlignment="1">
      <alignment horizontal="left"/>
    </xf>
    <xf numFmtId="0" fontId="34" fillId="6" borderId="36" xfId="0" applyFont="1" applyFill="1" applyBorder="1"/>
    <xf numFmtId="0" fontId="0" fillId="10" borderId="4" xfId="0" applyFill="1" applyBorder="1"/>
    <xf numFmtId="174" fontId="0" fillId="4" borderId="6" xfId="0" applyNumberFormat="1" applyFill="1" applyBorder="1"/>
    <xf numFmtId="175" fontId="0" fillId="4" borderId="6" xfId="0" applyNumberFormat="1" applyFill="1" applyBorder="1"/>
    <xf numFmtId="173" fontId="0" fillId="4" borderId="6" xfId="0" applyNumberFormat="1" applyFill="1" applyBorder="1"/>
    <xf numFmtId="177" fontId="0" fillId="4" borderId="6" xfId="0" applyNumberFormat="1" applyFill="1" applyBorder="1"/>
    <xf numFmtId="0" fontId="0" fillId="14" borderId="4" xfId="0" applyFill="1" applyBorder="1"/>
    <xf numFmtId="0" fontId="0" fillId="14" borderId="6" xfId="0" applyFill="1" applyBorder="1"/>
    <xf numFmtId="178" fontId="0" fillId="4" borderId="6" xfId="0" applyNumberFormat="1" applyFill="1" applyBorder="1" applyAlignment="1">
      <alignment horizontal="center"/>
    </xf>
    <xf numFmtId="179" fontId="29" fillId="6" borderId="6" xfId="0" applyNumberFormat="1" applyFont="1" applyFill="1" applyBorder="1"/>
    <xf numFmtId="173" fontId="0" fillId="4" borderId="6" xfId="0" applyNumberFormat="1" applyFill="1" applyBorder="1" applyAlignment="1">
      <alignment horizontal="center"/>
    </xf>
    <xf numFmtId="176" fontId="0" fillId="4" borderId="6" xfId="0" applyNumberFormat="1" applyFill="1" applyBorder="1"/>
    <xf numFmtId="176" fontId="29" fillId="4" borderId="6" xfId="0" applyNumberFormat="1" applyFont="1" applyFill="1" applyBorder="1" applyAlignment="1">
      <alignment horizontal="center"/>
    </xf>
    <xf numFmtId="180" fontId="0" fillId="4" borderId="6" xfId="0" applyNumberFormat="1" applyFill="1" applyBorder="1" applyAlignment="1">
      <alignment horizontal="center"/>
    </xf>
    <xf numFmtId="181" fontId="0" fillId="4" borderId="6" xfId="0" applyNumberFormat="1" applyFill="1" applyBorder="1" applyAlignment="1">
      <alignment horizontal="center"/>
    </xf>
    <xf numFmtId="182" fontId="0" fillId="4" borderId="6" xfId="1" applyNumberFormat="1" applyFont="1" applyFill="1" applyBorder="1" applyAlignment="1">
      <alignment horizontal="center"/>
    </xf>
    <xf numFmtId="0" fontId="0" fillId="6" borderId="36" xfId="0" applyFill="1" applyBorder="1"/>
    <xf numFmtId="183" fontId="0" fillId="10" borderId="6" xfId="0" applyNumberFormat="1" applyFill="1" applyBorder="1" applyAlignment="1">
      <alignment horizontal="center"/>
    </xf>
    <xf numFmtId="0" fontId="26" fillId="13" borderId="4" xfId="0" applyFont="1" applyFill="1" applyBorder="1"/>
    <xf numFmtId="173" fontId="0" fillId="13" borderId="6" xfId="0" applyNumberFormat="1" applyFill="1" applyBorder="1" applyAlignment="1">
      <alignment horizontal="center"/>
    </xf>
    <xf numFmtId="0" fontId="0" fillId="13" borderId="4" xfId="0" applyFill="1" applyBorder="1"/>
    <xf numFmtId="11" fontId="0" fillId="13" borderId="6" xfId="0" applyNumberFormat="1" applyFill="1" applyBorder="1" applyAlignment="1">
      <alignment horizontal="center"/>
    </xf>
    <xf numFmtId="0" fontId="10" fillId="12" borderId="6" xfId="0" applyFont="1" applyFill="1" applyBorder="1"/>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174" fontId="0" fillId="4" borderId="6" xfId="0" applyNumberFormat="1" applyFill="1" applyBorder="1" applyAlignment="1">
      <alignment horizontal="center"/>
    </xf>
    <xf numFmtId="0" fontId="0" fillId="3" borderId="28" xfId="0" applyFill="1" applyBorder="1"/>
    <xf numFmtId="0" fontId="1" fillId="3" borderId="0" xfId="0" applyFont="1" applyFill="1" applyBorder="1"/>
    <xf numFmtId="178" fontId="0" fillId="13" borderId="6" xfId="0" applyNumberFormat="1" applyFill="1" applyBorder="1" applyAlignment="1">
      <alignment horizontal="center"/>
    </xf>
    <xf numFmtId="0" fontId="49" fillId="5" borderId="4" xfId="0" applyFont="1" applyFill="1" applyBorder="1"/>
    <xf numFmtId="175" fontId="0" fillId="4" borderId="6" xfId="0" applyNumberFormat="1" applyFill="1" applyBorder="1" applyAlignment="1">
      <alignment horizontal="center"/>
    </xf>
    <xf numFmtId="0" fontId="26" fillId="6" borderId="4" xfId="0" applyFont="1" applyFill="1" applyBorder="1"/>
    <xf numFmtId="0" fontId="29" fillId="3" borderId="0" xfId="0" applyFont="1" applyFill="1" applyBorder="1"/>
    <xf numFmtId="175" fontId="17" fillId="6" borderId="6" xfId="0" applyNumberFormat="1" applyFont="1" applyFill="1" applyBorder="1"/>
    <xf numFmtId="184" fontId="25" fillId="5" borderId="6" xfId="4" applyNumberFormat="1" applyFont="1" applyFill="1" applyBorder="1" applyAlignment="1">
      <alignment horizontal="center"/>
    </xf>
    <xf numFmtId="0" fontId="0" fillId="4" borderId="14" xfId="0" applyFill="1" applyBorder="1" applyAlignment="1"/>
    <xf numFmtId="0" fontId="0" fillId="4" borderId="16" xfId="0" applyFill="1" applyBorder="1" applyAlignment="1"/>
    <xf numFmtId="0" fontId="0" fillId="4" borderId="17" xfId="0" applyFill="1" applyBorder="1"/>
    <xf numFmtId="0" fontId="0" fillId="4" borderId="18" xfId="0" applyFill="1" applyBorder="1"/>
    <xf numFmtId="0" fontId="31" fillId="13" borderId="4" xfId="0" applyFont="1" applyFill="1" applyBorder="1"/>
    <xf numFmtId="183" fontId="0" fillId="10" borderId="6" xfId="0" applyNumberFormat="1" applyFill="1" applyBorder="1"/>
    <xf numFmtId="0" fontId="0" fillId="14" borderId="4" xfId="0" applyFill="1" applyBorder="1" applyAlignment="1">
      <alignment horizontal="right"/>
    </xf>
    <xf numFmtId="0" fontId="0" fillId="14" borderId="4" xfId="0" applyFill="1" applyBorder="1" applyAlignment="1">
      <alignment horizontal="left"/>
    </xf>
    <xf numFmtId="178" fontId="0" fillId="4" borderId="16" xfId="0" applyNumberFormat="1" applyFill="1" applyBorder="1" applyAlignment="1">
      <alignment horizontal="center"/>
    </xf>
    <xf numFmtId="179" fontId="29" fillId="6" borderId="6" xfId="0" applyNumberFormat="1" applyFont="1" applyFill="1" applyBorder="1" applyAlignment="1">
      <alignment horizontal="center"/>
    </xf>
    <xf numFmtId="176" fontId="0" fillId="4" borderId="6" xfId="0" applyNumberFormat="1" applyFill="1" applyBorder="1" applyAlignment="1">
      <alignment horizontal="center"/>
    </xf>
    <xf numFmtId="168" fontId="29" fillId="4" borderId="19" xfId="0" applyNumberFormat="1" applyFont="1" applyFill="1" applyBorder="1" applyAlignment="1">
      <alignment horizontal="right"/>
    </xf>
    <xf numFmtId="0" fontId="29" fillId="4" borderId="21" xfId="0" applyFont="1" applyFill="1" applyBorder="1" applyAlignment="1">
      <alignment horizontal="left"/>
    </xf>
    <xf numFmtId="168" fontId="29" fillId="4" borderId="19" xfId="0" applyNumberFormat="1" applyFont="1" applyFill="1" applyBorder="1" applyAlignment="1"/>
    <xf numFmtId="0" fontId="29" fillId="4" borderId="21" xfId="0" applyFont="1" applyFill="1" applyBorder="1" applyAlignment="1"/>
    <xf numFmtId="182" fontId="0" fillId="4" borderId="6" xfId="0" applyNumberFormat="1" applyFill="1" applyBorder="1" applyAlignment="1">
      <alignment horizontal="center"/>
    </xf>
    <xf numFmtId="11" fontId="0" fillId="13" borderId="6" xfId="0" applyNumberFormat="1" applyFill="1" applyBorder="1"/>
    <xf numFmtId="0" fontId="0" fillId="4" borderId="19" xfId="0" applyFill="1" applyBorder="1" applyAlignment="1">
      <alignment horizontal="left"/>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4" fontId="0" fillId="6" borderId="9" xfId="0" applyNumberFormat="1" applyFill="1" applyBorder="1" applyAlignment="1">
      <alignment horizontal="center"/>
    </xf>
    <xf numFmtId="184"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5"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8"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5" fontId="0" fillId="10" borderId="9" xfId="0" applyNumberFormat="1" applyFill="1" applyBorder="1" applyAlignment="1">
      <alignment horizontal="center"/>
    </xf>
    <xf numFmtId="186" fontId="25" fillId="5" borderId="9" xfId="0" applyNumberFormat="1" applyFont="1" applyFill="1" applyBorder="1" applyAlignment="1">
      <alignment horizontal="center"/>
    </xf>
    <xf numFmtId="176"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7"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5"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17" fillId="3" borderId="13" xfId="0" applyFont="1" applyFill="1" applyBorder="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 fillId="4" borderId="0" xfId="0" applyFont="1" applyFill="1" applyBorder="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9" fillId="5" borderId="26"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9" fontId="9" fillId="5" borderId="9" xfId="1" applyNumberFormat="1" applyFont="1" applyFill="1" applyBorder="1" applyAlignment="1">
      <alignment horizontal="center"/>
    </xf>
    <xf numFmtId="190" fontId="9" fillId="5" borderId="9" xfId="0" applyNumberFormat="1" applyFont="1" applyFill="1" applyBorder="1" applyAlignment="1">
      <alignment horizontal="center"/>
    </xf>
    <xf numFmtId="191"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2"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168" fontId="25" fillId="11" borderId="0" xfId="0" applyNumberFormat="1" applyFont="1" applyFill="1" applyBorder="1"/>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3"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8"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8"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8"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4"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4"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91"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8"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5" fontId="29" fillId="6" borderId="4" xfId="1" applyNumberFormat="1" applyFont="1" applyFill="1" applyBorder="1"/>
    <xf numFmtId="195"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0" fillId="10" borderId="15" xfId="0" applyFill="1" applyBorder="1"/>
    <xf numFmtId="0" fontId="25" fillId="5" borderId="1" xfId="0" applyFont="1" applyFill="1" applyBorder="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1" fontId="25" fillId="5" borderId="9" xfId="0" applyNumberFormat="1" applyFont="1" applyFill="1" applyBorder="1"/>
    <xf numFmtId="0" fontId="25" fillId="5" borderId="26" xfId="0" applyFont="1" applyFill="1" applyBorder="1" applyAlignment="1">
      <alignment horizontal="left"/>
    </xf>
    <xf numFmtId="0" fontId="83" fillId="15" borderId="0" xfId="0" applyFont="1" applyFill="1" applyBorder="1"/>
    <xf numFmtId="0" fontId="0" fillId="15" borderId="0" xfId="0" applyFill="1" applyBorder="1" applyAlignment="1">
      <alignment horizontal="left"/>
    </xf>
    <xf numFmtId="0" fontId="9" fillId="5" borderId="6" xfId="0" applyFont="1" applyFill="1" applyBorder="1"/>
    <xf numFmtId="0" fontId="83" fillId="11" borderId="0"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0" fontId="83" fillId="11" borderId="18" xfId="0" applyFont="1" applyFill="1" applyBorder="1"/>
    <xf numFmtId="168" fontId="1" fillId="10" borderId="9" xfId="0" applyNumberFormat="1" applyFont="1" applyFill="1" applyBorder="1" applyAlignment="1">
      <alignment horizontal="center"/>
    </xf>
    <xf numFmtId="0" fontId="0" fillId="15" borderId="0" xfId="0" applyFill="1" applyBorder="1" applyAlignment="1"/>
    <xf numFmtId="196" fontId="25" fillId="5" borderId="9" xfId="0" applyNumberFormat="1" applyFont="1" applyFill="1" applyBorder="1" applyAlignment="1">
      <alignment horizontal="center"/>
    </xf>
    <xf numFmtId="0" fontId="83" fillId="15" borderId="0" xfId="0" applyFont="1" applyFill="1" applyBorder="1" applyAlignment="1">
      <alignment horizontal="center"/>
    </xf>
    <xf numFmtId="2" fontId="9" fillId="5" borderId="9" xfId="0" applyNumberFormat="1" applyFont="1" applyFill="1" applyBorder="1"/>
    <xf numFmtId="0" fontId="85" fillId="15" borderId="16" xfId="0" applyFont="1" applyFill="1" applyBorder="1" applyAlignment="1">
      <alignment horizontal="right"/>
    </xf>
    <xf numFmtId="0" fontId="85" fillId="11"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166" fontId="25" fillId="5" borderId="9" xfId="0" applyNumberFormat="1" applyFont="1" applyFill="1" applyBorder="1"/>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cellXfs>
  <cellStyles count="6">
    <cellStyle name="Comma" xfId="1" builtinId="3"/>
    <cellStyle name="Hyperlink" xfId="2" builtinId="8"/>
    <cellStyle name="Hyperlink 2" xfId="5" xr:uid="{00000000-0005-0000-0000-000032000000}"/>
    <cellStyle name="Normal" xfId="0" builtinId="0"/>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28</xdr:row>
      <xdr:rowOff>50800</xdr:rowOff>
    </xdr:from>
    <xdr:to>
      <xdr:col>4</xdr:col>
      <xdr:colOff>1047750</xdr:colOff>
      <xdr:row>28</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28</xdr:row>
      <xdr:rowOff>50800</xdr:rowOff>
    </xdr:from>
    <xdr:to>
      <xdr:col>4</xdr:col>
      <xdr:colOff>1054100</xdr:colOff>
      <xdr:row>28</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28</xdr:row>
      <xdr:rowOff>63500</xdr:rowOff>
    </xdr:from>
    <xdr:to>
      <xdr:col>5</xdr:col>
      <xdr:colOff>1060450</xdr:colOff>
      <xdr:row>28</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28</xdr:row>
      <xdr:rowOff>63500</xdr:rowOff>
    </xdr:from>
    <xdr:to>
      <xdr:col>5</xdr:col>
      <xdr:colOff>1073150</xdr:colOff>
      <xdr:row>28</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28</xdr:row>
      <xdr:rowOff>63500</xdr:rowOff>
    </xdr:from>
    <xdr:to>
      <xdr:col>7</xdr:col>
      <xdr:colOff>292100</xdr:colOff>
      <xdr:row>28</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28</xdr:row>
      <xdr:rowOff>63500</xdr:rowOff>
    </xdr:from>
    <xdr:to>
      <xdr:col>7</xdr:col>
      <xdr:colOff>304800</xdr:colOff>
      <xdr:row>29</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51</xdr:row>
      <xdr:rowOff>88900</xdr:rowOff>
    </xdr:from>
    <xdr:to>
      <xdr:col>4</xdr:col>
      <xdr:colOff>685800</xdr:colOff>
      <xdr:row>51</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51</xdr:row>
      <xdr:rowOff>88900</xdr:rowOff>
    </xdr:from>
    <xdr:to>
      <xdr:col>4</xdr:col>
      <xdr:colOff>698500</xdr:colOff>
      <xdr:row>52</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23</xdr:row>
      <xdr:rowOff>88900</xdr:rowOff>
    </xdr:from>
    <xdr:to>
      <xdr:col>4</xdr:col>
      <xdr:colOff>685800</xdr:colOff>
      <xdr:row>23</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23</xdr:row>
      <xdr:rowOff>88900</xdr:rowOff>
    </xdr:from>
    <xdr:to>
      <xdr:col>4</xdr:col>
      <xdr:colOff>698500</xdr:colOff>
      <xdr:row>24</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25</xdr:row>
      <xdr:rowOff>152400</xdr:rowOff>
    </xdr:from>
    <xdr:to>
      <xdr:col>2</xdr:col>
      <xdr:colOff>1130300</xdr:colOff>
      <xdr:row>27</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25</xdr:row>
      <xdr:rowOff>152400</xdr:rowOff>
    </xdr:from>
    <xdr:to>
      <xdr:col>4</xdr:col>
      <xdr:colOff>1200150</xdr:colOff>
      <xdr:row>27</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55</xdr:row>
      <xdr:rowOff>146050</xdr:rowOff>
    </xdr:from>
    <xdr:to>
      <xdr:col>5</xdr:col>
      <xdr:colOff>1338580</xdr:colOff>
      <xdr:row>89</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58</xdr:row>
      <xdr:rowOff>63500</xdr:rowOff>
    </xdr:from>
    <xdr:to>
      <xdr:col>5</xdr:col>
      <xdr:colOff>711200</xdr:colOff>
      <xdr:row>87</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91</xdr:row>
      <xdr:rowOff>0</xdr:rowOff>
    </xdr:from>
    <xdr:to>
      <xdr:col>3</xdr:col>
      <xdr:colOff>1757680</xdr:colOff>
      <xdr:row>92</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88</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25400</xdr:colOff>
      <xdr:row>11</xdr:row>
      <xdr:rowOff>0</xdr:rowOff>
    </xdr:from>
    <xdr:to>
      <xdr:col>4</xdr:col>
      <xdr:colOff>0</xdr:colOff>
      <xdr:row>15</xdr:row>
      <xdr:rowOff>0</xdr:rowOff>
    </xdr:to>
    <xdr:sp macro="" textlink="">
      <xdr:nvSpPr>
        <xdr:cNvPr id="554249" name="Rectangle 1">
          <a:extLst>
            <a:ext uri="{FF2B5EF4-FFF2-40B4-BE49-F238E27FC236}">
              <a16:creationId xmlns:a16="http://schemas.microsoft.com/office/drawing/2014/main" id="{EBB6B417-D41E-4964-8B04-38A373C0DBE6}"/>
            </a:ext>
          </a:extLst>
        </xdr:cNvPr>
        <xdr:cNvSpPr>
          <a:spLocks noChangeArrowheads="1"/>
        </xdr:cNvSpPr>
      </xdr:nvSpPr>
      <xdr:spPr bwMode="auto">
        <a:xfrm>
          <a:off x="1524000" y="1911350"/>
          <a:ext cx="1352550" cy="679450"/>
        </a:xfrm>
        <a:prstGeom prst="rect">
          <a:avLst/>
        </a:prstGeom>
        <a:solidFill>
          <a:srgbClr val="99CCFF"/>
        </a:solidFill>
        <a:ln w="19050">
          <a:solidFill>
            <a:srgbClr val="000000"/>
          </a:solidFill>
          <a:miter lim="800000"/>
          <a:headEnd/>
          <a:tailEnd/>
        </a:ln>
      </xdr:spPr>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44A482E7-37AC-41AF-9A19-4C0D6A91AD84}"/>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60A070E5-ACA5-45B3-A464-CF3B8AB0BD75}"/>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2</xdr:col>
      <xdr:colOff>254000</xdr:colOff>
      <xdr:row>36</xdr:row>
      <xdr:rowOff>12700</xdr:rowOff>
    </xdr:from>
    <xdr:to>
      <xdr:col>3</xdr:col>
      <xdr:colOff>400050</xdr:colOff>
      <xdr:row>39</xdr:row>
      <xdr:rowOff>133350</xdr:rowOff>
    </xdr:to>
    <xdr:sp macro="" textlink="">
      <xdr:nvSpPr>
        <xdr:cNvPr id="554252" name="AutoShape 4">
          <a:extLst>
            <a:ext uri="{FF2B5EF4-FFF2-40B4-BE49-F238E27FC236}">
              <a16:creationId xmlns:a16="http://schemas.microsoft.com/office/drawing/2014/main" id="{E7B493E0-66B9-4394-BCC0-BEA97BDE124D}"/>
            </a:ext>
          </a:extLst>
        </xdr:cNvPr>
        <xdr:cNvSpPr>
          <a:spLocks noChangeArrowheads="1"/>
        </xdr:cNvSpPr>
      </xdr:nvSpPr>
      <xdr:spPr bwMode="auto">
        <a:xfrm>
          <a:off x="1752600" y="5949950"/>
          <a:ext cx="800100" cy="5969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2</xdr:col>
      <xdr:colOff>123825</xdr:colOff>
      <xdr:row>42</xdr:row>
      <xdr:rowOff>0</xdr:rowOff>
    </xdr:from>
    <xdr:to>
      <xdr:col>3</xdr:col>
      <xdr:colOff>485711</xdr:colOff>
      <xdr:row>46</xdr:row>
      <xdr:rowOff>146067</xdr:rowOff>
    </xdr:to>
    <xdr:sp macro="" textlink="">
      <xdr:nvSpPr>
        <xdr:cNvPr id="17413" name="AutoShape 5">
          <a:extLst>
            <a:ext uri="{FF2B5EF4-FFF2-40B4-BE49-F238E27FC236}">
              <a16:creationId xmlns:a16="http://schemas.microsoft.com/office/drawing/2014/main" id="{CF477248-EDF1-4C3D-BE36-718BA07F7202}"/>
            </a:ext>
          </a:extLst>
        </xdr:cNvPr>
        <xdr:cNvSpPr>
          <a:spLocks noChangeArrowheads="1"/>
        </xdr:cNvSpPr>
      </xdr:nvSpPr>
      <xdr:spPr bwMode="auto">
        <a:xfrm>
          <a:off x="1581150" y="6981825"/>
          <a:ext cx="962025"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0</xdr:colOff>
      <xdr:row>29</xdr:row>
      <xdr:rowOff>9525</xdr:rowOff>
    </xdr:from>
    <xdr:to>
      <xdr:col>3</xdr:col>
      <xdr:colOff>615267</xdr:colOff>
      <xdr:row>33</xdr:row>
      <xdr:rowOff>9525</xdr:rowOff>
    </xdr:to>
    <xdr:sp macro="" textlink="">
      <xdr:nvSpPr>
        <xdr:cNvPr id="17414" name="Rectangle 6">
          <a:extLst>
            <a:ext uri="{FF2B5EF4-FFF2-40B4-BE49-F238E27FC236}">
              <a16:creationId xmlns:a16="http://schemas.microsoft.com/office/drawing/2014/main" id="{A5A83BEE-8FF7-482B-99A5-5713FEA51A30}"/>
            </a:ext>
          </a:extLst>
        </xdr:cNvPr>
        <xdr:cNvSpPr>
          <a:spLocks noChangeArrowheads="1"/>
        </xdr:cNvSpPr>
      </xdr:nvSpPr>
      <xdr:spPr bwMode="auto">
        <a:xfrm>
          <a:off x="1457325" y="488632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2</xdr:col>
      <xdr:colOff>0</xdr:colOff>
      <xdr:row>50</xdr:row>
      <xdr:rowOff>146050</xdr:rowOff>
    </xdr:from>
    <xdr:to>
      <xdr:col>4</xdr:col>
      <xdr:colOff>9525</xdr:colOff>
      <xdr:row>54</xdr:row>
      <xdr:rowOff>53</xdr:rowOff>
    </xdr:to>
    <xdr:sp macro="" textlink="">
      <xdr:nvSpPr>
        <xdr:cNvPr id="17415" name="Rectangle 7">
          <a:extLst>
            <a:ext uri="{FF2B5EF4-FFF2-40B4-BE49-F238E27FC236}">
              <a16:creationId xmlns:a16="http://schemas.microsoft.com/office/drawing/2014/main" id="{C179FE7C-51FF-4DD9-9F64-C542FF6CEF28}"/>
            </a:ext>
          </a:extLst>
        </xdr:cNvPr>
        <xdr:cNvSpPr>
          <a:spLocks noChangeArrowheads="1"/>
        </xdr:cNvSpPr>
      </xdr:nvSpPr>
      <xdr:spPr bwMode="auto">
        <a:xfrm>
          <a:off x="1457325" y="84296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xdr:col>
      <xdr:colOff>570439</xdr:colOff>
      <xdr:row>56</xdr:row>
      <xdr:rowOff>0</xdr:rowOff>
    </xdr:from>
    <xdr:to>
      <xdr:col>3</xdr:col>
      <xdr:colOff>683666</xdr:colOff>
      <xdr:row>59</xdr:row>
      <xdr:rowOff>9525</xdr:rowOff>
    </xdr:to>
    <xdr:sp macro="" textlink="">
      <xdr:nvSpPr>
        <xdr:cNvPr id="17416" name="Rectangle 8">
          <a:extLst>
            <a:ext uri="{FF2B5EF4-FFF2-40B4-BE49-F238E27FC236}">
              <a16:creationId xmlns:a16="http://schemas.microsoft.com/office/drawing/2014/main" id="{1533544D-B599-436F-9159-44354076CF87}"/>
            </a:ext>
          </a:extLst>
        </xdr:cNvPr>
        <xdr:cNvSpPr>
          <a:spLocks noChangeArrowheads="1"/>
        </xdr:cNvSpPr>
      </xdr:nvSpPr>
      <xdr:spPr bwMode="auto">
        <a:xfrm>
          <a:off x="1592789" y="8746067"/>
          <a:ext cx="1508125" cy="4667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222250</xdr:colOff>
      <xdr:row>60</xdr:row>
      <xdr:rowOff>107950</xdr:rowOff>
    </xdr:from>
    <xdr:to>
      <xdr:col>3</xdr:col>
      <xdr:colOff>400050</xdr:colOff>
      <xdr:row>65</xdr:row>
      <xdr:rowOff>12700</xdr:rowOff>
    </xdr:to>
    <xdr:sp macro="" textlink="">
      <xdr:nvSpPr>
        <xdr:cNvPr id="554257" name="AutoShape 9">
          <a:extLst>
            <a:ext uri="{FF2B5EF4-FFF2-40B4-BE49-F238E27FC236}">
              <a16:creationId xmlns:a16="http://schemas.microsoft.com/office/drawing/2014/main" id="{AD958B3E-434B-4EEA-A5FF-C8FF583228C1}"/>
            </a:ext>
          </a:extLst>
        </xdr:cNvPr>
        <xdr:cNvSpPr>
          <a:spLocks noChangeArrowheads="1"/>
        </xdr:cNvSpPr>
      </xdr:nvSpPr>
      <xdr:spPr bwMode="auto">
        <a:xfrm>
          <a:off x="1720850" y="9861550"/>
          <a:ext cx="83185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628650</xdr:colOff>
      <xdr:row>59</xdr:row>
      <xdr:rowOff>12700</xdr:rowOff>
    </xdr:from>
    <xdr:to>
      <xdr:col>3</xdr:col>
      <xdr:colOff>0</xdr:colOff>
      <xdr:row>65</xdr:row>
      <xdr:rowOff>12700</xdr:rowOff>
    </xdr:to>
    <xdr:sp macro="" textlink="">
      <xdr:nvSpPr>
        <xdr:cNvPr id="554258" name="Line 10">
          <a:extLst>
            <a:ext uri="{FF2B5EF4-FFF2-40B4-BE49-F238E27FC236}">
              <a16:creationId xmlns:a16="http://schemas.microsoft.com/office/drawing/2014/main" id="{8F758578-7777-48E5-8E9B-47E257F80BE3}"/>
            </a:ext>
          </a:extLst>
        </xdr:cNvPr>
        <xdr:cNvSpPr>
          <a:spLocks noChangeShapeType="1"/>
        </xdr:cNvSpPr>
      </xdr:nvSpPr>
      <xdr:spPr bwMode="auto">
        <a:xfrm flipH="1" flipV="1">
          <a:off x="2127250" y="9607550"/>
          <a:ext cx="25400" cy="958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9</xdr:row>
      <xdr:rowOff>146050</xdr:rowOff>
    </xdr:from>
    <xdr:to>
      <xdr:col>3</xdr:col>
      <xdr:colOff>0</xdr:colOff>
      <xdr:row>11</xdr:row>
      <xdr:rowOff>0</xdr:rowOff>
    </xdr:to>
    <xdr:sp macro="" textlink="">
      <xdr:nvSpPr>
        <xdr:cNvPr id="554259" name="Line 11">
          <a:extLst>
            <a:ext uri="{FF2B5EF4-FFF2-40B4-BE49-F238E27FC236}">
              <a16:creationId xmlns:a16="http://schemas.microsoft.com/office/drawing/2014/main" id="{971CD30A-73D9-458D-89C6-6DCA5AD76270}"/>
            </a:ext>
          </a:extLst>
        </xdr:cNvPr>
        <xdr:cNvSpPr>
          <a:spLocks noChangeShapeType="1"/>
        </xdr:cNvSpPr>
      </xdr:nvSpPr>
      <xdr:spPr bwMode="auto">
        <a:xfrm flipV="1">
          <a:off x="2152650" y="1739900"/>
          <a:ext cx="0" cy="1714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14</xdr:row>
      <xdr:rowOff>146050</xdr:rowOff>
    </xdr:from>
    <xdr:to>
      <xdr:col>3</xdr:col>
      <xdr:colOff>0</xdr:colOff>
      <xdr:row>17</xdr:row>
      <xdr:rowOff>0</xdr:rowOff>
    </xdr:to>
    <xdr:sp macro="" textlink="">
      <xdr:nvSpPr>
        <xdr:cNvPr id="554260" name="Line 12">
          <a:extLst>
            <a:ext uri="{FF2B5EF4-FFF2-40B4-BE49-F238E27FC236}">
              <a16:creationId xmlns:a16="http://schemas.microsoft.com/office/drawing/2014/main" id="{0FA26503-1068-4CF6-848F-DF182FD655D5}"/>
            </a:ext>
          </a:extLst>
        </xdr:cNvPr>
        <xdr:cNvSpPr>
          <a:spLocks noChangeShapeType="1"/>
        </xdr:cNvSpPr>
      </xdr:nvSpPr>
      <xdr:spPr bwMode="auto">
        <a:xfrm>
          <a:off x="2152650" y="2578100"/>
          <a:ext cx="0" cy="3365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33</xdr:row>
      <xdr:rowOff>12700</xdr:rowOff>
    </xdr:from>
    <xdr:to>
      <xdr:col>3</xdr:col>
      <xdr:colOff>0</xdr:colOff>
      <xdr:row>36</xdr:row>
      <xdr:rowOff>12700</xdr:rowOff>
    </xdr:to>
    <xdr:sp macro="" textlink="">
      <xdr:nvSpPr>
        <xdr:cNvPr id="554261" name="Line 13">
          <a:extLst>
            <a:ext uri="{FF2B5EF4-FFF2-40B4-BE49-F238E27FC236}">
              <a16:creationId xmlns:a16="http://schemas.microsoft.com/office/drawing/2014/main" id="{4C6EA4F6-5A2A-49FB-8A71-8170AF6D671D}"/>
            </a:ext>
          </a:extLst>
        </xdr:cNvPr>
        <xdr:cNvSpPr>
          <a:spLocks noChangeShapeType="1"/>
        </xdr:cNvSpPr>
      </xdr:nvSpPr>
      <xdr:spPr bwMode="auto">
        <a:xfrm>
          <a:off x="2152650" y="5473700"/>
          <a:ext cx="0" cy="4762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27</xdr:row>
      <xdr:rowOff>12700</xdr:rowOff>
    </xdr:from>
    <xdr:to>
      <xdr:col>3</xdr:col>
      <xdr:colOff>12700</xdr:colOff>
      <xdr:row>29</xdr:row>
      <xdr:rowOff>0</xdr:rowOff>
    </xdr:to>
    <xdr:sp macro="" textlink="">
      <xdr:nvSpPr>
        <xdr:cNvPr id="554262" name="Line 14">
          <a:extLst>
            <a:ext uri="{FF2B5EF4-FFF2-40B4-BE49-F238E27FC236}">
              <a16:creationId xmlns:a16="http://schemas.microsoft.com/office/drawing/2014/main" id="{A0C3CF20-B3CE-49F1-8AA8-6225CFE0F3CE}"/>
            </a:ext>
          </a:extLst>
        </xdr:cNvPr>
        <xdr:cNvSpPr>
          <a:spLocks noChangeShapeType="1"/>
        </xdr:cNvSpPr>
      </xdr:nvSpPr>
      <xdr:spPr bwMode="auto">
        <a:xfrm>
          <a:off x="2165350" y="45148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21</xdr:row>
      <xdr:rowOff>12700</xdr:rowOff>
    </xdr:from>
    <xdr:to>
      <xdr:col>3</xdr:col>
      <xdr:colOff>0</xdr:colOff>
      <xdr:row>23</xdr:row>
      <xdr:rowOff>25400</xdr:rowOff>
    </xdr:to>
    <xdr:sp macro="" textlink="">
      <xdr:nvSpPr>
        <xdr:cNvPr id="554263" name="Line 15">
          <a:extLst>
            <a:ext uri="{FF2B5EF4-FFF2-40B4-BE49-F238E27FC236}">
              <a16:creationId xmlns:a16="http://schemas.microsoft.com/office/drawing/2014/main" id="{B6FF7163-3D14-475E-9ADF-B06806CF13BF}"/>
            </a:ext>
          </a:extLst>
        </xdr:cNvPr>
        <xdr:cNvSpPr>
          <a:spLocks noChangeShapeType="1"/>
        </xdr:cNvSpPr>
      </xdr:nvSpPr>
      <xdr:spPr bwMode="auto">
        <a:xfrm>
          <a:off x="2152650" y="356235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39</xdr:row>
      <xdr:rowOff>133350</xdr:rowOff>
    </xdr:from>
    <xdr:to>
      <xdr:col>2</xdr:col>
      <xdr:colOff>628650</xdr:colOff>
      <xdr:row>42</xdr:row>
      <xdr:rowOff>0</xdr:rowOff>
    </xdr:to>
    <xdr:sp macro="" textlink="">
      <xdr:nvSpPr>
        <xdr:cNvPr id="554264" name="Line 16">
          <a:extLst>
            <a:ext uri="{FF2B5EF4-FFF2-40B4-BE49-F238E27FC236}">
              <a16:creationId xmlns:a16="http://schemas.microsoft.com/office/drawing/2014/main" id="{EBF072E7-68FD-469A-9BB4-E1BBA75A3B7D}"/>
            </a:ext>
          </a:extLst>
        </xdr:cNvPr>
        <xdr:cNvSpPr>
          <a:spLocks noChangeShapeType="1"/>
        </xdr:cNvSpPr>
      </xdr:nvSpPr>
      <xdr:spPr bwMode="auto">
        <a:xfrm>
          <a:off x="2127250" y="654685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46</xdr:row>
      <xdr:rowOff>146050</xdr:rowOff>
    </xdr:from>
    <xdr:to>
      <xdr:col>3</xdr:col>
      <xdr:colOff>0</xdr:colOff>
      <xdr:row>50</xdr:row>
      <xdr:rowOff>146050</xdr:rowOff>
    </xdr:to>
    <xdr:sp macro="" textlink="">
      <xdr:nvSpPr>
        <xdr:cNvPr id="554265" name="Line 17">
          <a:extLst>
            <a:ext uri="{FF2B5EF4-FFF2-40B4-BE49-F238E27FC236}">
              <a16:creationId xmlns:a16="http://schemas.microsoft.com/office/drawing/2014/main" id="{773AE509-4B82-4EED-A590-9DECBC0B4556}"/>
            </a:ext>
          </a:extLst>
        </xdr:cNvPr>
        <xdr:cNvSpPr>
          <a:spLocks noChangeShapeType="1"/>
        </xdr:cNvSpPr>
      </xdr:nvSpPr>
      <xdr:spPr bwMode="auto">
        <a:xfrm>
          <a:off x="2152650" y="7670800"/>
          <a:ext cx="0" cy="6413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54</xdr:row>
      <xdr:rowOff>12700</xdr:rowOff>
    </xdr:from>
    <xdr:to>
      <xdr:col>3</xdr:col>
      <xdr:colOff>0</xdr:colOff>
      <xdr:row>55</xdr:row>
      <xdr:rowOff>146050</xdr:rowOff>
    </xdr:to>
    <xdr:sp macro="" textlink="">
      <xdr:nvSpPr>
        <xdr:cNvPr id="554266" name="Line 18">
          <a:extLst>
            <a:ext uri="{FF2B5EF4-FFF2-40B4-BE49-F238E27FC236}">
              <a16:creationId xmlns:a16="http://schemas.microsoft.com/office/drawing/2014/main" id="{F07FDCD2-47B5-48A0-80A1-A3A5E192B70E}"/>
            </a:ext>
          </a:extLst>
        </xdr:cNvPr>
        <xdr:cNvSpPr>
          <a:spLocks noChangeShapeType="1"/>
        </xdr:cNvSpPr>
      </xdr:nvSpPr>
      <xdr:spPr bwMode="auto">
        <a:xfrm>
          <a:off x="2152650" y="88138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234950</xdr:colOff>
      <xdr:row>75</xdr:row>
      <xdr:rowOff>146050</xdr:rowOff>
    </xdr:from>
    <xdr:to>
      <xdr:col>3</xdr:col>
      <xdr:colOff>406400</xdr:colOff>
      <xdr:row>80</xdr:row>
      <xdr:rowOff>50800</xdr:rowOff>
    </xdr:to>
    <xdr:sp macro="" textlink="">
      <xdr:nvSpPr>
        <xdr:cNvPr id="554267" name="AutoShape 19">
          <a:extLst>
            <a:ext uri="{FF2B5EF4-FFF2-40B4-BE49-F238E27FC236}">
              <a16:creationId xmlns:a16="http://schemas.microsoft.com/office/drawing/2014/main" id="{FB0ED86F-C11E-4BED-9381-CAD7C1A403BD}"/>
            </a:ext>
          </a:extLst>
        </xdr:cNvPr>
        <xdr:cNvSpPr>
          <a:spLocks noChangeArrowheads="1"/>
        </xdr:cNvSpPr>
      </xdr:nvSpPr>
      <xdr:spPr bwMode="auto">
        <a:xfrm rot="10800000">
          <a:off x="1733550" y="12287250"/>
          <a:ext cx="82550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75</xdr:row>
      <xdr:rowOff>146050</xdr:rowOff>
    </xdr:from>
    <xdr:to>
      <xdr:col>3</xdr:col>
      <xdr:colOff>0</xdr:colOff>
      <xdr:row>85</xdr:row>
      <xdr:rowOff>12700</xdr:rowOff>
    </xdr:to>
    <xdr:sp macro="" textlink="">
      <xdr:nvSpPr>
        <xdr:cNvPr id="554268" name="Line 20">
          <a:extLst>
            <a:ext uri="{FF2B5EF4-FFF2-40B4-BE49-F238E27FC236}">
              <a16:creationId xmlns:a16="http://schemas.microsoft.com/office/drawing/2014/main" id="{F9CAD679-3CD9-4CB9-A5B0-4B5DFD90389D}"/>
            </a:ext>
          </a:extLst>
        </xdr:cNvPr>
        <xdr:cNvSpPr>
          <a:spLocks noChangeShapeType="1"/>
        </xdr:cNvSpPr>
      </xdr:nvSpPr>
      <xdr:spPr bwMode="auto">
        <a:xfrm>
          <a:off x="2152650" y="122872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85</xdr:row>
      <xdr:rowOff>9525</xdr:rowOff>
    </xdr:from>
    <xdr:to>
      <xdr:col>4</xdr:col>
      <xdr:colOff>9525</xdr:colOff>
      <xdr:row>88</xdr:row>
      <xdr:rowOff>6436</xdr:rowOff>
    </xdr:to>
    <xdr:sp macro="" textlink="">
      <xdr:nvSpPr>
        <xdr:cNvPr id="17429" name="Rectangle 21">
          <a:extLst>
            <a:ext uri="{FF2B5EF4-FFF2-40B4-BE49-F238E27FC236}">
              <a16:creationId xmlns:a16="http://schemas.microsoft.com/office/drawing/2014/main" id="{260834B7-CFAF-4E1E-945B-2088E51F100D}"/>
            </a:ext>
          </a:extLst>
        </xdr:cNvPr>
        <xdr:cNvSpPr>
          <a:spLocks noChangeArrowheads="1"/>
        </xdr:cNvSpPr>
      </xdr:nvSpPr>
      <xdr:spPr bwMode="auto">
        <a:xfrm>
          <a:off x="1457325" y="139541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9525</xdr:colOff>
      <xdr:row>90</xdr:row>
      <xdr:rowOff>6350</xdr:rowOff>
    </xdr:from>
    <xdr:to>
      <xdr:col>4</xdr:col>
      <xdr:colOff>19050</xdr:colOff>
      <xdr:row>93</xdr:row>
      <xdr:rowOff>28840</xdr:rowOff>
    </xdr:to>
    <xdr:sp macro="" textlink="">
      <xdr:nvSpPr>
        <xdr:cNvPr id="17430" name="Rectangle 22">
          <a:extLst>
            <a:ext uri="{FF2B5EF4-FFF2-40B4-BE49-F238E27FC236}">
              <a16:creationId xmlns:a16="http://schemas.microsoft.com/office/drawing/2014/main" id="{2176C4BF-FEE4-4205-814A-8E5C9F895A18}"/>
            </a:ext>
          </a:extLst>
        </xdr:cNvPr>
        <xdr:cNvSpPr>
          <a:spLocks noChangeArrowheads="1"/>
        </xdr:cNvSpPr>
      </xdr:nvSpPr>
      <xdr:spPr bwMode="auto">
        <a:xfrm>
          <a:off x="1466850" y="1477327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3</xdr:col>
      <xdr:colOff>0</xdr:colOff>
      <xdr:row>88</xdr:row>
      <xdr:rowOff>25400</xdr:rowOff>
    </xdr:from>
    <xdr:to>
      <xdr:col>3</xdr:col>
      <xdr:colOff>0</xdr:colOff>
      <xdr:row>90</xdr:row>
      <xdr:rowOff>12700</xdr:rowOff>
    </xdr:to>
    <xdr:sp macro="" textlink="">
      <xdr:nvSpPr>
        <xdr:cNvPr id="554271" name="Line 23">
          <a:extLst>
            <a:ext uri="{FF2B5EF4-FFF2-40B4-BE49-F238E27FC236}">
              <a16:creationId xmlns:a16="http://schemas.microsoft.com/office/drawing/2014/main" id="{2B6397B7-9812-469C-983A-2EEF48E9D89E}"/>
            </a:ext>
          </a:extLst>
        </xdr:cNvPr>
        <xdr:cNvSpPr>
          <a:spLocks noChangeShapeType="1"/>
        </xdr:cNvSpPr>
      </xdr:nvSpPr>
      <xdr:spPr bwMode="auto">
        <a:xfrm>
          <a:off x="2152650" y="142367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155575</xdr:colOff>
      <xdr:row>94</xdr:row>
      <xdr:rowOff>149225</xdr:rowOff>
    </xdr:from>
    <xdr:to>
      <xdr:col>3</xdr:col>
      <xdr:colOff>517461</xdr:colOff>
      <xdr:row>99</xdr:row>
      <xdr:rowOff>146102</xdr:rowOff>
    </xdr:to>
    <xdr:sp macro="" textlink="">
      <xdr:nvSpPr>
        <xdr:cNvPr id="17432" name="AutoShape 24">
          <a:extLst>
            <a:ext uri="{FF2B5EF4-FFF2-40B4-BE49-F238E27FC236}">
              <a16:creationId xmlns:a16="http://schemas.microsoft.com/office/drawing/2014/main" id="{79BAC031-816B-4D53-A399-625AA36DC2A2}"/>
            </a:ext>
          </a:extLst>
        </xdr:cNvPr>
        <xdr:cNvSpPr>
          <a:spLocks noChangeArrowheads="1"/>
        </xdr:cNvSpPr>
      </xdr:nvSpPr>
      <xdr:spPr bwMode="auto">
        <a:xfrm>
          <a:off x="1600200" y="15544800"/>
          <a:ext cx="962025" cy="8191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590550</xdr:colOff>
      <xdr:row>102</xdr:row>
      <xdr:rowOff>0</xdr:rowOff>
    </xdr:from>
    <xdr:to>
      <xdr:col>3</xdr:col>
      <xdr:colOff>632056</xdr:colOff>
      <xdr:row>105</xdr:row>
      <xdr:rowOff>9525</xdr:rowOff>
    </xdr:to>
    <xdr:sp macro="" textlink="">
      <xdr:nvSpPr>
        <xdr:cNvPr id="17433" name="Rectangle 25">
          <a:extLst>
            <a:ext uri="{FF2B5EF4-FFF2-40B4-BE49-F238E27FC236}">
              <a16:creationId xmlns:a16="http://schemas.microsoft.com/office/drawing/2014/main" id="{7074A74F-EB65-40DB-A525-416C438AAE66}"/>
            </a:ext>
          </a:extLst>
        </xdr:cNvPr>
        <xdr:cNvSpPr>
          <a:spLocks noChangeArrowheads="1"/>
        </xdr:cNvSpPr>
      </xdr:nvSpPr>
      <xdr:spPr bwMode="auto">
        <a:xfrm>
          <a:off x="1438275" y="16697325"/>
          <a:ext cx="12382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628650</xdr:colOff>
      <xdr:row>93</xdr:row>
      <xdr:rowOff>12700</xdr:rowOff>
    </xdr:from>
    <xdr:to>
      <xdr:col>3</xdr:col>
      <xdr:colOff>0</xdr:colOff>
      <xdr:row>94</xdr:row>
      <xdr:rowOff>146050</xdr:rowOff>
    </xdr:to>
    <xdr:sp macro="" textlink="">
      <xdr:nvSpPr>
        <xdr:cNvPr id="554274" name="Line 26">
          <a:extLst>
            <a:ext uri="{FF2B5EF4-FFF2-40B4-BE49-F238E27FC236}">
              <a16:creationId xmlns:a16="http://schemas.microsoft.com/office/drawing/2014/main" id="{9E7960D3-B0FD-4AB0-BBF5-BD0ED0144947}"/>
            </a:ext>
          </a:extLst>
        </xdr:cNvPr>
        <xdr:cNvSpPr>
          <a:spLocks noChangeShapeType="1"/>
        </xdr:cNvSpPr>
      </xdr:nvSpPr>
      <xdr:spPr bwMode="auto">
        <a:xfrm>
          <a:off x="2127250" y="15017750"/>
          <a:ext cx="2540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100</xdr:row>
      <xdr:rowOff>12700</xdr:rowOff>
    </xdr:from>
    <xdr:to>
      <xdr:col>3</xdr:col>
      <xdr:colOff>0</xdr:colOff>
      <xdr:row>101</xdr:row>
      <xdr:rowOff>146050</xdr:rowOff>
    </xdr:to>
    <xdr:sp macro="" textlink="">
      <xdr:nvSpPr>
        <xdr:cNvPr id="554275" name="Line 27">
          <a:extLst>
            <a:ext uri="{FF2B5EF4-FFF2-40B4-BE49-F238E27FC236}">
              <a16:creationId xmlns:a16="http://schemas.microsoft.com/office/drawing/2014/main" id="{35C27022-98C4-4FF4-9DC9-7B5A320CE2E9}"/>
            </a:ext>
          </a:extLst>
        </xdr:cNvPr>
        <xdr:cNvSpPr>
          <a:spLocks noChangeShapeType="1"/>
        </xdr:cNvSpPr>
      </xdr:nvSpPr>
      <xdr:spPr bwMode="auto">
        <a:xfrm flipH="1">
          <a:off x="2152650" y="161290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105</xdr:row>
      <xdr:rowOff>12700</xdr:rowOff>
    </xdr:from>
    <xdr:to>
      <xdr:col>2</xdr:col>
      <xdr:colOff>628650</xdr:colOff>
      <xdr:row>108</xdr:row>
      <xdr:rowOff>12700</xdr:rowOff>
    </xdr:to>
    <xdr:sp macro="" textlink="">
      <xdr:nvSpPr>
        <xdr:cNvPr id="554276" name="Line 28">
          <a:extLst>
            <a:ext uri="{FF2B5EF4-FFF2-40B4-BE49-F238E27FC236}">
              <a16:creationId xmlns:a16="http://schemas.microsoft.com/office/drawing/2014/main" id="{6DD5F249-6360-44DE-B9D3-6445124230C5}"/>
            </a:ext>
          </a:extLst>
        </xdr:cNvPr>
        <xdr:cNvSpPr>
          <a:spLocks noChangeShapeType="1"/>
        </xdr:cNvSpPr>
      </xdr:nvSpPr>
      <xdr:spPr bwMode="auto">
        <a:xfrm flipV="1">
          <a:off x="2127250" y="16922750"/>
          <a:ext cx="0" cy="5016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584200</xdr:colOff>
      <xdr:row>65</xdr:row>
      <xdr:rowOff>82550</xdr:rowOff>
    </xdr:from>
    <xdr:to>
      <xdr:col>3</xdr:col>
      <xdr:colOff>44450</xdr:colOff>
      <xdr:row>75</xdr:row>
      <xdr:rowOff>82550</xdr:rowOff>
    </xdr:to>
    <xdr:sp macro="" textlink="">
      <xdr:nvSpPr>
        <xdr:cNvPr id="554277" name="AutoShape 31">
          <a:extLst>
            <a:ext uri="{FF2B5EF4-FFF2-40B4-BE49-F238E27FC236}">
              <a16:creationId xmlns:a16="http://schemas.microsoft.com/office/drawing/2014/main" id="{91F70C2B-619E-4C39-ACA6-62547D16BB6D}"/>
            </a:ext>
          </a:extLst>
        </xdr:cNvPr>
        <xdr:cNvSpPr>
          <a:spLocks noChangeArrowheads="1"/>
        </xdr:cNvSpPr>
      </xdr:nvSpPr>
      <xdr:spPr bwMode="auto">
        <a:xfrm>
          <a:off x="2082800" y="10636250"/>
          <a:ext cx="114300" cy="1587500"/>
        </a:xfrm>
        <a:prstGeom prst="upArrow">
          <a:avLst>
            <a:gd name="adj1" fmla="val 50000"/>
            <a:gd name="adj2" fmla="val 347222"/>
          </a:avLst>
        </a:prstGeom>
        <a:solidFill>
          <a:srgbClr val="FF0000"/>
        </a:solidFill>
        <a:ln w="9525">
          <a:solidFill>
            <a:srgbClr val="FF0000"/>
          </a:solidFill>
          <a:miter lim="800000"/>
          <a:headEnd/>
          <a:tailEnd/>
        </a:ln>
      </xdr:spPr>
    </xdr:sp>
    <xdr:clientData/>
  </xdr:twoCellAnchor>
  <xdr:twoCellAnchor>
    <xdr:from>
      <xdr:col>2</xdr:col>
      <xdr:colOff>431800</xdr:colOff>
      <xdr:row>70</xdr:row>
      <xdr:rowOff>38100</xdr:rowOff>
    </xdr:from>
    <xdr:to>
      <xdr:col>3</xdr:col>
      <xdr:colOff>196850</xdr:colOff>
      <xdr:row>71</xdr:row>
      <xdr:rowOff>25400</xdr:rowOff>
    </xdr:to>
    <xdr:sp macro="" textlink="">
      <xdr:nvSpPr>
        <xdr:cNvPr id="554278" name="AutoShape 32">
          <a:extLst>
            <a:ext uri="{FF2B5EF4-FFF2-40B4-BE49-F238E27FC236}">
              <a16:creationId xmlns:a16="http://schemas.microsoft.com/office/drawing/2014/main" id="{79A0071C-8577-476B-BEFC-89E657410F42}"/>
            </a:ext>
          </a:extLst>
        </xdr:cNvPr>
        <xdr:cNvSpPr>
          <a:spLocks noChangeArrowheads="1"/>
        </xdr:cNvSpPr>
      </xdr:nvSpPr>
      <xdr:spPr bwMode="auto">
        <a:xfrm>
          <a:off x="1930400" y="11385550"/>
          <a:ext cx="4191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2</xdr:col>
      <xdr:colOff>361950</xdr:colOff>
      <xdr:row>70</xdr:row>
      <xdr:rowOff>25400</xdr:rowOff>
    </xdr:from>
    <xdr:to>
      <xdr:col>2</xdr:col>
      <xdr:colOff>444500</xdr:colOff>
      <xdr:row>71</xdr:row>
      <xdr:rowOff>0</xdr:rowOff>
    </xdr:to>
    <xdr:sp macro="" textlink="">
      <xdr:nvSpPr>
        <xdr:cNvPr id="554279" name="Rectangle 33">
          <a:extLst>
            <a:ext uri="{FF2B5EF4-FFF2-40B4-BE49-F238E27FC236}">
              <a16:creationId xmlns:a16="http://schemas.microsoft.com/office/drawing/2014/main" id="{7EE570D5-DBD3-4E7E-A025-188439D61438}"/>
            </a:ext>
          </a:extLst>
        </xdr:cNvPr>
        <xdr:cNvSpPr>
          <a:spLocks noChangeArrowheads="1"/>
        </xdr:cNvSpPr>
      </xdr:nvSpPr>
      <xdr:spPr bwMode="auto">
        <a:xfrm>
          <a:off x="1860550" y="11372850"/>
          <a:ext cx="82550" cy="133350"/>
        </a:xfrm>
        <a:prstGeom prst="rect">
          <a:avLst/>
        </a:prstGeom>
        <a:solidFill>
          <a:srgbClr val="C0C0C0"/>
        </a:solidFill>
        <a:ln w="9525">
          <a:solidFill>
            <a:srgbClr val="C0C0C0"/>
          </a:solidFill>
          <a:miter lim="800000"/>
          <a:headEnd/>
          <a:tailEnd/>
        </a:ln>
      </xdr:spPr>
    </xdr:sp>
    <xdr:clientData/>
  </xdr:twoCellAnchor>
  <xdr:twoCellAnchor>
    <xdr:from>
      <xdr:col>3</xdr:col>
      <xdr:colOff>177800</xdr:colOff>
      <xdr:row>70</xdr:row>
      <xdr:rowOff>50800</xdr:rowOff>
    </xdr:from>
    <xdr:to>
      <xdr:col>3</xdr:col>
      <xdr:colOff>254000</xdr:colOff>
      <xdr:row>71</xdr:row>
      <xdr:rowOff>25400</xdr:rowOff>
    </xdr:to>
    <xdr:sp macro="" textlink="">
      <xdr:nvSpPr>
        <xdr:cNvPr id="554280" name="Rectangle 34">
          <a:extLst>
            <a:ext uri="{FF2B5EF4-FFF2-40B4-BE49-F238E27FC236}">
              <a16:creationId xmlns:a16="http://schemas.microsoft.com/office/drawing/2014/main" id="{12A8144A-F0FF-4DD3-B4E0-42F6A5EB8F0F}"/>
            </a:ext>
          </a:extLst>
        </xdr:cNvPr>
        <xdr:cNvSpPr>
          <a:spLocks noChangeArrowheads="1"/>
        </xdr:cNvSpPr>
      </xdr:nvSpPr>
      <xdr:spPr bwMode="auto">
        <a:xfrm>
          <a:off x="2330450" y="11398250"/>
          <a:ext cx="76200" cy="133350"/>
        </a:xfrm>
        <a:prstGeom prst="rect">
          <a:avLst/>
        </a:prstGeom>
        <a:solidFill>
          <a:srgbClr val="C0C0C0"/>
        </a:solidFill>
        <a:ln w="9525">
          <a:solidFill>
            <a:srgbClr val="C0C0C0"/>
          </a:solidFill>
          <a:miter lim="800000"/>
          <a:headEnd/>
          <a:tailEnd/>
        </a:ln>
      </xdr:spPr>
    </xdr:sp>
    <xdr:clientData/>
  </xdr:twoCellAnchor>
  <xdr:oneCellAnchor>
    <xdr:from>
      <xdr:col>2</xdr:col>
      <xdr:colOff>388237</xdr:colOff>
      <xdr:row>37</xdr:row>
      <xdr:rowOff>60323</xdr:rowOff>
    </xdr:from>
    <xdr:ext cx="634563" cy="336876"/>
    <xdr:sp macro="" textlink="">
      <xdr:nvSpPr>
        <xdr:cNvPr id="17449" name="Text Box 41">
          <a:extLst>
            <a:ext uri="{FF2B5EF4-FFF2-40B4-BE49-F238E27FC236}">
              <a16:creationId xmlns:a16="http://schemas.microsoft.com/office/drawing/2014/main" id="{9529C831-513C-4A15-AF73-3730F416D867}"/>
            </a:ext>
          </a:extLst>
        </xdr:cNvPr>
        <xdr:cNvSpPr txBox="1">
          <a:spLocks noChangeArrowheads="1"/>
        </xdr:cNvSpPr>
      </xdr:nvSpPr>
      <xdr:spPr bwMode="auto">
        <a:xfrm>
          <a:off x="2062520" y="5910790"/>
          <a:ext cx="59272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Amplifier</a:t>
          </a:r>
        </a:p>
      </xdr:txBody>
    </xdr:sp>
    <xdr:clientData/>
  </xdr:oneCellAnchor>
  <xdr:oneCellAnchor>
    <xdr:from>
      <xdr:col>2</xdr:col>
      <xdr:colOff>351845</xdr:colOff>
      <xdr:row>23</xdr:row>
      <xdr:rowOff>66675</xdr:rowOff>
    </xdr:from>
    <xdr:ext cx="705730" cy="490807"/>
    <xdr:sp macro="" textlink="">
      <xdr:nvSpPr>
        <xdr:cNvPr id="17452" name="Text Box 44">
          <a:extLst>
            <a:ext uri="{FF2B5EF4-FFF2-40B4-BE49-F238E27FC236}">
              <a16:creationId xmlns:a16="http://schemas.microsoft.com/office/drawing/2014/main" id="{8C8C5329-2067-4FB2-AEA6-3349E6745F51}"/>
            </a:ext>
          </a:extLst>
        </xdr:cNvPr>
        <xdr:cNvSpPr txBox="1">
          <a:spLocks noChangeArrowheads="1"/>
        </xdr:cNvSpPr>
      </xdr:nvSpPr>
      <xdr:spPr bwMode="auto">
        <a:xfrm>
          <a:off x="2026128" y="37835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2</xdr:col>
      <xdr:colOff>102543</xdr:colOff>
      <xdr:row>18</xdr:row>
      <xdr:rowOff>66675</xdr:rowOff>
    </xdr:from>
    <xdr:ext cx="1194009" cy="176972"/>
    <xdr:sp macro="" textlink="">
      <xdr:nvSpPr>
        <xdr:cNvPr id="17453" name="Text Box 45">
          <a:extLst>
            <a:ext uri="{FF2B5EF4-FFF2-40B4-BE49-F238E27FC236}">
              <a16:creationId xmlns:a16="http://schemas.microsoft.com/office/drawing/2014/main" id="{11715714-C9A2-4E71-9F5D-C81A2F80D538}"/>
            </a:ext>
          </a:extLst>
        </xdr:cNvPr>
        <xdr:cNvSpPr txBox="1">
          <a:spLocks noChangeArrowheads="1"/>
        </xdr:cNvSpPr>
      </xdr:nvSpPr>
      <xdr:spPr bwMode="auto">
        <a:xfrm>
          <a:off x="1751426" y="3021542"/>
          <a:ext cx="1167026"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2</xdr:col>
      <xdr:colOff>159812</xdr:colOff>
      <xdr:row>12</xdr:row>
      <xdr:rowOff>6350</xdr:rowOff>
    </xdr:from>
    <xdr:ext cx="1197880" cy="190081"/>
    <xdr:sp macro="" textlink="">
      <xdr:nvSpPr>
        <xdr:cNvPr id="17454" name="Text Box 46">
          <a:extLst>
            <a:ext uri="{FF2B5EF4-FFF2-40B4-BE49-F238E27FC236}">
              <a16:creationId xmlns:a16="http://schemas.microsoft.com/office/drawing/2014/main" id="{F69161E9-0962-4803-A470-A40F312FD068}"/>
            </a:ext>
          </a:extLst>
        </xdr:cNvPr>
        <xdr:cNvSpPr txBox="1">
          <a:spLocks noChangeArrowheads="1"/>
        </xdr:cNvSpPr>
      </xdr:nvSpPr>
      <xdr:spPr bwMode="auto">
        <a:xfrm>
          <a:off x="1815045" y="20468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0</xdr:col>
      <xdr:colOff>508000</xdr:colOff>
      <xdr:row>11</xdr:row>
      <xdr:rowOff>12700</xdr:rowOff>
    </xdr:from>
    <xdr:to>
      <xdr:col>1</xdr:col>
      <xdr:colOff>152400</xdr:colOff>
      <xdr:row>65</xdr:row>
      <xdr:rowOff>38100</xdr:rowOff>
    </xdr:to>
    <xdr:sp macro="" textlink="">
      <xdr:nvSpPr>
        <xdr:cNvPr id="554285" name="AutoShape 47">
          <a:extLst>
            <a:ext uri="{FF2B5EF4-FFF2-40B4-BE49-F238E27FC236}">
              <a16:creationId xmlns:a16="http://schemas.microsoft.com/office/drawing/2014/main" id="{AAC63C0D-7268-4D53-ADBD-76D8594A232B}"/>
            </a:ext>
          </a:extLst>
        </xdr:cNvPr>
        <xdr:cNvSpPr>
          <a:spLocks/>
        </xdr:cNvSpPr>
      </xdr:nvSpPr>
      <xdr:spPr bwMode="auto">
        <a:xfrm>
          <a:off x="508000" y="1924050"/>
          <a:ext cx="5270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25400</xdr:colOff>
      <xdr:row>85</xdr:row>
      <xdr:rowOff>25400</xdr:rowOff>
    </xdr:from>
    <xdr:to>
      <xdr:col>1</xdr:col>
      <xdr:colOff>266700</xdr:colOff>
      <xdr:row>105</xdr:row>
      <xdr:rowOff>25400</xdr:rowOff>
    </xdr:to>
    <xdr:sp macro="" textlink="">
      <xdr:nvSpPr>
        <xdr:cNvPr id="554286" name="AutoShape 48">
          <a:extLst>
            <a:ext uri="{FF2B5EF4-FFF2-40B4-BE49-F238E27FC236}">
              <a16:creationId xmlns:a16="http://schemas.microsoft.com/office/drawing/2014/main" id="{EAEA3046-0943-4DF9-919A-2D0FA1C0D736}"/>
            </a:ext>
          </a:extLst>
        </xdr:cNvPr>
        <xdr:cNvSpPr>
          <a:spLocks/>
        </xdr:cNvSpPr>
      </xdr:nvSpPr>
      <xdr:spPr bwMode="auto">
        <a:xfrm>
          <a:off x="908050" y="13760450"/>
          <a:ext cx="241300" cy="317500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123825</xdr:colOff>
      <xdr:row>37</xdr:row>
      <xdr:rowOff>127000</xdr:rowOff>
    </xdr:from>
    <xdr:ext cx="232243" cy="170560"/>
    <xdr:sp macro="" textlink="">
      <xdr:nvSpPr>
        <xdr:cNvPr id="17457" name="Text Box 49">
          <a:extLst>
            <a:ext uri="{FF2B5EF4-FFF2-40B4-BE49-F238E27FC236}">
              <a16:creationId xmlns:a16="http://schemas.microsoft.com/office/drawing/2014/main" id="{53B83811-C10B-41EF-A4A6-F9F3AB8C90A1}"/>
            </a:ext>
          </a:extLst>
        </xdr:cNvPr>
        <xdr:cNvSpPr txBox="1">
          <a:spLocks noChangeArrowheads="1"/>
        </xdr:cNvSpPr>
      </xdr:nvSpPr>
      <xdr:spPr bwMode="auto">
        <a:xfrm>
          <a:off x="123825" y="6282267"/>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0</xdr:colOff>
      <xdr:row>94</xdr:row>
      <xdr:rowOff>0</xdr:rowOff>
    </xdr:from>
    <xdr:ext cx="481542" cy="318036"/>
    <xdr:sp macro="" textlink="">
      <xdr:nvSpPr>
        <xdr:cNvPr id="17458" name="Text Box 50">
          <a:extLst>
            <a:ext uri="{FF2B5EF4-FFF2-40B4-BE49-F238E27FC236}">
              <a16:creationId xmlns:a16="http://schemas.microsoft.com/office/drawing/2014/main" id="{5380DC7C-0207-487D-8EC5-99971ED8743D}"/>
            </a:ext>
          </a:extLst>
        </xdr:cNvPr>
        <xdr:cNvSpPr txBox="1">
          <a:spLocks noChangeArrowheads="1"/>
        </xdr:cNvSpPr>
      </xdr:nvSpPr>
      <xdr:spPr bwMode="auto">
        <a:xfrm>
          <a:off x="0" y="15337367"/>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4D6C86E1-A76B-45C7-974C-1B60E6C353CB}"/>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AC7CAC05-7E14-4A63-BFB0-802528A4C377}"/>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368300</xdr:colOff>
      <xdr:row>70</xdr:row>
      <xdr:rowOff>28575</xdr:rowOff>
    </xdr:from>
    <xdr:ext cx="454602" cy="337098"/>
    <xdr:sp macro="" textlink="">
      <xdr:nvSpPr>
        <xdr:cNvPr id="17461" name="Text Box 53">
          <a:extLst>
            <a:ext uri="{FF2B5EF4-FFF2-40B4-BE49-F238E27FC236}">
              <a16:creationId xmlns:a16="http://schemas.microsoft.com/office/drawing/2014/main" id="{3AF3DA00-CFD9-4221-AC47-C7D06E345DE4}"/>
            </a:ext>
          </a:extLst>
        </xdr:cNvPr>
        <xdr:cNvSpPr txBox="1">
          <a:spLocks noChangeArrowheads="1"/>
        </xdr:cNvSpPr>
      </xdr:nvSpPr>
      <xdr:spPr bwMode="auto">
        <a:xfrm>
          <a:off x="361950" y="11544300"/>
          <a:ext cx="476250" cy="371475"/>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0</xdr:colOff>
      <xdr:row>5</xdr:row>
      <xdr:rowOff>152400</xdr:rowOff>
    </xdr:from>
    <xdr:to>
      <xdr:col>12</xdr:col>
      <xdr:colOff>12700</xdr:colOff>
      <xdr:row>9</xdr:row>
      <xdr:rowOff>0</xdr:rowOff>
    </xdr:to>
    <xdr:sp macro="" textlink="">
      <xdr:nvSpPr>
        <xdr:cNvPr id="554292" name="Rectangle 55">
          <a:extLst>
            <a:ext uri="{FF2B5EF4-FFF2-40B4-BE49-F238E27FC236}">
              <a16:creationId xmlns:a16="http://schemas.microsoft.com/office/drawing/2014/main" id="{8E3A5A48-5F7F-4408-9F84-7F62AF780205}"/>
            </a:ext>
          </a:extLst>
        </xdr:cNvPr>
        <xdr:cNvSpPr>
          <a:spLocks noChangeArrowheads="1"/>
        </xdr:cNvSpPr>
      </xdr:nvSpPr>
      <xdr:spPr bwMode="auto">
        <a:xfrm>
          <a:off x="6362700" y="1079500"/>
          <a:ext cx="1416050" cy="514350"/>
        </a:xfrm>
        <a:prstGeom prst="rect">
          <a:avLst/>
        </a:prstGeom>
        <a:solidFill>
          <a:srgbClr val="99CCFF"/>
        </a:solidFill>
        <a:ln w="19050">
          <a:solidFill>
            <a:srgbClr val="000000"/>
          </a:solidFill>
          <a:miter lim="800000"/>
          <a:headEnd/>
          <a:tailEnd/>
        </a:ln>
      </xdr:spPr>
    </xdr:sp>
    <xdr:clientData/>
  </xdr:twoCellAnchor>
  <xdr:twoCellAnchor>
    <xdr:from>
      <xdr:col>10</xdr:col>
      <xdr:colOff>231775</xdr:colOff>
      <xdr:row>11</xdr:row>
      <xdr:rowOff>9525</xdr:rowOff>
    </xdr:from>
    <xdr:to>
      <xdr:col>11</xdr:col>
      <xdr:colOff>485823</xdr:colOff>
      <xdr:row>16</xdr:row>
      <xdr:rowOff>6400</xdr:rowOff>
    </xdr:to>
    <xdr:sp macro="" textlink="">
      <xdr:nvSpPr>
        <xdr:cNvPr id="17464" name="AutoShape 56">
          <a:extLst>
            <a:ext uri="{FF2B5EF4-FFF2-40B4-BE49-F238E27FC236}">
              <a16:creationId xmlns:a16="http://schemas.microsoft.com/office/drawing/2014/main" id="{40EBE0A1-38C3-43FC-946D-FDFF41130649}"/>
            </a:ext>
          </a:extLst>
        </xdr:cNvPr>
        <xdr:cNvSpPr>
          <a:spLocks noChangeArrowheads="1"/>
        </xdr:cNvSpPr>
      </xdr:nvSpPr>
      <xdr:spPr bwMode="auto">
        <a:xfrm rot="10800000">
          <a:off x="6324600" y="1933575"/>
          <a:ext cx="952500" cy="8572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9525</xdr:colOff>
      <xdr:row>23</xdr:row>
      <xdr:rowOff>0</xdr:rowOff>
    </xdr:from>
    <xdr:to>
      <xdr:col>11</xdr:col>
      <xdr:colOff>626005</xdr:colOff>
      <xdr:row>26</xdr:row>
      <xdr:rowOff>88975</xdr:rowOff>
    </xdr:to>
    <xdr:sp macro="" textlink="">
      <xdr:nvSpPr>
        <xdr:cNvPr id="17465" name="Rectangle 57">
          <a:extLst>
            <a:ext uri="{FF2B5EF4-FFF2-40B4-BE49-F238E27FC236}">
              <a16:creationId xmlns:a16="http://schemas.microsoft.com/office/drawing/2014/main" id="{6F24C0AF-5F3C-405B-B1AB-3091E5F167B3}"/>
            </a:ext>
          </a:extLst>
        </xdr:cNvPr>
        <xdr:cNvSpPr>
          <a:spLocks noChangeArrowheads="1"/>
        </xdr:cNvSpPr>
      </xdr:nvSpPr>
      <xdr:spPr bwMode="auto">
        <a:xfrm>
          <a:off x="6115050" y="3905250"/>
          <a:ext cx="1295400" cy="5810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19050</xdr:colOff>
      <xdr:row>18</xdr:row>
      <xdr:rowOff>9525</xdr:rowOff>
    </xdr:from>
    <xdr:to>
      <xdr:col>12</xdr:col>
      <xdr:colOff>0</xdr:colOff>
      <xdr:row>21</xdr:row>
      <xdr:rowOff>6436</xdr:rowOff>
    </xdr:to>
    <xdr:sp macro="" textlink="">
      <xdr:nvSpPr>
        <xdr:cNvPr id="17466" name="Rectangle 58">
          <a:extLst>
            <a:ext uri="{FF2B5EF4-FFF2-40B4-BE49-F238E27FC236}">
              <a16:creationId xmlns:a16="http://schemas.microsoft.com/office/drawing/2014/main" id="{2C1F9189-9350-481A-B95C-A9F7BFB9A925}"/>
            </a:ext>
          </a:extLst>
        </xdr:cNvPr>
        <xdr:cNvSpPr>
          <a:spLocks noChangeArrowheads="1"/>
        </xdr:cNvSpPr>
      </xdr:nvSpPr>
      <xdr:spPr bwMode="auto">
        <a:xfrm>
          <a:off x="6124575" y="3105150"/>
          <a:ext cx="13335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21</xdr:row>
      <xdr:rowOff>25400</xdr:rowOff>
    </xdr:from>
    <xdr:to>
      <xdr:col>11</xdr:col>
      <xdr:colOff>0</xdr:colOff>
      <xdr:row>23</xdr:row>
      <xdr:rowOff>12700</xdr:rowOff>
    </xdr:to>
    <xdr:sp macro="" textlink="">
      <xdr:nvSpPr>
        <xdr:cNvPr id="554296" name="Line 59">
          <a:extLst>
            <a:ext uri="{FF2B5EF4-FFF2-40B4-BE49-F238E27FC236}">
              <a16:creationId xmlns:a16="http://schemas.microsoft.com/office/drawing/2014/main" id="{0B078AF4-19FF-4390-B49D-A9141559550F}"/>
            </a:ext>
          </a:extLst>
        </xdr:cNvPr>
        <xdr:cNvSpPr>
          <a:spLocks noChangeShapeType="1"/>
        </xdr:cNvSpPr>
      </xdr:nvSpPr>
      <xdr:spPr bwMode="auto">
        <a:xfrm>
          <a:off x="7092950" y="35750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25400</xdr:rowOff>
    </xdr:from>
    <xdr:to>
      <xdr:col>11</xdr:col>
      <xdr:colOff>0</xdr:colOff>
      <xdr:row>18</xdr:row>
      <xdr:rowOff>12700</xdr:rowOff>
    </xdr:to>
    <xdr:sp macro="" textlink="">
      <xdr:nvSpPr>
        <xdr:cNvPr id="554297" name="Line 60">
          <a:extLst>
            <a:ext uri="{FF2B5EF4-FFF2-40B4-BE49-F238E27FC236}">
              <a16:creationId xmlns:a16="http://schemas.microsoft.com/office/drawing/2014/main" id="{995524C3-FAA6-4DAB-AD3C-0C704C520A55}"/>
            </a:ext>
          </a:extLst>
        </xdr:cNvPr>
        <xdr:cNvSpPr>
          <a:spLocks noChangeShapeType="1"/>
        </xdr:cNvSpPr>
      </xdr:nvSpPr>
      <xdr:spPr bwMode="auto">
        <a:xfrm>
          <a:off x="7092950" y="27813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9</xdr:row>
      <xdr:rowOff>0</xdr:rowOff>
    </xdr:from>
    <xdr:to>
      <xdr:col>11</xdr:col>
      <xdr:colOff>0</xdr:colOff>
      <xdr:row>11</xdr:row>
      <xdr:rowOff>0</xdr:rowOff>
    </xdr:to>
    <xdr:sp macro="" textlink="">
      <xdr:nvSpPr>
        <xdr:cNvPr id="554298" name="Line 61">
          <a:extLst>
            <a:ext uri="{FF2B5EF4-FFF2-40B4-BE49-F238E27FC236}">
              <a16:creationId xmlns:a16="http://schemas.microsoft.com/office/drawing/2014/main" id="{F469760A-D388-47D3-8AB7-7AC5D8E87A33}"/>
            </a:ext>
          </a:extLst>
        </xdr:cNvPr>
        <xdr:cNvSpPr>
          <a:spLocks noChangeShapeType="1"/>
        </xdr:cNvSpPr>
      </xdr:nvSpPr>
      <xdr:spPr bwMode="auto">
        <a:xfrm>
          <a:off x="7092950" y="159385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49818</xdr:colOff>
      <xdr:row>6</xdr:row>
      <xdr:rowOff>0</xdr:rowOff>
    </xdr:from>
    <xdr:ext cx="1209405" cy="484748"/>
    <xdr:sp macro="" textlink="">
      <xdr:nvSpPr>
        <xdr:cNvPr id="17470" name="Text Box 62">
          <a:extLst>
            <a:ext uri="{FF2B5EF4-FFF2-40B4-BE49-F238E27FC236}">
              <a16:creationId xmlns:a16="http://schemas.microsoft.com/office/drawing/2014/main" id="{BD5319EF-B0C7-42CB-A613-563908DB6F19}"/>
            </a:ext>
          </a:extLst>
        </xdr:cNvPr>
        <xdr:cNvSpPr txBox="1">
          <a:spLocks noChangeArrowheads="1"/>
        </xdr:cNvSpPr>
      </xdr:nvSpPr>
      <xdr:spPr bwMode="auto">
        <a:xfrm>
          <a:off x="7003068" y="1066800"/>
          <a:ext cx="1155654"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oneCellAnchor>
  <xdr:twoCellAnchor>
    <xdr:from>
      <xdr:col>11</xdr:col>
      <xdr:colOff>0</xdr:colOff>
      <xdr:row>5</xdr:row>
      <xdr:rowOff>0</xdr:rowOff>
    </xdr:from>
    <xdr:to>
      <xdr:col>11</xdr:col>
      <xdr:colOff>0</xdr:colOff>
      <xdr:row>6</xdr:row>
      <xdr:rowOff>0</xdr:rowOff>
    </xdr:to>
    <xdr:sp macro="" textlink="">
      <xdr:nvSpPr>
        <xdr:cNvPr id="554300" name="Line 63">
          <a:extLst>
            <a:ext uri="{FF2B5EF4-FFF2-40B4-BE49-F238E27FC236}">
              <a16:creationId xmlns:a16="http://schemas.microsoft.com/office/drawing/2014/main" id="{1530558A-2692-44BD-BDDE-DF1B2C622B13}"/>
            </a:ext>
          </a:extLst>
        </xdr:cNvPr>
        <xdr:cNvSpPr>
          <a:spLocks noChangeShapeType="1"/>
        </xdr:cNvSpPr>
      </xdr:nvSpPr>
      <xdr:spPr bwMode="auto">
        <a:xfrm>
          <a:off x="7092950" y="927100"/>
          <a:ext cx="0" cy="1651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323850</xdr:colOff>
      <xdr:row>31</xdr:row>
      <xdr:rowOff>107950</xdr:rowOff>
    </xdr:from>
    <xdr:to>
      <xdr:col>11</xdr:col>
      <xdr:colOff>406400</xdr:colOff>
      <xdr:row>36</xdr:row>
      <xdr:rowOff>0</xdr:rowOff>
    </xdr:to>
    <xdr:sp macro="" textlink="">
      <xdr:nvSpPr>
        <xdr:cNvPr id="554301" name="AutoShape 65">
          <a:extLst>
            <a:ext uri="{FF2B5EF4-FFF2-40B4-BE49-F238E27FC236}">
              <a16:creationId xmlns:a16="http://schemas.microsoft.com/office/drawing/2014/main" id="{81632E13-58BE-4D82-B66D-455E986BBEE0}"/>
            </a:ext>
          </a:extLst>
        </xdr:cNvPr>
        <xdr:cNvSpPr>
          <a:spLocks noChangeArrowheads="1"/>
        </xdr:cNvSpPr>
      </xdr:nvSpPr>
      <xdr:spPr bwMode="auto">
        <a:xfrm>
          <a:off x="6686550" y="524510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26</xdr:row>
      <xdr:rowOff>82550</xdr:rowOff>
    </xdr:from>
    <xdr:to>
      <xdr:col>11</xdr:col>
      <xdr:colOff>0</xdr:colOff>
      <xdr:row>36</xdr:row>
      <xdr:rowOff>0</xdr:rowOff>
    </xdr:to>
    <xdr:sp macro="" textlink="">
      <xdr:nvSpPr>
        <xdr:cNvPr id="554302" name="Line 66">
          <a:extLst>
            <a:ext uri="{FF2B5EF4-FFF2-40B4-BE49-F238E27FC236}">
              <a16:creationId xmlns:a16="http://schemas.microsoft.com/office/drawing/2014/main" id="{9EBF7797-B92B-4846-B716-8FE5E664FD0C}"/>
            </a:ext>
          </a:extLst>
        </xdr:cNvPr>
        <xdr:cNvSpPr>
          <a:spLocks noChangeShapeType="1"/>
        </xdr:cNvSpPr>
      </xdr:nvSpPr>
      <xdr:spPr bwMode="auto">
        <a:xfrm rot="10800000">
          <a:off x="7092950" y="4425950"/>
          <a:ext cx="0" cy="1511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323850</xdr:colOff>
      <xdr:row>46</xdr:row>
      <xdr:rowOff>0</xdr:rowOff>
    </xdr:from>
    <xdr:to>
      <xdr:col>11</xdr:col>
      <xdr:colOff>406400</xdr:colOff>
      <xdr:row>50</xdr:row>
      <xdr:rowOff>50800</xdr:rowOff>
    </xdr:to>
    <xdr:sp macro="" textlink="">
      <xdr:nvSpPr>
        <xdr:cNvPr id="554303" name="AutoShape 67">
          <a:extLst>
            <a:ext uri="{FF2B5EF4-FFF2-40B4-BE49-F238E27FC236}">
              <a16:creationId xmlns:a16="http://schemas.microsoft.com/office/drawing/2014/main" id="{A59300DB-BDE1-48BC-BE59-480B58D05D71}"/>
            </a:ext>
          </a:extLst>
        </xdr:cNvPr>
        <xdr:cNvSpPr>
          <a:spLocks noChangeArrowheads="1"/>
        </xdr:cNvSpPr>
      </xdr:nvSpPr>
      <xdr:spPr bwMode="auto">
        <a:xfrm rot="10800000">
          <a:off x="6686550" y="752475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46</xdr:row>
      <xdr:rowOff>0</xdr:rowOff>
    </xdr:from>
    <xdr:to>
      <xdr:col>11</xdr:col>
      <xdr:colOff>0</xdr:colOff>
      <xdr:row>55</xdr:row>
      <xdr:rowOff>25400</xdr:rowOff>
    </xdr:to>
    <xdr:sp macro="" textlink="">
      <xdr:nvSpPr>
        <xdr:cNvPr id="554304" name="Line 68">
          <a:extLst>
            <a:ext uri="{FF2B5EF4-FFF2-40B4-BE49-F238E27FC236}">
              <a16:creationId xmlns:a16="http://schemas.microsoft.com/office/drawing/2014/main" id="{FE028870-B11A-4891-AF6F-8A7451884FAB}"/>
            </a:ext>
          </a:extLst>
        </xdr:cNvPr>
        <xdr:cNvSpPr>
          <a:spLocks noChangeShapeType="1"/>
        </xdr:cNvSpPr>
      </xdr:nvSpPr>
      <xdr:spPr bwMode="auto">
        <a:xfrm>
          <a:off x="7092950" y="75247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55</xdr:row>
      <xdr:rowOff>0</xdr:rowOff>
    </xdr:from>
    <xdr:to>
      <xdr:col>12</xdr:col>
      <xdr:colOff>9525</xdr:colOff>
      <xdr:row>58</xdr:row>
      <xdr:rowOff>9525</xdr:rowOff>
    </xdr:to>
    <xdr:sp macro="" textlink="">
      <xdr:nvSpPr>
        <xdr:cNvPr id="17477" name="Rectangle 69">
          <a:extLst>
            <a:ext uri="{FF2B5EF4-FFF2-40B4-BE49-F238E27FC236}">
              <a16:creationId xmlns:a16="http://schemas.microsoft.com/office/drawing/2014/main" id="{97052E57-4C8E-48D6-A7EA-A97DDD517F04}"/>
            </a:ext>
          </a:extLst>
        </xdr:cNvPr>
        <xdr:cNvSpPr>
          <a:spLocks noChangeArrowheads="1"/>
        </xdr:cNvSpPr>
      </xdr:nvSpPr>
      <xdr:spPr bwMode="auto">
        <a:xfrm>
          <a:off x="6115050" y="9086850"/>
          <a:ext cx="13525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9525</xdr:colOff>
      <xdr:row>60</xdr:row>
      <xdr:rowOff>9525</xdr:rowOff>
    </xdr:from>
    <xdr:to>
      <xdr:col>11</xdr:col>
      <xdr:colOff>626005</xdr:colOff>
      <xdr:row>63</xdr:row>
      <xdr:rowOff>6436</xdr:rowOff>
    </xdr:to>
    <xdr:sp macro="" textlink="">
      <xdr:nvSpPr>
        <xdr:cNvPr id="17478" name="Rectangle 70">
          <a:extLst>
            <a:ext uri="{FF2B5EF4-FFF2-40B4-BE49-F238E27FC236}">
              <a16:creationId xmlns:a16="http://schemas.microsoft.com/office/drawing/2014/main" id="{86B814A7-3860-45C5-882C-1B103EAD0602}"/>
            </a:ext>
          </a:extLst>
        </xdr:cNvPr>
        <xdr:cNvSpPr>
          <a:spLocks noChangeArrowheads="1"/>
        </xdr:cNvSpPr>
      </xdr:nvSpPr>
      <xdr:spPr bwMode="auto">
        <a:xfrm>
          <a:off x="6115050" y="9906000"/>
          <a:ext cx="12954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58</xdr:row>
      <xdr:rowOff>12700</xdr:rowOff>
    </xdr:from>
    <xdr:to>
      <xdr:col>11</xdr:col>
      <xdr:colOff>0</xdr:colOff>
      <xdr:row>60</xdr:row>
      <xdr:rowOff>12700</xdr:rowOff>
    </xdr:to>
    <xdr:sp macro="" textlink="">
      <xdr:nvSpPr>
        <xdr:cNvPr id="554307" name="Line 71">
          <a:extLst>
            <a:ext uri="{FF2B5EF4-FFF2-40B4-BE49-F238E27FC236}">
              <a16:creationId xmlns:a16="http://schemas.microsoft.com/office/drawing/2014/main" id="{D37AF84F-9D60-4FA9-889D-E30F7961E54F}"/>
            </a:ext>
          </a:extLst>
        </xdr:cNvPr>
        <xdr:cNvSpPr>
          <a:spLocks noChangeShapeType="1"/>
        </xdr:cNvSpPr>
      </xdr:nvSpPr>
      <xdr:spPr bwMode="auto">
        <a:xfrm>
          <a:off x="7092950" y="94488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63</xdr:row>
      <xdr:rowOff>12700</xdr:rowOff>
    </xdr:from>
    <xdr:to>
      <xdr:col>11</xdr:col>
      <xdr:colOff>0</xdr:colOff>
      <xdr:row>66</xdr:row>
      <xdr:rowOff>0</xdr:rowOff>
    </xdr:to>
    <xdr:sp macro="" textlink="">
      <xdr:nvSpPr>
        <xdr:cNvPr id="554308" name="Line 72">
          <a:extLst>
            <a:ext uri="{FF2B5EF4-FFF2-40B4-BE49-F238E27FC236}">
              <a16:creationId xmlns:a16="http://schemas.microsoft.com/office/drawing/2014/main" id="{C1D7DC6E-517E-4948-B828-402578D45A75}"/>
            </a:ext>
          </a:extLst>
        </xdr:cNvPr>
        <xdr:cNvSpPr>
          <a:spLocks noChangeShapeType="1"/>
        </xdr:cNvSpPr>
      </xdr:nvSpPr>
      <xdr:spPr bwMode="auto">
        <a:xfrm flipH="1">
          <a:off x="7092950" y="10242550"/>
          <a:ext cx="0" cy="469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231775</xdr:colOff>
      <xdr:row>66</xdr:row>
      <xdr:rowOff>0</xdr:rowOff>
    </xdr:from>
    <xdr:to>
      <xdr:col>11</xdr:col>
      <xdr:colOff>485823</xdr:colOff>
      <xdr:row>70</xdr:row>
      <xdr:rowOff>146016</xdr:rowOff>
    </xdr:to>
    <xdr:sp macro="" textlink="">
      <xdr:nvSpPr>
        <xdr:cNvPr id="17481" name="AutoShape 73">
          <a:extLst>
            <a:ext uri="{FF2B5EF4-FFF2-40B4-BE49-F238E27FC236}">
              <a16:creationId xmlns:a16="http://schemas.microsoft.com/office/drawing/2014/main" id="{0D0044F8-6679-4BFD-8047-60F627D9AEEB}"/>
            </a:ext>
          </a:extLst>
        </xdr:cNvPr>
        <xdr:cNvSpPr>
          <a:spLocks noChangeArrowheads="1"/>
        </xdr:cNvSpPr>
      </xdr:nvSpPr>
      <xdr:spPr bwMode="auto">
        <a:xfrm rot="10800000">
          <a:off x="6324600" y="10868025"/>
          <a:ext cx="952500"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673100</xdr:colOff>
      <xdr:row>36</xdr:row>
      <xdr:rowOff>133350</xdr:rowOff>
    </xdr:from>
    <xdr:to>
      <xdr:col>11</xdr:col>
      <xdr:colOff>57150</xdr:colOff>
      <xdr:row>45</xdr:row>
      <xdr:rowOff>50800</xdr:rowOff>
    </xdr:to>
    <xdr:sp macro="" textlink="">
      <xdr:nvSpPr>
        <xdr:cNvPr id="554310" name="AutoShape 74">
          <a:extLst>
            <a:ext uri="{FF2B5EF4-FFF2-40B4-BE49-F238E27FC236}">
              <a16:creationId xmlns:a16="http://schemas.microsoft.com/office/drawing/2014/main" id="{7377FF33-4373-410D-AF5A-D47951BD4D34}"/>
            </a:ext>
          </a:extLst>
        </xdr:cNvPr>
        <xdr:cNvSpPr>
          <a:spLocks noChangeArrowheads="1"/>
        </xdr:cNvSpPr>
      </xdr:nvSpPr>
      <xdr:spPr bwMode="auto">
        <a:xfrm rot="10800000">
          <a:off x="7035800" y="6070600"/>
          <a:ext cx="114300" cy="1346200"/>
        </a:xfrm>
        <a:prstGeom prst="upArrow">
          <a:avLst>
            <a:gd name="adj1" fmla="val 50000"/>
            <a:gd name="adj2" fmla="val 294444"/>
          </a:avLst>
        </a:prstGeom>
        <a:solidFill>
          <a:srgbClr val="FF0000"/>
        </a:solidFill>
        <a:ln w="9525">
          <a:solidFill>
            <a:srgbClr val="FF0000"/>
          </a:solidFill>
          <a:miter lim="800000"/>
          <a:headEnd/>
          <a:tailEnd/>
        </a:ln>
      </xdr:spPr>
    </xdr:sp>
    <xdr:clientData/>
  </xdr:twoCellAnchor>
  <xdr:twoCellAnchor>
    <xdr:from>
      <xdr:col>10</xdr:col>
      <xdr:colOff>520700</xdr:colOff>
      <xdr:row>40</xdr:row>
      <xdr:rowOff>120650</xdr:rowOff>
    </xdr:from>
    <xdr:to>
      <xdr:col>11</xdr:col>
      <xdr:colOff>196850</xdr:colOff>
      <xdr:row>41</xdr:row>
      <xdr:rowOff>107950</xdr:rowOff>
    </xdr:to>
    <xdr:sp macro="" textlink="">
      <xdr:nvSpPr>
        <xdr:cNvPr id="554311" name="AutoShape 75">
          <a:extLst>
            <a:ext uri="{FF2B5EF4-FFF2-40B4-BE49-F238E27FC236}">
              <a16:creationId xmlns:a16="http://schemas.microsoft.com/office/drawing/2014/main" id="{66274F3C-9B57-469B-81F2-1C17752794FB}"/>
            </a:ext>
          </a:extLst>
        </xdr:cNvPr>
        <xdr:cNvSpPr>
          <a:spLocks noChangeArrowheads="1"/>
        </xdr:cNvSpPr>
      </xdr:nvSpPr>
      <xdr:spPr bwMode="auto">
        <a:xfrm rot="-10372499">
          <a:off x="6883400" y="6692900"/>
          <a:ext cx="4064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10</xdr:col>
      <xdr:colOff>450850</xdr:colOff>
      <xdr:row>40</xdr:row>
      <xdr:rowOff>107950</xdr:rowOff>
    </xdr:from>
    <xdr:to>
      <xdr:col>10</xdr:col>
      <xdr:colOff>533400</xdr:colOff>
      <xdr:row>41</xdr:row>
      <xdr:rowOff>82550</xdr:rowOff>
    </xdr:to>
    <xdr:sp macro="" textlink="">
      <xdr:nvSpPr>
        <xdr:cNvPr id="554312" name="Rectangle 76">
          <a:extLst>
            <a:ext uri="{FF2B5EF4-FFF2-40B4-BE49-F238E27FC236}">
              <a16:creationId xmlns:a16="http://schemas.microsoft.com/office/drawing/2014/main" id="{EC2E439C-C872-442E-87D0-2D4F33B5CD7E}"/>
            </a:ext>
          </a:extLst>
        </xdr:cNvPr>
        <xdr:cNvSpPr>
          <a:spLocks noChangeArrowheads="1"/>
        </xdr:cNvSpPr>
      </xdr:nvSpPr>
      <xdr:spPr bwMode="auto">
        <a:xfrm rot="-10232260">
          <a:off x="6813550" y="6680200"/>
          <a:ext cx="82550" cy="133350"/>
        </a:xfrm>
        <a:prstGeom prst="rect">
          <a:avLst/>
        </a:prstGeom>
        <a:solidFill>
          <a:srgbClr val="C0C0C0"/>
        </a:solidFill>
        <a:ln w="9525">
          <a:solidFill>
            <a:srgbClr val="C0C0C0"/>
          </a:solidFill>
          <a:miter lim="800000"/>
          <a:headEnd/>
          <a:tailEnd/>
        </a:ln>
      </xdr:spPr>
    </xdr:sp>
    <xdr:clientData/>
  </xdr:twoCellAnchor>
  <xdr:twoCellAnchor>
    <xdr:from>
      <xdr:col>11</xdr:col>
      <xdr:colOff>171450</xdr:colOff>
      <xdr:row>40</xdr:row>
      <xdr:rowOff>146050</xdr:rowOff>
    </xdr:from>
    <xdr:to>
      <xdr:col>11</xdr:col>
      <xdr:colOff>241300</xdr:colOff>
      <xdr:row>41</xdr:row>
      <xdr:rowOff>107950</xdr:rowOff>
    </xdr:to>
    <xdr:sp macro="" textlink="">
      <xdr:nvSpPr>
        <xdr:cNvPr id="554313" name="Rectangle 77">
          <a:extLst>
            <a:ext uri="{FF2B5EF4-FFF2-40B4-BE49-F238E27FC236}">
              <a16:creationId xmlns:a16="http://schemas.microsoft.com/office/drawing/2014/main" id="{C6D49BD5-C2F3-4481-B876-B0F334F846DC}"/>
            </a:ext>
          </a:extLst>
        </xdr:cNvPr>
        <xdr:cNvSpPr>
          <a:spLocks noChangeArrowheads="1"/>
        </xdr:cNvSpPr>
      </xdr:nvSpPr>
      <xdr:spPr bwMode="auto">
        <a:xfrm rot="-10232260">
          <a:off x="7264400" y="6718300"/>
          <a:ext cx="69850" cy="120650"/>
        </a:xfrm>
        <a:prstGeom prst="rect">
          <a:avLst/>
        </a:prstGeom>
        <a:solidFill>
          <a:srgbClr val="C0C0C0"/>
        </a:solidFill>
        <a:ln w="9525">
          <a:solidFill>
            <a:srgbClr val="C0C0C0"/>
          </a:solidFill>
          <a:miter lim="800000"/>
          <a:headEnd/>
          <a:tailEnd/>
        </a:ln>
      </xdr:spPr>
    </xdr:sp>
    <xdr:clientData/>
  </xdr:twoCellAnchor>
  <xdr:twoCellAnchor>
    <xdr:from>
      <xdr:col>10</xdr:col>
      <xdr:colOff>349250</xdr:colOff>
      <xdr:row>73</xdr:row>
      <xdr:rowOff>12700</xdr:rowOff>
    </xdr:from>
    <xdr:to>
      <xdr:col>11</xdr:col>
      <xdr:colOff>381000</xdr:colOff>
      <xdr:row>76</xdr:row>
      <xdr:rowOff>120650</xdr:rowOff>
    </xdr:to>
    <xdr:sp macro="" textlink="">
      <xdr:nvSpPr>
        <xdr:cNvPr id="554314" name="AutoShape 78">
          <a:extLst>
            <a:ext uri="{FF2B5EF4-FFF2-40B4-BE49-F238E27FC236}">
              <a16:creationId xmlns:a16="http://schemas.microsoft.com/office/drawing/2014/main" id="{B63B4182-5C93-4B9B-84E4-25141984B61E}"/>
            </a:ext>
          </a:extLst>
        </xdr:cNvPr>
        <xdr:cNvSpPr>
          <a:spLocks noChangeArrowheads="1"/>
        </xdr:cNvSpPr>
      </xdr:nvSpPr>
      <xdr:spPr bwMode="auto">
        <a:xfrm rot="10800000">
          <a:off x="6711950" y="11836400"/>
          <a:ext cx="762000" cy="5842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10</xdr:col>
      <xdr:colOff>9525</xdr:colOff>
      <xdr:row>80</xdr:row>
      <xdr:rowOff>9525</xdr:rowOff>
    </xdr:from>
    <xdr:to>
      <xdr:col>12</xdr:col>
      <xdr:colOff>0</xdr:colOff>
      <xdr:row>84</xdr:row>
      <xdr:rowOff>9525</xdr:rowOff>
    </xdr:to>
    <xdr:sp macro="" textlink="">
      <xdr:nvSpPr>
        <xdr:cNvPr id="17487" name="Rectangle 79">
          <a:extLst>
            <a:ext uri="{FF2B5EF4-FFF2-40B4-BE49-F238E27FC236}">
              <a16:creationId xmlns:a16="http://schemas.microsoft.com/office/drawing/2014/main" id="{B1B24F0A-A90C-4AE8-9818-2C88DD34819F}"/>
            </a:ext>
          </a:extLst>
        </xdr:cNvPr>
        <xdr:cNvSpPr>
          <a:spLocks noChangeArrowheads="1"/>
        </xdr:cNvSpPr>
      </xdr:nvSpPr>
      <xdr:spPr bwMode="auto">
        <a:xfrm rot="10800000">
          <a:off x="6115050" y="13144500"/>
          <a:ext cx="134302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10</xdr:col>
      <xdr:colOff>717550</xdr:colOff>
      <xdr:row>76</xdr:row>
      <xdr:rowOff>146050</xdr:rowOff>
    </xdr:from>
    <xdr:to>
      <xdr:col>11</xdr:col>
      <xdr:colOff>0</xdr:colOff>
      <xdr:row>80</xdr:row>
      <xdr:rowOff>0</xdr:rowOff>
    </xdr:to>
    <xdr:sp macro="" textlink="">
      <xdr:nvSpPr>
        <xdr:cNvPr id="554316" name="Line 80">
          <a:extLst>
            <a:ext uri="{FF2B5EF4-FFF2-40B4-BE49-F238E27FC236}">
              <a16:creationId xmlns:a16="http://schemas.microsoft.com/office/drawing/2014/main" id="{2AAF85BD-AB2C-49D0-B881-5F2F7ADCE3E0}"/>
            </a:ext>
          </a:extLst>
        </xdr:cNvPr>
        <xdr:cNvSpPr>
          <a:spLocks noChangeShapeType="1"/>
        </xdr:cNvSpPr>
      </xdr:nvSpPr>
      <xdr:spPr bwMode="auto">
        <a:xfrm rot="10800000" flipH="1">
          <a:off x="7080250" y="12446000"/>
          <a:ext cx="12700" cy="495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84</xdr:row>
      <xdr:rowOff>12700</xdr:rowOff>
    </xdr:from>
    <xdr:to>
      <xdr:col>11</xdr:col>
      <xdr:colOff>0</xdr:colOff>
      <xdr:row>86</xdr:row>
      <xdr:rowOff>38100</xdr:rowOff>
    </xdr:to>
    <xdr:sp macro="" textlink="">
      <xdr:nvSpPr>
        <xdr:cNvPr id="554317" name="Line 81">
          <a:extLst>
            <a:ext uri="{FF2B5EF4-FFF2-40B4-BE49-F238E27FC236}">
              <a16:creationId xmlns:a16="http://schemas.microsoft.com/office/drawing/2014/main" id="{0F3A64BC-0B74-4B88-8C15-2DB204DC6AB1}"/>
            </a:ext>
          </a:extLst>
        </xdr:cNvPr>
        <xdr:cNvSpPr>
          <a:spLocks noChangeShapeType="1"/>
        </xdr:cNvSpPr>
      </xdr:nvSpPr>
      <xdr:spPr bwMode="auto">
        <a:xfrm rot="10800000">
          <a:off x="7092950" y="1358900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403225</xdr:colOff>
      <xdr:row>73</xdr:row>
      <xdr:rowOff>0</xdr:rowOff>
    </xdr:from>
    <xdr:to>
      <xdr:col>11</xdr:col>
      <xdr:colOff>320633</xdr:colOff>
      <xdr:row>75</xdr:row>
      <xdr:rowOff>38100</xdr:rowOff>
    </xdr:to>
    <xdr:sp macro="" textlink="">
      <xdr:nvSpPr>
        <xdr:cNvPr id="17490" name="Text Box 82">
          <a:extLst>
            <a:ext uri="{FF2B5EF4-FFF2-40B4-BE49-F238E27FC236}">
              <a16:creationId xmlns:a16="http://schemas.microsoft.com/office/drawing/2014/main" id="{D4A37573-39F3-4928-AE4F-AE2DE16E71B7}"/>
            </a:ext>
          </a:extLst>
        </xdr:cNvPr>
        <xdr:cNvSpPr txBox="1">
          <a:spLocks noChangeArrowheads="1"/>
        </xdr:cNvSpPr>
      </xdr:nvSpPr>
      <xdr:spPr bwMode="auto">
        <a:xfrm>
          <a:off x="6496050" y="12001500"/>
          <a:ext cx="628650" cy="36195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a:t>
          </a:r>
        </a:p>
      </xdr:txBody>
    </xdr:sp>
    <xdr:clientData/>
  </xdr:twoCellAnchor>
  <xdr:twoCellAnchor>
    <xdr:from>
      <xdr:col>11</xdr:col>
      <xdr:colOff>0</xdr:colOff>
      <xdr:row>70</xdr:row>
      <xdr:rowOff>146050</xdr:rowOff>
    </xdr:from>
    <xdr:to>
      <xdr:col>11</xdr:col>
      <xdr:colOff>0</xdr:colOff>
      <xdr:row>73</xdr:row>
      <xdr:rowOff>0</xdr:rowOff>
    </xdr:to>
    <xdr:sp macro="" textlink="">
      <xdr:nvSpPr>
        <xdr:cNvPr id="554319" name="Line 83">
          <a:extLst>
            <a:ext uri="{FF2B5EF4-FFF2-40B4-BE49-F238E27FC236}">
              <a16:creationId xmlns:a16="http://schemas.microsoft.com/office/drawing/2014/main" id="{96FB82AF-6F05-4E09-82A6-BA0C5FEF8FFF}"/>
            </a:ext>
          </a:extLst>
        </xdr:cNvPr>
        <xdr:cNvSpPr>
          <a:spLocks noChangeShapeType="1"/>
        </xdr:cNvSpPr>
      </xdr:nvSpPr>
      <xdr:spPr bwMode="auto">
        <a:xfrm rot="10800000">
          <a:off x="7092950" y="114935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12700</xdr:colOff>
      <xdr:row>86</xdr:row>
      <xdr:rowOff>0</xdr:rowOff>
    </xdr:from>
    <xdr:to>
      <xdr:col>11</xdr:col>
      <xdr:colOff>628650</xdr:colOff>
      <xdr:row>90</xdr:row>
      <xdr:rowOff>0</xdr:rowOff>
    </xdr:to>
    <xdr:sp macro="" textlink="">
      <xdr:nvSpPr>
        <xdr:cNvPr id="554320" name="Rectangle 84">
          <a:extLst>
            <a:ext uri="{FF2B5EF4-FFF2-40B4-BE49-F238E27FC236}">
              <a16:creationId xmlns:a16="http://schemas.microsoft.com/office/drawing/2014/main" id="{7983416D-F13A-4AE2-A90C-07410417CAA3}"/>
            </a:ext>
          </a:extLst>
        </xdr:cNvPr>
        <xdr:cNvSpPr>
          <a:spLocks noChangeArrowheads="1"/>
        </xdr:cNvSpPr>
      </xdr:nvSpPr>
      <xdr:spPr bwMode="auto">
        <a:xfrm>
          <a:off x="6375400" y="138938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12700</xdr:colOff>
      <xdr:row>92</xdr:row>
      <xdr:rowOff>12700</xdr:rowOff>
    </xdr:from>
    <xdr:to>
      <xdr:col>11</xdr:col>
      <xdr:colOff>628650</xdr:colOff>
      <xdr:row>96</xdr:row>
      <xdr:rowOff>12700</xdr:rowOff>
    </xdr:to>
    <xdr:sp macro="" textlink="">
      <xdr:nvSpPr>
        <xdr:cNvPr id="554321" name="Rectangle 85">
          <a:extLst>
            <a:ext uri="{FF2B5EF4-FFF2-40B4-BE49-F238E27FC236}">
              <a16:creationId xmlns:a16="http://schemas.microsoft.com/office/drawing/2014/main" id="{708C285D-9928-46CD-8781-5C83DC7DE4A1}"/>
            </a:ext>
          </a:extLst>
        </xdr:cNvPr>
        <xdr:cNvSpPr>
          <a:spLocks noChangeArrowheads="1"/>
        </xdr:cNvSpPr>
      </xdr:nvSpPr>
      <xdr:spPr bwMode="auto">
        <a:xfrm>
          <a:off x="6375400" y="148590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19050</xdr:colOff>
      <xdr:row>98</xdr:row>
      <xdr:rowOff>6350</xdr:rowOff>
    </xdr:from>
    <xdr:to>
      <xdr:col>11</xdr:col>
      <xdr:colOff>626106</xdr:colOff>
      <xdr:row>102</xdr:row>
      <xdr:rowOff>138</xdr:rowOff>
    </xdr:to>
    <xdr:sp macro="" textlink="">
      <xdr:nvSpPr>
        <xdr:cNvPr id="17494" name="Rectangle 86">
          <a:extLst>
            <a:ext uri="{FF2B5EF4-FFF2-40B4-BE49-F238E27FC236}">
              <a16:creationId xmlns:a16="http://schemas.microsoft.com/office/drawing/2014/main" id="{1B3A4E24-9EAC-40B1-BC1B-3159956E0BF2}"/>
            </a:ext>
          </a:extLst>
        </xdr:cNvPr>
        <xdr:cNvSpPr>
          <a:spLocks noChangeArrowheads="1"/>
        </xdr:cNvSpPr>
      </xdr:nvSpPr>
      <xdr:spPr bwMode="auto">
        <a:xfrm>
          <a:off x="6124575" y="16068675"/>
          <a:ext cx="1285875" cy="62865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11</xdr:col>
      <xdr:colOff>0</xdr:colOff>
      <xdr:row>90</xdr:row>
      <xdr:rowOff>12700</xdr:rowOff>
    </xdr:from>
    <xdr:to>
      <xdr:col>11</xdr:col>
      <xdr:colOff>0</xdr:colOff>
      <xdr:row>92</xdr:row>
      <xdr:rowOff>12700</xdr:rowOff>
    </xdr:to>
    <xdr:sp macro="" textlink="">
      <xdr:nvSpPr>
        <xdr:cNvPr id="554323" name="Line 87">
          <a:extLst>
            <a:ext uri="{FF2B5EF4-FFF2-40B4-BE49-F238E27FC236}">
              <a16:creationId xmlns:a16="http://schemas.microsoft.com/office/drawing/2014/main" id="{D846C8AD-3CB1-4A20-9763-E6FB09DBF2C8}"/>
            </a:ext>
          </a:extLst>
        </xdr:cNvPr>
        <xdr:cNvSpPr>
          <a:spLocks noChangeShapeType="1"/>
        </xdr:cNvSpPr>
      </xdr:nvSpPr>
      <xdr:spPr bwMode="auto">
        <a:xfrm>
          <a:off x="7092950" y="145415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102</xdr:row>
      <xdr:rowOff>0</xdr:rowOff>
    </xdr:from>
    <xdr:to>
      <xdr:col>11</xdr:col>
      <xdr:colOff>0</xdr:colOff>
      <xdr:row>104</xdr:row>
      <xdr:rowOff>12700</xdr:rowOff>
    </xdr:to>
    <xdr:sp macro="" textlink="">
      <xdr:nvSpPr>
        <xdr:cNvPr id="554324" name="Line 88">
          <a:extLst>
            <a:ext uri="{FF2B5EF4-FFF2-40B4-BE49-F238E27FC236}">
              <a16:creationId xmlns:a16="http://schemas.microsoft.com/office/drawing/2014/main" id="{C029ACAB-F851-44DF-B81A-7E649123F4C8}"/>
            </a:ext>
          </a:extLst>
        </xdr:cNvPr>
        <xdr:cNvSpPr>
          <a:spLocks noChangeShapeType="1"/>
        </xdr:cNvSpPr>
      </xdr:nvSpPr>
      <xdr:spPr bwMode="auto">
        <a:xfrm>
          <a:off x="7092950" y="16433800"/>
          <a:ext cx="0" cy="3302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96</xdr:row>
      <xdr:rowOff>12700</xdr:rowOff>
    </xdr:from>
    <xdr:to>
      <xdr:col>11</xdr:col>
      <xdr:colOff>0</xdr:colOff>
      <xdr:row>98</xdr:row>
      <xdr:rowOff>25400</xdr:rowOff>
    </xdr:to>
    <xdr:sp macro="" textlink="">
      <xdr:nvSpPr>
        <xdr:cNvPr id="554325" name="Line 89">
          <a:extLst>
            <a:ext uri="{FF2B5EF4-FFF2-40B4-BE49-F238E27FC236}">
              <a16:creationId xmlns:a16="http://schemas.microsoft.com/office/drawing/2014/main" id="{21A94CD4-841C-4A8E-9CE9-41D81E2FB8DB}"/>
            </a:ext>
          </a:extLst>
        </xdr:cNvPr>
        <xdr:cNvSpPr>
          <a:spLocks noChangeShapeType="1"/>
        </xdr:cNvSpPr>
      </xdr:nvSpPr>
      <xdr:spPr bwMode="auto">
        <a:xfrm>
          <a:off x="7092950" y="154940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437811</xdr:colOff>
      <xdr:row>86</xdr:row>
      <xdr:rowOff>28575</xdr:rowOff>
    </xdr:from>
    <xdr:ext cx="720465" cy="490807"/>
    <xdr:sp macro="" textlink="">
      <xdr:nvSpPr>
        <xdr:cNvPr id="17498" name="Text Box 90">
          <a:extLst>
            <a:ext uri="{FF2B5EF4-FFF2-40B4-BE49-F238E27FC236}">
              <a16:creationId xmlns:a16="http://schemas.microsoft.com/office/drawing/2014/main" id="{61B9E86C-BC15-40FE-8CF9-6022616F5420}"/>
            </a:ext>
          </a:extLst>
        </xdr:cNvPr>
        <xdr:cNvSpPr txBox="1">
          <a:spLocks noChangeArrowheads="1"/>
        </xdr:cNvSpPr>
      </xdr:nvSpPr>
      <xdr:spPr bwMode="auto">
        <a:xfrm>
          <a:off x="7450328" y="133466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10</xdr:col>
      <xdr:colOff>202235</xdr:colOff>
      <xdr:row>93</xdr:row>
      <xdr:rowOff>66675</xdr:rowOff>
    </xdr:from>
    <xdr:ext cx="1194317" cy="176972"/>
    <xdr:sp macro="" textlink="">
      <xdr:nvSpPr>
        <xdr:cNvPr id="17499" name="Text Box 91">
          <a:extLst>
            <a:ext uri="{FF2B5EF4-FFF2-40B4-BE49-F238E27FC236}">
              <a16:creationId xmlns:a16="http://schemas.microsoft.com/office/drawing/2014/main" id="{D0126607-290B-42B5-A63D-B494B9FC72C2}"/>
            </a:ext>
          </a:extLst>
        </xdr:cNvPr>
        <xdr:cNvSpPr txBox="1">
          <a:spLocks noChangeArrowheads="1"/>
        </xdr:cNvSpPr>
      </xdr:nvSpPr>
      <xdr:spPr bwMode="auto">
        <a:xfrm>
          <a:off x="7189352" y="14451542"/>
          <a:ext cx="1154059"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10</xdr:col>
      <xdr:colOff>195797</xdr:colOff>
      <xdr:row>99</xdr:row>
      <xdr:rowOff>44450</xdr:rowOff>
    </xdr:from>
    <xdr:ext cx="1211780" cy="190081"/>
    <xdr:sp macro="" textlink="">
      <xdr:nvSpPr>
        <xdr:cNvPr id="17500" name="Text Box 92">
          <a:extLst>
            <a:ext uri="{FF2B5EF4-FFF2-40B4-BE49-F238E27FC236}">
              <a16:creationId xmlns:a16="http://schemas.microsoft.com/office/drawing/2014/main" id="{BA397DE5-5ED2-4375-ABDA-26DE252EE03F}"/>
            </a:ext>
          </a:extLst>
        </xdr:cNvPr>
        <xdr:cNvSpPr txBox="1">
          <a:spLocks noChangeArrowheads="1"/>
        </xdr:cNvSpPr>
      </xdr:nvSpPr>
      <xdr:spPr bwMode="auto">
        <a:xfrm>
          <a:off x="7182914" y="153437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9588B244-B6DD-40E8-B6D5-EE5675ACFF11}"/>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F100B16C-E3FB-45CA-9A35-8FEA7CF9BD1D}"/>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266700</xdr:colOff>
      <xdr:row>45</xdr:row>
      <xdr:rowOff>146050</xdr:rowOff>
    </xdr:from>
    <xdr:to>
      <xdr:col>9</xdr:col>
      <xdr:colOff>647700</xdr:colOff>
      <xdr:row>102</xdr:row>
      <xdr:rowOff>38100</xdr:rowOff>
    </xdr:to>
    <xdr:sp macro="" textlink="">
      <xdr:nvSpPr>
        <xdr:cNvPr id="554331" name="AutoShape 99">
          <a:extLst>
            <a:ext uri="{FF2B5EF4-FFF2-40B4-BE49-F238E27FC236}">
              <a16:creationId xmlns:a16="http://schemas.microsoft.com/office/drawing/2014/main" id="{9D7662FD-6C52-4484-A948-13DEBF1D08C9}"/>
            </a:ext>
          </a:extLst>
        </xdr:cNvPr>
        <xdr:cNvSpPr>
          <a:spLocks/>
        </xdr:cNvSpPr>
      </xdr:nvSpPr>
      <xdr:spPr bwMode="auto">
        <a:xfrm>
          <a:off x="5969000" y="7512050"/>
          <a:ext cx="381000" cy="89598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34925</xdr:colOff>
      <xdr:row>73</xdr:row>
      <xdr:rowOff>44450</xdr:rowOff>
    </xdr:from>
    <xdr:ext cx="494833" cy="336987"/>
    <xdr:sp macro="" textlink="">
      <xdr:nvSpPr>
        <xdr:cNvPr id="17508" name="Text Box 100">
          <a:extLst>
            <a:ext uri="{FF2B5EF4-FFF2-40B4-BE49-F238E27FC236}">
              <a16:creationId xmlns:a16="http://schemas.microsoft.com/office/drawing/2014/main" id="{33B9141D-9ACF-415C-B724-9653CE4D85B2}"/>
            </a:ext>
          </a:extLst>
        </xdr:cNvPr>
        <xdr:cNvSpPr txBox="1">
          <a:spLocks noChangeArrowheads="1"/>
        </xdr:cNvSpPr>
      </xdr:nvSpPr>
      <xdr:spPr bwMode="auto">
        <a:xfrm>
          <a:off x="5972175" y="11360150"/>
          <a:ext cx="481459"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361950</xdr:colOff>
      <xdr:row>6</xdr:row>
      <xdr:rowOff>0</xdr:rowOff>
    </xdr:from>
    <xdr:to>
      <xdr:col>9</xdr:col>
      <xdr:colOff>603250</xdr:colOff>
      <xdr:row>36</xdr:row>
      <xdr:rowOff>38100</xdr:rowOff>
    </xdr:to>
    <xdr:sp macro="" textlink="">
      <xdr:nvSpPr>
        <xdr:cNvPr id="554333" name="AutoShape 101">
          <a:extLst>
            <a:ext uri="{FF2B5EF4-FFF2-40B4-BE49-F238E27FC236}">
              <a16:creationId xmlns:a16="http://schemas.microsoft.com/office/drawing/2014/main" id="{7DD8A038-40B3-4559-9987-750D69DC4A49}"/>
            </a:ext>
          </a:extLst>
        </xdr:cNvPr>
        <xdr:cNvSpPr>
          <a:spLocks/>
        </xdr:cNvSpPr>
      </xdr:nvSpPr>
      <xdr:spPr bwMode="auto">
        <a:xfrm>
          <a:off x="6064250" y="1092200"/>
          <a:ext cx="241300" cy="488315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82550</xdr:colOff>
      <xdr:row>20</xdr:row>
      <xdr:rowOff>111125</xdr:rowOff>
    </xdr:from>
    <xdr:ext cx="232242" cy="176972"/>
    <xdr:sp macro="" textlink="">
      <xdr:nvSpPr>
        <xdr:cNvPr id="17510" name="Text Box 102">
          <a:extLst>
            <a:ext uri="{FF2B5EF4-FFF2-40B4-BE49-F238E27FC236}">
              <a16:creationId xmlns:a16="http://schemas.microsoft.com/office/drawing/2014/main" id="{A306A4F5-45E3-467B-B906-085101B8D8A0}"/>
            </a:ext>
          </a:extLst>
        </xdr:cNvPr>
        <xdr:cNvSpPr txBox="1">
          <a:spLocks noChangeArrowheads="1"/>
        </xdr:cNvSpPr>
      </xdr:nvSpPr>
      <xdr:spPr bwMode="auto">
        <a:xfrm>
          <a:off x="6328833" y="3364442"/>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319993</xdr:colOff>
      <xdr:row>39</xdr:row>
      <xdr:rowOff>88900</xdr:rowOff>
    </xdr:from>
    <xdr:ext cx="525169" cy="336876"/>
    <xdr:sp macro="" textlink="">
      <xdr:nvSpPr>
        <xdr:cNvPr id="17511" name="Text Box 103">
          <a:extLst>
            <a:ext uri="{FF2B5EF4-FFF2-40B4-BE49-F238E27FC236}">
              <a16:creationId xmlns:a16="http://schemas.microsoft.com/office/drawing/2014/main" id="{4C04BE9B-71E2-4FC7-9D8B-06DD91C0D453}"/>
            </a:ext>
          </a:extLst>
        </xdr:cNvPr>
        <xdr:cNvSpPr txBox="1">
          <a:spLocks noChangeArrowheads="1"/>
        </xdr:cNvSpPr>
      </xdr:nvSpPr>
      <xdr:spPr bwMode="auto">
        <a:xfrm>
          <a:off x="6574743" y="6216650"/>
          <a:ext cx="450145"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15875</xdr:colOff>
      <xdr:row>9</xdr:row>
      <xdr:rowOff>155575</xdr:rowOff>
    </xdr:from>
    <xdr:to>
      <xdr:col>3</xdr:col>
      <xdr:colOff>847898</xdr:colOff>
      <xdr:row>13</xdr:row>
      <xdr:rowOff>146050</xdr:rowOff>
    </xdr:to>
    <xdr:sp macro="" textlink="">
      <xdr:nvSpPr>
        <xdr:cNvPr id="12289" name="Rectangle 1">
          <a:extLst>
            <a:ext uri="{FF2B5EF4-FFF2-40B4-BE49-F238E27FC236}">
              <a16:creationId xmlns:a16="http://schemas.microsoft.com/office/drawing/2014/main" id="{E0E8EAC2-ADD3-47E4-8EDF-C903BE47471F}"/>
            </a:ext>
          </a:extLst>
        </xdr:cNvPr>
        <xdr:cNvSpPr>
          <a:spLocks noChangeArrowheads="1"/>
        </xdr:cNvSpPr>
      </xdr:nvSpPr>
      <xdr:spPr bwMode="auto">
        <a:xfrm>
          <a:off x="1787525" y="1831975"/>
          <a:ext cx="832023" cy="650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TX</a:t>
          </a:r>
        </a:p>
      </xdr:txBody>
    </xdr:sp>
    <xdr:clientData/>
  </xdr:twoCellAnchor>
  <xdr:twoCellAnchor>
    <xdr:from>
      <xdr:col>3</xdr:col>
      <xdr:colOff>825500</xdr:colOff>
      <xdr:row>12</xdr:row>
      <xdr:rowOff>0</xdr:rowOff>
    </xdr:from>
    <xdr:to>
      <xdr:col>4</xdr:col>
      <xdr:colOff>0</xdr:colOff>
      <xdr:row>12</xdr:row>
      <xdr:rowOff>0</xdr:rowOff>
    </xdr:to>
    <xdr:sp macro="" textlink="">
      <xdr:nvSpPr>
        <xdr:cNvPr id="322365" name="Line 2">
          <a:extLst>
            <a:ext uri="{FF2B5EF4-FFF2-40B4-BE49-F238E27FC236}">
              <a16:creationId xmlns:a16="http://schemas.microsoft.com/office/drawing/2014/main" id="{7C728B29-F1BE-42F3-9C26-DC82E693F248}"/>
            </a:ext>
          </a:extLst>
        </xdr:cNvPr>
        <xdr:cNvSpPr>
          <a:spLocks noChangeShapeType="1"/>
        </xdr:cNvSpPr>
      </xdr:nvSpPr>
      <xdr:spPr bwMode="auto">
        <a:xfrm>
          <a:off x="2673350" y="206375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xdr:row>
      <xdr:rowOff>101600</xdr:rowOff>
    </xdr:from>
    <xdr:to>
      <xdr:col>5</xdr:col>
      <xdr:colOff>0</xdr:colOff>
      <xdr:row>13</xdr:row>
      <xdr:rowOff>54128</xdr:rowOff>
    </xdr:to>
    <xdr:sp macro="" textlink="">
      <xdr:nvSpPr>
        <xdr:cNvPr id="12291" name="Rectangle 3">
          <a:extLst>
            <a:ext uri="{FF2B5EF4-FFF2-40B4-BE49-F238E27FC236}">
              <a16:creationId xmlns:a16="http://schemas.microsoft.com/office/drawing/2014/main" id="{DBF46FAD-574D-401B-882B-7949FCB57411}"/>
            </a:ext>
          </a:extLst>
        </xdr:cNvPr>
        <xdr:cNvSpPr>
          <a:spLocks noChangeArrowheads="1"/>
        </xdr:cNvSpPr>
      </xdr:nvSpPr>
      <xdr:spPr bwMode="auto">
        <a:xfrm>
          <a:off x="3390900" y="1866900"/>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twoCellAnchor>
  <xdr:twoCellAnchor>
    <xdr:from>
      <xdr:col>6</xdr:col>
      <xdr:colOff>0</xdr:colOff>
      <xdr:row>10</xdr:row>
      <xdr:rowOff>85724</xdr:rowOff>
    </xdr:from>
    <xdr:to>
      <xdr:col>7</xdr:col>
      <xdr:colOff>41285</xdr:colOff>
      <xdr:row>13</xdr:row>
      <xdr:rowOff>82477</xdr:rowOff>
    </xdr:to>
    <xdr:sp macro="" textlink="">
      <xdr:nvSpPr>
        <xdr:cNvPr id="12292" name="Rectangle 4">
          <a:extLst>
            <a:ext uri="{FF2B5EF4-FFF2-40B4-BE49-F238E27FC236}">
              <a16:creationId xmlns:a16="http://schemas.microsoft.com/office/drawing/2014/main" id="{3035AE88-A800-41AD-8C42-2A1D1C461600}"/>
            </a:ext>
          </a:extLst>
        </xdr:cNvPr>
        <xdr:cNvSpPr>
          <a:spLocks noChangeArrowheads="1"/>
        </xdr:cNvSpPr>
      </xdr:nvSpPr>
      <xdr:spPr bwMode="auto">
        <a:xfrm>
          <a:off x="5215467" y="1764241"/>
          <a:ext cx="733425" cy="453953"/>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900" b="1" i="0" strike="noStrike">
              <a:solidFill>
                <a:srgbClr val="000000"/>
              </a:solidFill>
              <a:latin typeface="Arial"/>
              <a:cs typeface="Arial"/>
            </a:rPr>
            <a:t>Other </a:t>
          </a:r>
        </a:p>
        <a:p>
          <a:pPr algn="ctr" rtl="1">
            <a:defRPr sz="1000"/>
          </a:pPr>
          <a:r>
            <a:rPr lang="en-US" sz="900" b="1" i="0" strike="noStrike">
              <a:solidFill>
                <a:srgbClr val="000000"/>
              </a:solidFill>
              <a:latin typeface="Arial"/>
              <a:cs typeface="Arial"/>
            </a:rPr>
            <a:t>In-Line</a:t>
          </a:r>
        </a:p>
        <a:p>
          <a:pPr algn="ctr" rtl="1">
            <a:defRPr sz="1000"/>
          </a:pPr>
          <a:r>
            <a:rPr lang="en-US" sz="900" b="1" i="0" strike="noStrike">
              <a:solidFill>
                <a:srgbClr val="000000"/>
              </a:solidFill>
              <a:latin typeface="Arial"/>
              <a:cs typeface="Arial"/>
            </a:rPr>
            <a:t>Device</a:t>
          </a:r>
        </a:p>
        <a:p>
          <a:pPr algn="ctr" rtl="1">
            <a:defRPr sz="1000"/>
          </a:pPr>
          <a:endParaRPr lang="en-US" sz="900" b="1" i="0" strike="noStrike">
            <a:solidFill>
              <a:srgbClr val="000000"/>
            </a:solidFill>
            <a:latin typeface="Arial"/>
            <a:cs typeface="Arial"/>
          </a:endParaRPr>
        </a:p>
      </xdr:txBody>
    </xdr:sp>
    <xdr:clientData/>
  </xdr:twoCellAnchor>
  <xdr:twoCellAnchor>
    <xdr:from>
      <xdr:col>5</xdr:col>
      <xdr:colOff>12700</xdr:colOff>
      <xdr:row>12</xdr:row>
      <xdr:rowOff>0</xdr:rowOff>
    </xdr:from>
    <xdr:to>
      <xdr:col>5</xdr:col>
      <xdr:colOff>641350</xdr:colOff>
      <xdr:row>12</xdr:row>
      <xdr:rowOff>0</xdr:rowOff>
    </xdr:to>
    <xdr:sp macro="" textlink="">
      <xdr:nvSpPr>
        <xdr:cNvPr id="322368" name="Line 5">
          <a:extLst>
            <a:ext uri="{FF2B5EF4-FFF2-40B4-BE49-F238E27FC236}">
              <a16:creationId xmlns:a16="http://schemas.microsoft.com/office/drawing/2014/main" id="{111D3107-1714-440A-9476-0F9B310DC8CE}"/>
            </a:ext>
          </a:extLst>
        </xdr:cNvPr>
        <xdr:cNvSpPr>
          <a:spLocks noChangeShapeType="1"/>
        </xdr:cNvSpPr>
      </xdr:nvSpPr>
      <xdr:spPr bwMode="auto">
        <a:xfrm>
          <a:off x="4114800" y="206375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8</xdr:row>
      <xdr:rowOff>25400</xdr:rowOff>
    </xdr:from>
    <xdr:to>
      <xdr:col>8</xdr:col>
      <xdr:colOff>546100</xdr:colOff>
      <xdr:row>10</xdr:row>
      <xdr:rowOff>133350</xdr:rowOff>
    </xdr:to>
    <xdr:sp macro="" textlink="">
      <xdr:nvSpPr>
        <xdr:cNvPr id="322369" name="AutoShape 6">
          <a:extLst>
            <a:ext uri="{FF2B5EF4-FFF2-40B4-BE49-F238E27FC236}">
              <a16:creationId xmlns:a16="http://schemas.microsoft.com/office/drawing/2014/main" id="{F2AFF048-4758-45B3-B456-2C643192E90B}"/>
            </a:ext>
          </a:extLst>
        </xdr:cNvPr>
        <xdr:cNvSpPr>
          <a:spLocks noChangeArrowheads="1"/>
        </xdr:cNvSpPr>
      </xdr:nvSpPr>
      <xdr:spPr bwMode="auto">
        <a:xfrm rot="10800000">
          <a:off x="5988050" y="1447800"/>
          <a:ext cx="558800" cy="43180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266700</xdr:colOff>
      <xdr:row>8</xdr:row>
      <xdr:rowOff>12700</xdr:rowOff>
    </xdr:from>
    <xdr:to>
      <xdr:col>8</xdr:col>
      <xdr:colOff>266700</xdr:colOff>
      <xdr:row>12</xdr:row>
      <xdr:rowOff>0</xdr:rowOff>
    </xdr:to>
    <xdr:sp macro="" textlink="">
      <xdr:nvSpPr>
        <xdr:cNvPr id="322370" name="Line 7">
          <a:extLst>
            <a:ext uri="{FF2B5EF4-FFF2-40B4-BE49-F238E27FC236}">
              <a16:creationId xmlns:a16="http://schemas.microsoft.com/office/drawing/2014/main" id="{5FC345FD-BF2A-4A4F-A423-0904FB2C5CA0}"/>
            </a:ext>
          </a:extLst>
        </xdr:cNvPr>
        <xdr:cNvSpPr>
          <a:spLocks noChangeShapeType="1"/>
        </xdr:cNvSpPr>
      </xdr:nvSpPr>
      <xdr:spPr bwMode="auto">
        <a:xfrm>
          <a:off x="6267450" y="1435100"/>
          <a:ext cx="0" cy="6286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31750</xdr:colOff>
      <xdr:row>12</xdr:row>
      <xdr:rowOff>0</xdr:rowOff>
    </xdr:from>
    <xdr:to>
      <xdr:col>8</xdr:col>
      <xdr:colOff>254000</xdr:colOff>
      <xdr:row>12</xdr:row>
      <xdr:rowOff>0</xdr:rowOff>
    </xdr:to>
    <xdr:sp macro="" textlink="">
      <xdr:nvSpPr>
        <xdr:cNvPr id="322371" name="Line 8">
          <a:extLst>
            <a:ext uri="{FF2B5EF4-FFF2-40B4-BE49-F238E27FC236}">
              <a16:creationId xmlns:a16="http://schemas.microsoft.com/office/drawing/2014/main" id="{5D7AF33C-3611-4612-829A-86306C16842F}"/>
            </a:ext>
          </a:extLst>
        </xdr:cNvPr>
        <xdr:cNvSpPr>
          <a:spLocks noChangeShapeType="1"/>
        </xdr:cNvSpPr>
      </xdr:nvSpPr>
      <xdr:spPr bwMode="auto">
        <a:xfrm>
          <a:off x="5416550" y="2063750"/>
          <a:ext cx="838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19050</xdr:colOff>
      <xdr:row>51</xdr:row>
      <xdr:rowOff>0</xdr:rowOff>
    </xdr:from>
    <xdr:to>
      <xdr:col>3</xdr:col>
      <xdr:colOff>850900</xdr:colOff>
      <xdr:row>54</xdr:row>
      <xdr:rowOff>145926</xdr:rowOff>
    </xdr:to>
    <xdr:sp macro="" textlink="">
      <xdr:nvSpPr>
        <xdr:cNvPr id="12297" name="Rectangle 9">
          <a:extLst>
            <a:ext uri="{FF2B5EF4-FFF2-40B4-BE49-F238E27FC236}">
              <a16:creationId xmlns:a16="http://schemas.microsoft.com/office/drawing/2014/main" id="{E00A7BAD-F548-44C9-9338-F1689DA3E145}"/>
            </a:ext>
          </a:extLst>
        </xdr:cNvPr>
        <xdr:cNvSpPr>
          <a:spLocks noChangeArrowheads="1"/>
        </xdr:cNvSpPr>
      </xdr:nvSpPr>
      <xdr:spPr bwMode="auto">
        <a:xfrm>
          <a:off x="1847850" y="7639050"/>
          <a:ext cx="800100" cy="6381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TX</a:t>
          </a:r>
        </a:p>
      </xdr:txBody>
    </xdr:sp>
    <xdr:clientData/>
  </xdr:twoCellAnchor>
  <xdr:twoCellAnchor>
    <xdr:from>
      <xdr:col>3</xdr:col>
      <xdr:colOff>850900</xdr:colOff>
      <xdr:row>52</xdr:row>
      <xdr:rowOff>146050</xdr:rowOff>
    </xdr:from>
    <xdr:to>
      <xdr:col>4</xdr:col>
      <xdr:colOff>25400</xdr:colOff>
      <xdr:row>52</xdr:row>
      <xdr:rowOff>146050</xdr:rowOff>
    </xdr:to>
    <xdr:sp macro="" textlink="">
      <xdr:nvSpPr>
        <xdr:cNvPr id="322373" name="Line 10">
          <a:extLst>
            <a:ext uri="{FF2B5EF4-FFF2-40B4-BE49-F238E27FC236}">
              <a16:creationId xmlns:a16="http://schemas.microsoft.com/office/drawing/2014/main" id="{FFEE362F-3D99-47FF-ABF4-166F355F0C92}"/>
            </a:ext>
          </a:extLst>
        </xdr:cNvPr>
        <xdr:cNvSpPr>
          <a:spLocks noChangeShapeType="1"/>
        </xdr:cNvSpPr>
      </xdr:nvSpPr>
      <xdr:spPr bwMode="auto">
        <a:xfrm>
          <a:off x="2698750" y="781050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19050</xdr:colOff>
      <xdr:row>51</xdr:row>
      <xdr:rowOff>79375</xdr:rowOff>
    </xdr:from>
    <xdr:to>
      <xdr:col>5</xdr:col>
      <xdr:colOff>31928</xdr:colOff>
      <xdr:row>54</xdr:row>
      <xdr:rowOff>44494</xdr:rowOff>
    </xdr:to>
    <xdr:sp macro="" textlink="">
      <xdr:nvSpPr>
        <xdr:cNvPr id="12299" name="Rectangle 11">
          <a:extLst>
            <a:ext uri="{FF2B5EF4-FFF2-40B4-BE49-F238E27FC236}">
              <a16:creationId xmlns:a16="http://schemas.microsoft.com/office/drawing/2014/main" id="{B61E96F3-8B83-48BC-8C23-C33BE813C0AE}"/>
            </a:ext>
          </a:extLst>
        </xdr:cNvPr>
        <xdr:cNvSpPr>
          <a:spLocks noChangeArrowheads="1"/>
        </xdr:cNvSpPr>
      </xdr:nvSpPr>
      <xdr:spPr bwMode="auto">
        <a:xfrm>
          <a:off x="3409950" y="7724775"/>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Filter</a:t>
          </a:r>
        </a:p>
      </xdr:txBody>
    </xdr:sp>
    <xdr:clientData/>
  </xdr:twoCellAnchor>
  <xdr:twoCellAnchor>
    <xdr:from>
      <xdr:col>6</xdr:col>
      <xdr:colOff>19050</xdr:colOff>
      <xdr:row>51</xdr:row>
      <xdr:rowOff>101600</xdr:rowOff>
    </xdr:from>
    <xdr:to>
      <xdr:col>7</xdr:col>
      <xdr:colOff>28575</xdr:colOff>
      <xdr:row>54</xdr:row>
      <xdr:rowOff>127178</xdr:rowOff>
    </xdr:to>
    <xdr:sp macro="" textlink="">
      <xdr:nvSpPr>
        <xdr:cNvPr id="12300" name="Rectangle 12">
          <a:extLst>
            <a:ext uri="{FF2B5EF4-FFF2-40B4-BE49-F238E27FC236}">
              <a16:creationId xmlns:a16="http://schemas.microsoft.com/office/drawing/2014/main" id="{70720ACF-EEF3-4770-8DFF-A197E2644B02}"/>
            </a:ext>
          </a:extLst>
        </xdr:cNvPr>
        <xdr:cNvSpPr>
          <a:spLocks noChangeArrowheads="1"/>
        </xdr:cNvSpPr>
      </xdr:nvSpPr>
      <xdr:spPr bwMode="auto">
        <a:xfrm>
          <a:off x="4638675" y="7734300"/>
          <a:ext cx="609600" cy="523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Other</a:t>
          </a:r>
        </a:p>
        <a:p>
          <a:pPr algn="ctr" rtl="1">
            <a:defRPr sz="1000"/>
          </a:pPr>
          <a:r>
            <a:rPr lang="en-US" sz="1000" b="0" i="0" strike="noStrike">
              <a:solidFill>
                <a:srgbClr val="000000"/>
              </a:solidFill>
              <a:latin typeface="Arial"/>
              <a:cs typeface="Arial"/>
            </a:rPr>
            <a:t>In-Line</a:t>
          </a:r>
        </a:p>
        <a:p>
          <a:pPr algn="ctr" rtl="1">
            <a:defRPr sz="1000"/>
          </a:pPr>
          <a:r>
            <a:rPr lang="en-US" sz="1000" b="0" i="0" strike="noStrike">
              <a:solidFill>
                <a:srgbClr val="000000"/>
              </a:solidFill>
              <a:latin typeface="Arial"/>
              <a:cs typeface="Arial"/>
            </a:rPr>
            <a:t>Losses:</a:t>
          </a:r>
        </a:p>
      </xdr:txBody>
    </xdr:sp>
    <xdr:clientData/>
  </xdr:twoCellAnchor>
  <xdr:twoCellAnchor>
    <xdr:from>
      <xdr:col>5</xdr:col>
      <xdr:colOff>38100</xdr:colOff>
      <xdr:row>52</xdr:row>
      <xdr:rowOff>146050</xdr:rowOff>
    </xdr:from>
    <xdr:to>
      <xdr:col>6</xdr:col>
      <xdr:colOff>12700</xdr:colOff>
      <xdr:row>52</xdr:row>
      <xdr:rowOff>146050</xdr:rowOff>
    </xdr:to>
    <xdr:sp macro="" textlink="">
      <xdr:nvSpPr>
        <xdr:cNvPr id="322376" name="Line 13">
          <a:extLst>
            <a:ext uri="{FF2B5EF4-FFF2-40B4-BE49-F238E27FC236}">
              <a16:creationId xmlns:a16="http://schemas.microsoft.com/office/drawing/2014/main" id="{9437966E-E2BB-4696-9CAC-811E676DC7E7}"/>
            </a:ext>
          </a:extLst>
        </xdr:cNvPr>
        <xdr:cNvSpPr>
          <a:spLocks noChangeShapeType="1"/>
        </xdr:cNvSpPr>
      </xdr:nvSpPr>
      <xdr:spPr bwMode="auto">
        <a:xfrm>
          <a:off x="4140200" y="7810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49</xdr:row>
      <xdr:rowOff>12700</xdr:rowOff>
    </xdr:from>
    <xdr:to>
      <xdr:col>8</xdr:col>
      <xdr:colOff>571500</xdr:colOff>
      <xdr:row>51</xdr:row>
      <xdr:rowOff>120650</xdr:rowOff>
    </xdr:to>
    <xdr:sp macro="" textlink="">
      <xdr:nvSpPr>
        <xdr:cNvPr id="322377" name="AutoShape 14">
          <a:extLst>
            <a:ext uri="{FF2B5EF4-FFF2-40B4-BE49-F238E27FC236}">
              <a16:creationId xmlns:a16="http://schemas.microsoft.com/office/drawing/2014/main" id="{2E5F661F-FF7D-4977-9821-43FC79762F2C}"/>
            </a:ext>
          </a:extLst>
        </xdr:cNvPr>
        <xdr:cNvSpPr>
          <a:spLocks noChangeArrowheads="1"/>
        </xdr:cNvSpPr>
      </xdr:nvSpPr>
      <xdr:spPr bwMode="auto">
        <a:xfrm rot="10800000">
          <a:off x="6013450" y="7200900"/>
          <a:ext cx="558800"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292100</xdr:colOff>
      <xdr:row>49</xdr:row>
      <xdr:rowOff>12700</xdr:rowOff>
    </xdr:from>
    <xdr:to>
      <xdr:col>8</xdr:col>
      <xdr:colOff>292100</xdr:colOff>
      <xdr:row>52</xdr:row>
      <xdr:rowOff>146050</xdr:rowOff>
    </xdr:to>
    <xdr:sp macro="" textlink="">
      <xdr:nvSpPr>
        <xdr:cNvPr id="322378" name="Line 15">
          <a:extLst>
            <a:ext uri="{FF2B5EF4-FFF2-40B4-BE49-F238E27FC236}">
              <a16:creationId xmlns:a16="http://schemas.microsoft.com/office/drawing/2014/main" id="{CBCC2E30-0FD8-4EBE-9FE6-08A8E3142E51}"/>
            </a:ext>
          </a:extLst>
        </xdr:cNvPr>
        <xdr:cNvSpPr>
          <a:spLocks noChangeShapeType="1"/>
        </xdr:cNvSpPr>
      </xdr:nvSpPr>
      <xdr:spPr bwMode="auto">
        <a:xfrm>
          <a:off x="6292850" y="7200900"/>
          <a:ext cx="0" cy="609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25400</xdr:colOff>
      <xdr:row>52</xdr:row>
      <xdr:rowOff>146050</xdr:rowOff>
    </xdr:from>
    <xdr:to>
      <xdr:col>8</xdr:col>
      <xdr:colOff>279400</xdr:colOff>
      <xdr:row>52</xdr:row>
      <xdr:rowOff>146050</xdr:rowOff>
    </xdr:to>
    <xdr:sp macro="" textlink="">
      <xdr:nvSpPr>
        <xdr:cNvPr id="322379" name="Line 16">
          <a:extLst>
            <a:ext uri="{FF2B5EF4-FFF2-40B4-BE49-F238E27FC236}">
              <a16:creationId xmlns:a16="http://schemas.microsoft.com/office/drawing/2014/main" id="{D080A56B-3AEE-4909-BE01-0555CEB1E93F}"/>
            </a:ext>
          </a:extLst>
        </xdr:cNvPr>
        <xdr:cNvSpPr>
          <a:spLocks noChangeShapeType="1"/>
        </xdr:cNvSpPr>
      </xdr:nvSpPr>
      <xdr:spPr bwMode="auto">
        <a:xfrm>
          <a:off x="5410200" y="7810500"/>
          <a:ext cx="8699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1035050</xdr:colOff>
      <xdr:row>10</xdr:row>
      <xdr:rowOff>0</xdr:rowOff>
    </xdr:from>
    <xdr:ext cx="382028" cy="170560"/>
    <xdr:sp macro="" textlink="">
      <xdr:nvSpPr>
        <xdr:cNvPr id="12308" name="Text Box 20">
          <a:extLst>
            <a:ext uri="{FF2B5EF4-FFF2-40B4-BE49-F238E27FC236}">
              <a16:creationId xmlns:a16="http://schemas.microsoft.com/office/drawing/2014/main" id="{0CD20476-4B86-4E9A-BEE9-652C0309EAD5}"/>
            </a:ext>
          </a:extLst>
        </xdr:cNvPr>
        <xdr:cNvSpPr txBox="1">
          <a:spLocks noChangeArrowheads="1"/>
        </xdr:cNvSpPr>
      </xdr:nvSpPr>
      <xdr:spPr bwMode="auto">
        <a:xfrm>
          <a:off x="2889250" y="1765300"/>
          <a:ext cx="38202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Line A</a:t>
          </a:r>
        </a:p>
      </xdr:txBody>
    </xdr:sp>
    <xdr:clientData/>
  </xdr:oneCellAnchor>
  <xdr:twoCellAnchor>
    <xdr:from>
      <xdr:col>8</xdr:col>
      <xdr:colOff>546100</xdr:colOff>
      <xdr:row>9</xdr:row>
      <xdr:rowOff>146050</xdr:rowOff>
    </xdr:from>
    <xdr:to>
      <xdr:col>8</xdr:col>
      <xdr:colOff>546100</xdr:colOff>
      <xdr:row>11</xdr:row>
      <xdr:rowOff>95250</xdr:rowOff>
    </xdr:to>
    <xdr:sp macro="" textlink="">
      <xdr:nvSpPr>
        <xdr:cNvPr id="322381" name="Line 21">
          <a:extLst>
            <a:ext uri="{FF2B5EF4-FFF2-40B4-BE49-F238E27FC236}">
              <a16:creationId xmlns:a16="http://schemas.microsoft.com/office/drawing/2014/main" id="{5C51C921-2105-4642-8928-567963A1F724}"/>
            </a:ext>
          </a:extLst>
        </xdr:cNvPr>
        <xdr:cNvSpPr>
          <a:spLocks noChangeShapeType="1"/>
        </xdr:cNvSpPr>
      </xdr:nvSpPr>
      <xdr:spPr bwMode="auto">
        <a:xfrm>
          <a:off x="6546850" y="1733550"/>
          <a:ext cx="0" cy="2667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603250</xdr:colOff>
      <xdr:row>49</xdr:row>
      <xdr:rowOff>146050</xdr:rowOff>
    </xdr:from>
    <xdr:to>
      <xdr:col>8</xdr:col>
      <xdr:colOff>603250</xdr:colOff>
      <xdr:row>51</xdr:row>
      <xdr:rowOff>82550</xdr:rowOff>
    </xdr:to>
    <xdr:sp macro="" textlink="">
      <xdr:nvSpPr>
        <xdr:cNvPr id="322382" name="Line 25">
          <a:extLst>
            <a:ext uri="{FF2B5EF4-FFF2-40B4-BE49-F238E27FC236}">
              <a16:creationId xmlns:a16="http://schemas.microsoft.com/office/drawing/2014/main" id="{FE07D8EB-90E9-46CA-BD0F-F49C9E99ECDD}"/>
            </a:ext>
          </a:extLst>
        </xdr:cNvPr>
        <xdr:cNvSpPr>
          <a:spLocks noChangeShapeType="1"/>
        </xdr:cNvSpPr>
      </xdr:nvSpPr>
      <xdr:spPr bwMode="auto">
        <a:xfrm>
          <a:off x="6604000" y="7334250"/>
          <a:ext cx="0" cy="2540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311150</xdr:colOff>
      <xdr:row>9</xdr:row>
      <xdr:rowOff>0</xdr:rowOff>
    </xdr:from>
    <xdr:to>
      <xdr:col>3</xdr:col>
      <xdr:colOff>311150</xdr:colOff>
      <xdr:row>12</xdr:row>
      <xdr:rowOff>95250</xdr:rowOff>
    </xdr:to>
    <xdr:sp macro="" textlink="">
      <xdr:nvSpPr>
        <xdr:cNvPr id="569379" name="AutoShape 2">
          <a:extLst>
            <a:ext uri="{FF2B5EF4-FFF2-40B4-BE49-F238E27FC236}">
              <a16:creationId xmlns:a16="http://schemas.microsoft.com/office/drawing/2014/main" id="{2125AB92-569A-4BA6-BE82-5045FA1F7F6D}"/>
            </a:ext>
          </a:extLst>
        </xdr:cNvPr>
        <xdr:cNvSpPr>
          <a:spLocks noChangeArrowheads="1"/>
        </xdr:cNvSpPr>
      </xdr:nvSpPr>
      <xdr:spPr bwMode="auto">
        <a:xfrm rot="10800000">
          <a:off x="1543050" y="15494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9</xdr:row>
      <xdr:rowOff>0</xdr:rowOff>
    </xdr:from>
    <xdr:to>
      <xdr:col>3</xdr:col>
      <xdr:colOff>0</xdr:colOff>
      <xdr:row>15</xdr:row>
      <xdr:rowOff>12700</xdr:rowOff>
    </xdr:to>
    <xdr:sp macro="" textlink="">
      <xdr:nvSpPr>
        <xdr:cNvPr id="569380" name="Line 3">
          <a:extLst>
            <a:ext uri="{FF2B5EF4-FFF2-40B4-BE49-F238E27FC236}">
              <a16:creationId xmlns:a16="http://schemas.microsoft.com/office/drawing/2014/main" id="{5B4A9AAE-CBA4-4B14-8D5C-363EA0373CAC}"/>
            </a:ext>
          </a:extLst>
        </xdr:cNvPr>
        <xdr:cNvSpPr>
          <a:spLocks noChangeShapeType="1"/>
        </xdr:cNvSpPr>
      </xdr:nvSpPr>
      <xdr:spPr bwMode="auto">
        <a:xfrm>
          <a:off x="1847850" y="15494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15</xdr:row>
      <xdr:rowOff>12700</xdr:rowOff>
    </xdr:from>
    <xdr:to>
      <xdr:col>4</xdr:col>
      <xdr:colOff>0</xdr:colOff>
      <xdr:row>15</xdr:row>
      <xdr:rowOff>12700</xdr:rowOff>
    </xdr:to>
    <xdr:sp macro="" textlink="">
      <xdr:nvSpPr>
        <xdr:cNvPr id="569381" name="Line 4">
          <a:extLst>
            <a:ext uri="{FF2B5EF4-FFF2-40B4-BE49-F238E27FC236}">
              <a16:creationId xmlns:a16="http://schemas.microsoft.com/office/drawing/2014/main" id="{8F1EC174-BF12-4E25-AC60-BCF98DA36E68}"/>
            </a:ext>
          </a:extLst>
        </xdr:cNvPr>
        <xdr:cNvSpPr>
          <a:spLocks noChangeShapeType="1"/>
        </xdr:cNvSpPr>
      </xdr:nvSpPr>
      <xdr:spPr bwMode="auto">
        <a:xfrm>
          <a:off x="1860550" y="25146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13</xdr:row>
      <xdr:rowOff>0</xdr:rowOff>
    </xdr:from>
    <xdr:to>
      <xdr:col>5</xdr:col>
      <xdr:colOff>304800</xdr:colOff>
      <xdr:row>17</xdr:row>
      <xdr:rowOff>0</xdr:rowOff>
    </xdr:to>
    <xdr:sp macro="" textlink="">
      <xdr:nvSpPr>
        <xdr:cNvPr id="569382" name="Rectangle 5">
          <a:extLst>
            <a:ext uri="{FF2B5EF4-FFF2-40B4-BE49-F238E27FC236}">
              <a16:creationId xmlns:a16="http://schemas.microsoft.com/office/drawing/2014/main" id="{645E2E8C-4952-40DC-80D6-E0BE47763192}"/>
            </a:ext>
          </a:extLst>
        </xdr:cNvPr>
        <xdr:cNvSpPr>
          <a:spLocks noChangeArrowheads="1"/>
        </xdr:cNvSpPr>
      </xdr:nvSpPr>
      <xdr:spPr bwMode="auto">
        <a:xfrm>
          <a:off x="24638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13</xdr:row>
      <xdr:rowOff>0</xdr:rowOff>
    </xdr:from>
    <xdr:to>
      <xdr:col>7</xdr:col>
      <xdr:colOff>304800</xdr:colOff>
      <xdr:row>17</xdr:row>
      <xdr:rowOff>0</xdr:rowOff>
    </xdr:to>
    <xdr:sp macro="" textlink="">
      <xdr:nvSpPr>
        <xdr:cNvPr id="569383" name="Rectangle 6">
          <a:extLst>
            <a:ext uri="{FF2B5EF4-FFF2-40B4-BE49-F238E27FC236}">
              <a16:creationId xmlns:a16="http://schemas.microsoft.com/office/drawing/2014/main" id="{7581C207-C1C5-45A0-B9B3-58F55E67DC6D}"/>
            </a:ext>
          </a:extLst>
        </xdr:cNvPr>
        <xdr:cNvSpPr>
          <a:spLocks noChangeArrowheads="1"/>
        </xdr:cNvSpPr>
      </xdr:nvSpPr>
      <xdr:spPr bwMode="auto">
        <a:xfrm>
          <a:off x="36957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12</xdr:row>
      <xdr:rowOff>82550</xdr:rowOff>
    </xdr:from>
    <xdr:to>
      <xdr:col>9</xdr:col>
      <xdr:colOff>238168</xdr:colOff>
      <xdr:row>17</xdr:row>
      <xdr:rowOff>111125</xdr:rowOff>
    </xdr:to>
    <xdr:sp macro="" textlink="">
      <xdr:nvSpPr>
        <xdr:cNvPr id="13319" name="AutoShape 7">
          <a:extLst>
            <a:ext uri="{FF2B5EF4-FFF2-40B4-BE49-F238E27FC236}">
              <a16:creationId xmlns:a16="http://schemas.microsoft.com/office/drawing/2014/main" id="{442DD443-52DC-4A48-9C6B-2B602FD801C1}"/>
            </a:ext>
          </a:extLst>
        </xdr:cNvPr>
        <xdr:cNvSpPr>
          <a:spLocks noChangeArrowheads="1"/>
        </xdr:cNvSpPr>
      </xdr:nvSpPr>
      <xdr:spPr bwMode="auto">
        <a:xfrm rot="5400000">
          <a:off x="5038725" y="1971675"/>
          <a:ext cx="838200" cy="11620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15</xdr:row>
      <xdr:rowOff>0</xdr:rowOff>
    </xdr:from>
    <xdr:to>
      <xdr:col>6</xdr:col>
      <xdr:colOff>0</xdr:colOff>
      <xdr:row>15</xdr:row>
      <xdr:rowOff>0</xdr:rowOff>
    </xdr:to>
    <xdr:sp macro="" textlink="">
      <xdr:nvSpPr>
        <xdr:cNvPr id="569385" name="Line 8">
          <a:extLst>
            <a:ext uri="{FF2B5EF4-FFF2-40B4-BE49-F238E27FC236}">
              <a16:creationId xmlns:a16="http://schemas.microsoft.com/office/drawing/2014/main" id="{C546EB00-E90E-4B3D-84FF-309D4237DD77}"/>
            </a:ext>
          </a:extLst>
        </xdr:cNvPr>
        <xdr:cNvSpPr>
          <a:spLocks noChangeShapeType="1"/>
        </xdr:cNvSpPr>
      </xdr:nvSpPr>
      <xdr:spPr bwMode="auto">
        <a:xfrm>
          <a:off x="33845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15</xdr:row>
      <xdr:rowOff>0</xdr:rowOff>
    </xdr:from>
    <xdr:to>
      <xdr:col>7</xdr:col>
      <xdr:colOff>615950</xdr:colOff>
      <xdr:row>15</xdr:row>
      <xdr:rowOff>0</xdr:rowOff>
    </xdr:to>
    <xdr:sp macro="" textlink="">
      <xdr:nvSpPr>
        <xdr:cNvPr id="569386" name="Line 9">
          <a:extLst>
            <a:ext uri="{FF2B5EF4-FFF2-40B4-BE49-F238E27FC236}">
              <a16:creationId xmlns:a16="http://schemas.microsoft.com/office/drawing/2014/main" id="{2B1E3994-4A1A-41F6-B5E1-69B0FF224D63}"/>
            </a:ext>
          </a:extLst>
        </xdr:cNvPr>
        <xdr:cNvSpPr>
          <a:spLocks noChangeShapeType="1"/>
        </xdr:cNvSpPr>
      </xdr:nvSpPr>
      <xdr:spPr bwMode="auto">
        <a:xfrm>
          <a:off x="46164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222250</xdr:colOff>
      <xdr:row>15</xdr:row>
      <xdr:rowOff>0</xdr:rowOff>
    </xdr:from>
    <xdr:to>
      <xdr:col>10</xdr:col>
      <xdr:colOff>0</xdr:colOff>
      <xdr:row>15</xdr:row>
      <xdr:rowOff>0</xdr:rowOff>
    </xdr:to>
    <xdr:sp macro="" textlink="">
      <xdr:nvSpPr>
        <xdr:cNvPr id="569387" name="Line 10">
          <a:extLst>
            <a:ext uri="{FF2B5EF4-FFF2-40B4-BE49-F238E27FC236}">
              <a16:creationId xmlns:a16="http://schemas.microsoft.com/office/drawing/2014/main" id="{58A04633-E649-48D1-ADB9-8CDBE1071D60}"/>
            </a:ext>
          </a:extLst>
        </xdr:cNvPr>
        <xdr:cNvSpPr>
          <a:spLocks noChangeShapeType="1"/>
        </xdr:cNvSpPr>
      </xdr:nvSpPr>
      <xdr:spPr bwMode="auto">
        <a:xfrm>
          <a:off x="6140450" y="2501900"/>
          <a:ext cx="476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311150</xdr:colOff>
      <xdr:row>14</xdr:row>
      <xdr:rowOff>133350</xdr:rowOff>
    </xdr:from>
    <xdr:to>
      <xdr:col>11</xdr:col>
      <xdr:colOff>381000</xdr:colOff>
      <xdr:row>15</xdr:row>
      <xdr:rowOff>50800</xdr:rowOff>
    </xdr:to>
    <xdr:sp macro="" textlink="">
      <xdr:nvSpPr>
        <xdr:cNvPr id="569388" name="Oval 11">
          <a:extLst>
            <a:ext uri="{FF2B5EF4-FFF2-40B4-BE49-F238E27FC236}">
              <a16:creationId xmlns:a16="http://schemas.microsoft.com/office/drawing/2014/main" id="{AC8032AF-8D23-4B5A-A2E4-7EB803873607}"/>
            </a:ext>
          </a:extLst>
        </xdr:cNvPr>
        <xdr:cNvSpPr>
          <a:spLocks noChangeArrowheads="1"/>
        </xdr:cNvSpPr>
      </xdr:nvSpPr>
      <xdr:spPr bwMode="auto">
        <a:xfrm>
          <a:off x="7543800" y="2476500"/>
          <a:ext cx="698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14</xdr:row>
      <xdr:rowOff>79375</xdr:rowOff>
    </xdr:from>
    <xdr:ext cx="282023" cy="176972"/>
    <xdr:sp macro="" textlink="">
      <xdr:nvSpPr>
        <xdr:cNvPr id="13325" name="Text Box 13">
          <a:extLst>
            <a:ext uri="{FF2B5EF4-FFF2-40B4-BE49-F238E27FC236}">
              <a16:creationId xmlns:a16="http://schemas.microsoft.com/office/drawing/2014/main" id="{C71D0264-3C5A-4879-A370-5CE2D67F66C0}"/>
            </a:ext>
          </a:extLst>
        </xdr:cNvPr>
        <xdr:cNvSpPr txBox="1">
          <a:spLocks noChangeArrowheads="1"/>
        </xdr:cNvSpPr>
      </xdr:nvSpPr>
      <xdr:spPr bwMode="auto">
        <a:xfrm>
          <a:off x="5464175" y="23209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13</xdr:row>
      <xdr:rowOff>149225</xdr:rowOff>
    </xdr:from>
    <xdr:ext cx="705730" cy="330860"/>
    <xdr:sp macro="" textlink="">
      <xdr:nvSpPr>
        <xdr:cNvPr id="13326" name="Text Box 14">
          <a:extLst>
            <a:ext uri="{FF2B5EF4-FFF2-40B4-BE49-F238E27FC236}">
              <a16:creationId xmlns:a16="http://schemas.microsoft.com/office/drawing/2014/main" id="{3B4FFE40-6E95-4086-99F3-31C54862E831}"/>
            </a:ext>
          </a:extLst>
        </xdr:cNvPr>
        <xdr:cNvSpPr txBox="1">
          <a:spLocks noChangeArrowheads="1"/>
        </xdr:cNvSpPr>
      </xdr:nvSpPr>
      <xdr:spPr bwMode="auto">
        <a:xfrm>
          <a:off x="4155871" y="2242608"/>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13</xdr:row>
      <xdr:rowOff>66675</xdr:rowOff>
    </xdr:from>
    <xdr:ext cx="477100" cy="490807"/>
    <xdr:sp macro="" textlink="">
      <xdr:nvSpPr>
        <xdr:cNvPr id="13327" name="Text Box 15">
          <a:extLst>
            <a:ext uri="{FF2B5EF4-FFF2-40B4-BE49-F238E27FC236}">
              <a16:creationId xmlns:a16="http://schemas.microsoft.com/office/drawing/2014/main" id="{004D639B-5164-46C3-8115-C85850AA4DA9}"/>
            </a:ext>
          </a:extLst>
        </xdr:cNvPr>
        <xdr:cNvSpPr txBox="1">
          <a:spLocks noChangeArrowheads="1"/>
        </xdr:cNvSpPr>
      </xdr:nvSpPr>
      <xdr:spPr bwMode="auto">
        <a:xfrm>
          <a:off x="2871661" y="21621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10</xdr:col>
      <xdr:colOff>0</xdr:colOff>
      <xdr:row>13</xdr:row>
      <xdr:rowOff>25400</xdr:rowOff>
    </xdr:from>
    <xdr:to>
      <xdr:col>10</xdr:col>
      <xdr:colOff>584200</xdr:colOff>
      <xdr:row>16</xdr:row>
      <xdr:rowOff>133350</xdr:rowOff>
    </xdr:to>
    <xdr:sp macro="" textlink="">
      <xdr:nvSpPr>
        <xdr:cNvPr id="569392" name="AutoShape 16">
          <a:extLst>
            <a:ext uri="{FF2B5EF4-FFF2-40B4-BE49-F238E27FC236}">
              <a16:creationId xmlns:a16="http://schemas.microsoft.com/office/drawing/2014/main" id="{CDF017D0-F792-4C4D-AF00-BFC29AD331E7}"/>
            </a:ext>
          </a:extLst>
        </xdr:cNvPr>
        <xdr:cNvSpPr>
          <a:spLocks noChangeArrowheads="1"/>
        </xdr:cNvSpPr>
      </xdr:nvSpPr>
      <xdr:spPr bwMode="auto">
        <a:xfrm rot="5400000">
          <a:off x="6616700" y="2209800"/>
          <a:ext cx="584200" cy="5842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10</xdr:col>
      <xdr:colOff>590550</xdr:colOff>
      <xdr:row>15</xdr:row>
      <xdr:rowOff>0</xdr:rowOff>
    </xdr:from>
    <xdr:to>
      <xdr:col>11</xdr:col>
      <xdr:colOff>304800</xdr:colOff>
      <xdr:row>15</xdr:row>
      <xdr:rowOff>0</xdr:rowOff>
    </xdr:to>
    <xdr:sp macro="" textlink="">
      <xdr:nvSpPr>
        <xdr:cNvPr id="569393" name="Line 17">
          <a:extLst>
            <a:ext uri="{FF2B5EF4-FFF2-40B4-BE49-F238E27FC236}">
              <a16:creationId xmlns:a16="http://schemas.microsoft.com/office/drawing/2014/main" id="{5D402EC2-89C3-4123-8BCA-12CBDA4CE927}"/>
            </a:ext>
          </a:extLst>
        </xdr:cNvPr>
        <xdr:cNvSpPr>
          <a:spLocks noChangeShapeType="1"/>
        </xdr:cNvSpPr>
      </xdr:nvSpPr>
      <xdr:spPr bwMode="auto">
        <a:xfrm>
          <a:off x="7207250" y="2501900"/>
          <a:ext cx="330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9</xdr:row>
      <xdr:rowOff>0</xdr:rowOff>
    </xdr:from>
    <xdr:to>
      <xdr:col>8</xdr:col>
      <xdr:colOff>12700</xdr:colOff>
      <xdr:row>12</xdr:row>
      <xdr:rowOff>50800</xdr:rowOff>
    </xdr:to>
    <xdr:sp macro="" textlink="">
      <xdr:nvSpPr>
        <xdr:cNvPr id="569394" name="Line 18">
          <a:extLst>
            <a:ext uri="{FF2B5EF4-FFF2-40B4-BE49-F238E27FC236}">
              <a16:creationId xmlns:a16="http://schemas.microsoft.com/office/drawing/2014/main" id="{364CE504-837E-4022-961C-21776430AC95}"/>
            </a:ext>
          </a:extLst>
        </xdr:cNvPr>
        <xdr:cNvSpPr>
          <a:spLocks noChangeShapeType="1"/>
        </xdr:cNvSpPr>
      </xdr:nvSpPr>
      <xdr:spPr bwMode="auto">
        <a:xfrm>
          <a:off x="4940300" y="15494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17</xdr:row>
      <xdr:rowOff>120650</xdr:rowOff>
    </xdr:from>
    <xdr:to>
      <xdr:col>7</xdr:col>
      <xdr:colOff>603250</xdr:colOff>
      <xdr:row>21</xdr:row>
      <xdr:rowOff>12700</xdr:rowOff>
    </xdr:to>
    <xdr:sp macro="" textlink="">
      <xdr:nvSpPr>
        <xdr:cNvPr id="569395" name="Line 19">
          <a:extLst>
            <a:ext uri="{FF2B5EF4-FFF2-40B4-BE49-F238E27FC236}">
              <a16:creationId xmlns:a16="http://schemas.microsoft.com/office/drawing/2014/main" id="{78A57E19-D865-47D3-9F94-2CB1F8715E20}"/>
            </a:ext>
          </a:extLst>
        </xdr:cNvPr>
        <xdr:cNvSpPr>
          <a:spLocks noChangeShapeType="1"/>
        </xdr:cNvSpPr>
      </xdr:nvSpPr>
      <xdr:spPr bwMode="auto">
        <a:xfrm>
          <a:off x="4914900" y="294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9</xdr:row>
      <xdr:rowOff>120650</xdr:rowOff>
    </xdr:from>
    <xdr:to>
      <xdr:col>10</xdr:col>
      <xdr:colOff>0</xdr:colOff>
      <xdr:row>13</xdr:row>
      <xdr:rowOff>12700</xdr:rowOff>
    </xdr:to>
    <xdr:sp macro="" textlink="">
      <xdr:nvSpPr>
        <xdr:cNvPr id="569396" name="Line 20">
          <a:extLst>
            <a:ext uri="{FF2B5EF4-FFF2-40B4-BE49-F238E27FC236}">
              <a16:creationId xmlns:a16="http://schemas.microsoft.com/office/drawing/2014/main" id="{2E8D09AF-81B5-404D-84F8-B91D9A87EA79}"/>
            </a:ext>
          </a:extLst>
        </xdr:cNvPr>
        <xdr:cNvSpPr>
          <a:spLocks noChangeShapeType="1"/>
        </xdr:cNvSpPr>
      </xdr:nvSpPr>
      <xdr:spPr bwMode="auto">
        <a:xfrm>
          <a:off x="6616700" y="167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16</xdr:row>
      <xdr:rowOff>146050</xdr:rowOff>
    </xdr:from>
    <xdr:to>
      <xdr:col>10</xdr:col>
      <xdr:colOff>0</xdr:colOff>
      <xdr:row>20</xdr:row>
      <xdr:rowOff>50800</xdr:rowOff>
    </xdr:to>
    <xdr:sp macro="" textlink="">
      <xdr:nvSpPr>
        <xdr:cNvPr id="569397" name="Line 22">
          <a:extLst>
            <a:ext uri="{FF2B5EF4-FFF2-40B4-BE49-F238E27FC236}">
              <a16:creationId xmlns:a16="http://schemas.microsoft.com/office/drawing/2014/main" id="{BD2B26BF-DA41-410E-8C6D-44488925F736}"/>
            </a:ext>
          </a:extLst>
        </xdr:cNvPr>
        <xdr:cNvSpPr>
          <a:spLocks noChangeShapeType="1"/>
        </xdr:cNvSpPr>
      </xdr:nvSpPr>
      <xdr:spPr bwMode="auto">
        <a:xfrm>
          <a:off x="6616700" y="28067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14</xdr:row>
      <xdr:rowOff>0</xdr:rowOff>
    </xdr:from>
    <xdr:to>
      <xdr:col>10</xdr:col>
      <xdr:colOff>394335</xdr:colOff>
      <xdr:row>16</xdr:row>
      <xdr:rowOff>38100</xdr:rowOff>
    </xdr:to>
    <xdr:sp macro="" textlink="">
      <xdr:nvSpPr>
        <xdr:cNvPr id="13335" name="Text Box 23">
          <a:extLst>
            <a:ext uri="{FF2B5EF4-FFF2-40B4-BE49-F238E27FC236}">
              <a16:creationId xmlns:a16="http://schemas.microsoft.com/office/drawing/2014/main" id="{8233A73A-4E22-410B-8DD1-16178BAC7D9F}"/>
            </a:ext>
          </a:extLst>
        </xdr:cNvPr>
        <xdr:cNvSpPr txBox="1">
          <a:spLocks noChangeArrowheads="1"/>
        </xdr:cNvSpPr>
      </xdr:nvSpPr>
      <xdr:spPr bwMode="auto">
        <a:xfrm>
          <a:off x="6505575" y="2381250"/>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1" i="0" strike="noStrike">
              <a:solidFill>
                <a:srgbClr val="000000"/>
              </a:solidFill>
              <a:latin typeface="Arial"/>
              <a:cs typeface="Arial"/>
            </a:rPr>
            <a:t>2nd</a:t>
          </a:r>
          <a:endParaRPr lang="en-US" sz="800" b="0" i="0" strike="noStrike">
            <a:solidFill>
              <a:srgbClr val="000000"/>
            </a:solidFill>
            <a:latin typeface="Arial"/>
            <a:cs typeface="Arial"/>
          </a:endParaRPr>
        </a:p>
        <a:p>
          <a:pPr algn="l" rtl="1">
            <a:defRPr sz="1000"/>
          </a:pPr>
          <a:r>
            <a:rPr lang="en-US" sz="800" b="1" i="0" strike="noStrike">
              <a:solidFill>
                <a:srgbClr val="000000"/>
              </a:solidFill>
              <a:latin typeface="Arial"/>
              <a:cs typeface="Arial"/>
            </a:rPr>
            <a:t>Stage</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17</xdr:row>
      <xdr:rowOff>9525</xdr:rowOff>
    </xdr:from>
    <xdr:ext cx="289246" cy="170560"/>
    <xdr:sp macro="" textlink="">
      <xdr:nvSpPr>
        <xdr:cNvPr id="13337" name="Text Box 25">
          <a:extLst>
            <a:ext uri="{FF2B5EF4-FFF2-40B4-BE49-F238E27FC236}">
              <a16:creationId xmlns:a16="http://schemas.microsoft.com/office/drawing/2014/main" id="{77F8DA4B-ADC1-4373-AEAC-A5829298E7FB}"/>
            </a:ext>
          </a:extLst>
        </xdr:cNvPr>
        <xdr:cNvSpPr txBox="1">
          <a:spLocks noChangeArrowheads="1"/>
        </xdr:cNvSpPr>
      </xdr:nvSpPr>
      <xdr:spPr bwMode="auto">
        <a:xfrm>
          <a:off x="3965575" y="28627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17</xdr:row>
      <xdr:rowOff>82550</xdr:rowOff>
    </xdr:from>
    <xdr:to>
      <xdr:col>6</xdr:col>
      <xdr:colOff>254000</xdr:colOff>
      <xdr:row>17</xdr:row>
      <xdr:rowOff>82550</xdr:rowOff>
    </xdr:to>
    <xdr:sp macro="" textlink="">
      <xdr:nvSpPr>
        <xdr:cNvPr id="569401" name="Line 26">
          <a:extLst>
            <a:ext uri="{FF2B5EF4-FFF2-40B4-BE49-F238E27FC236}">
              <a16:creationId xmlns:a16="http://schemas.microsoft.com/office/drawing/2014/main" id="{6E74CA13-B8D9-4188-BAB8-89D31EAE8ECF}"/>
            </a:ext>
          </a:extLst>
        </xdr:cNvPr>
        <xdr:cNvSpPr>
          <a:spLocks noChangeShapeType="1"/>
        </xdr:cNvSpPr>
      </xdr:nvSpPr>
      <xdr:spPr bwMode="auto">
        <a:xfrm flipH="1">
          <a:off x="3695700" y="29019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17</xdr:row>
      <xdr:rowOff>82550</xdr:rowOff>
    </xdr:from>
    <xdr:to>
      <xdr:col>7</xdr:col>
      <xdr:colOff>279400</xdr:colOff>
      <xdr:row>17</xdr:row>
      <xdr:rowOff>82550</xdr:rowOff>
    </xdr:to>
    <xdr:sp macro="" textlink="">
      <xdr:nvSpPr>
        <xdr:cNvPr id="569402" name="Line 27">
          <a:extLst>
            <a:ext uri="{FF2B5EF4-FFF2-40B4-BE49-F238E27FC236}">
              <a16:creationId xmlns:a16="http://schemas.microsoft.com/office/drawing/2014/main" id="{42EDA505-AB4B-46AC-B238-B11C611AABA1}"/>
            </a:ext>
          </a:extLst>
        </xdr:cNvPr>
        <xdr:cNvSpPr>
          <a:spLocks noChangeShapeType="1"/>
        </xdr:cNvSpPr>
      </xdr:nvSpPr>
      <xdr:spPr bwMode="auto">
        <a:xfrm>
          <a:off x="43243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17</xdr:row>
      <xdr:rowOff>95250</xdr:rowOff>
    </xdr:from>
    <xdr:to>
      <xdr:col>4</xdr:col>
      <xdr:colOff>241300</xdr:colOff>
      <xdr:row>17</xdr:row>
      <xdr:rowOff>95250</xdr:rowOff>
    </xdr:to>
    <xdr:sp macro="" textlink="">
      <xdr:nvSpPr>
        <xdr:cNvPr id="569403" name="Line 28">
          <a:extLst>
            <a:ext uri="{FF2B5EF4-FFF2-40B4-BE49-F238E27FC236}">
              <a16:creationId xmlns:a16="http://schemas.microsoft.com/office/drawing/2014/main" id="{77017DE7-1A8A-44BC-8D44-9D4CCA0199DC}"/>
            </a:ext>
          </a:extLst>
        </xdr:cNvPr>
        <xdr:cNvSpPr>
          <a:spLocks noChangeShapeType="1"/>
        </xdr:cNvSpPr>
      </xdr:nvSpPr>
      <xdr:spPr bwMode="auto">
        <a:xfrm flipH="1">
          <a:off x="2451100" y="29146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17</xdr:row>
      <xdr:rowOff>82550</xdr:rowOff>
    </xdr:from>
    <xdr:to>
      <xdr:col>5</xdr:col>
      <xdr:colOff>292100</xdr:colOff>
      <xdr:row>17</xdr:row>
      <xdr:rowOff>82550</xdr:rowOff>
    </xdr:to>
    <xdr:sp macro="" textlink="">
      <xdr:nvSpPr>
        <xdr:cNvPr id="569404" name="Line 29">
          <a:extLst>
            <a:ext uri="{FF2B5EF4-FFF2-40B4-BE49-F238E27FC236}">
              <a16:creationId xmlns:a16="http://schemas.microsoft.com/office/drawing/2014/main" id="{AAB6580A-B2D1-4C22-9DD8-15590F470D51}"/>
            </a:ext>
          </a:extLst>
        </xdr:cNvPr>
        <xdr:cNvSpPr>
          <a:spLocks noChangeShapeType="1"/>
        </xdr:cNvSpPr>
      </xdr:nvSpPr>
      <xdr:spPr bwMode="auto">
        <a:xfrm>
          <a:off x="31051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17</xdr:row>
      <xdr:rowOff>9525</xdr:rowOff>
    </xdr:from>
    <xdr:ext cx="323678" cy="170560"/>
    <xdr:sp macro="" textlink="">
      <xdr:nvSpPr>
        <xdr:cNvPr id="13342" name="Text Box 30">
          <a:extLst>
            <a:ext uri="{FF2B5EF4-FFF2-40B4-BE49-F238E27FC236}">
              <a16:creationId xmlns:a16="http://schemas.microsoft.com/office/drawing/2014/main" id="{94FC36E1-3013-4F45-9472-302F3FC14683}"/>
            </a:ext>
          </a:extLst>
        </xdr:cNvPr>
        <xdr:cNvSpPr txBox="1">
          <a:spLocks noChangeArrowheads="1"/>
        </xdr:cNvSpPr>
      </xdr:nvSpPr>
      <xdr:spPr bwMode="auto">
        <a:xfrm>
          <a:off x="2729442" y="28627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17</xdr:col>
      <xdr:colOff>304800</xdr:colOff>
      <xdr:row>65</xdr:row>
      <xdr:rowOff>50800</xdr:rowOff>
    </xdr:from>
    <xdr:to>
      <xdr:col>17</xdr:col>
      <xdr:colOff>304800</xdr:colOff>
      <xdr:row>67</xdr:row>
      <xdr:rowOff>38100</xdr:rowOff>
    </xdr:to>
    <xdr:sp macro="" textlink="">
      <xdr:nvSpPr>
        <xdr:cNvPr id="569406" name="Line 35">
          <a:extLst>
            <a:ext uri="{FF2B5EF4-FFF2-40B4-BE49-F238E27FC236}">
              <a16:creationId xmlns:a16="http://schemas.microsoft.com/office/drawing/2014/main" id="{1222FC27-B080-4CDA-ADFE-92B36891F6C0}"/>
            </a:ext>
          </a:extLst>
        </xdr:cNvPr>
        <xdr:cNvSpPr>
          <a:spLocks noChangeShapeType="1"/>
        </xdr:cNvSpPr>
      </xdr:nvSpPr>
      <xdr:spPr bwMode="auto">
        <a:xfrm flipV="1">
          <a:off x="112331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304800</xdr:colOff>
      <xdr:row>61</xdr:row>
      <xdr:rowOff>82550</xdr:rowOff>
    </xdr:from>
    <xdr:to>
      <xdr:col>17</xdr:col>
      <xdr:colOff>304800</xdr:colOff>
      <xdr:row>63</xdr:row>
      <xdr:rowOff>82550</xdr:rowOff>
    </xdr:to>
    <xdr:sp macro="" textlink="">
      <xdr:nvSpPr>
        <xdr:cNvPr id="569407" name="Line 36">
          <a:extLst>
            <a:ext uri="{FF2B5EF4-FFF2-40B4-BE49-F238E27FC236}">
              <a16:creationId xmlns:a16="http://schemas.microsoft.com/office/drawing/2014/main" id="{8E2F867A-5CF4-48D4-8897-28B2FDF3030B}"/>
            </a:ext>
          </a:extLst>
        </xdr:cNvPr>
        <xdr:cNvSpPr>
          <a:spLocks noChangeShapeType="1"/>
        </xdr:cNvSpPr>
      </xdr:nvSpPr>
      <xdr:spPr bwMode="auto">
        <a:xfrm flipV="1">
          <a:off x="112331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65</xdr:row>
      <xdr:rowOff>50800</xdr:rowOff>
    </xdr:from>
    <xdr:to>
      <xdr:col>20</xdr:col>
      <xdr:colOff>311150</xdr:colOff>
      <xdr:row>67</xdr:row>
      <xdr:rowOff>38100</xdr:rowOff>
    </xdr:to>
    <xdr:sp macro="" textlink="">
      <xdr:nvSpPr>
        <xdr:cNvPr id="569408" name="Line 37">
          <a:extLst>
            <a:ext uri="{FF2B5EF4-FFF2-40B4-BE49-F238E27FC236}">
              <a16:creationId xmlns:a16="http://schemas.microsoft.com/office/drawing/2014/main" id="{DDACD318-15F9-4D36-9719-C3B9C3E5548D}"/>
            </a:ext>
          </a:extLst>
        </xdr:cNvPr>
        <xdr:cNvSpPr>
          <a:spLocks noChangeShapeType="1"/>
        </xdr:cNvSpPr>
      </xdr:nvSpPr>
      <xdr:spPr bwMode="auto">
        <a:xfrm flipV="1">
          <a:off x="130873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61</xdr:row>
      <xdr:rowOff>82550</xdr:rowOff>
    </xdr:from>
    <xdr:to>
      <xdr:col>20</xdr:col>
      <xdr:colOff>311150</xdr:colOff>
      <xdr:row>63</xdr:row>
      <xdr:rowOff>82550</xdr:rowOff>
    </xdr:to>
    <xdr:sp macro="" textlink="">
      <xdr:nvSpPr>
        <xdr:cNvPr id="569409" name="Line 38">
          <a:extLst>
            <a:ext uri="{FF2B5EF4-FFF2-40B4-BE49-F238E27FC236}">
              <a16:creationId xmlns:a16="http://schemas.microsoft.com/office/drawing/2014/main" id="{8CF2DF74-F80F-437E-8430-BA2EC2FAD2AB}"/>
            </a:ext>
          </a:extLst>
        </xdr:cNvPr>
        <xdr:cNvSpPr>
          <a:spLocks noChangeShapeType="1"/>
        </xdr:cNvSpPr>
      </xdr:nvSpPr>
      <xdr:spPr bwMode="auto">
        <a:xfrm flipV="1">
          <a:off x="130873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139700</xdr:colOff>
      <xdr:row>53</xdr:row>
      <xdr:rowOff>12700</xdr:rowOff>
    </xdr:from>
    <xdr:to>
      <xdr:col>13</xdr:col>
      <xdr:colOff>571500</xdr:colOff>
      <xdr:row>70</xdr:row>
      <xdr:rowOff>146050</xdr:rowOff>
    </xdr:to>
    <xdr:sp macro="" textlink="">
      <xdr:nvSpPr>
        <xdr:cNvPr id="569410" name="AutoShape 39">
          <a:extLst>
            <a:ext uri="{FF2B5EF4-FFF2-40B4-BE49-F238E27FC236}">
              <a16:creationId xmlns:a16="http://schemas.microsoft.com/office/drawing/2014/main" id="{1502663E-6614-4E47-A840-27AE98611539}"/>
            </a:ext>
          </a:extLst>
        </xdr:cNvPr>
        <xdr:cNvSpPr>
          <a:spLocks/>
        </xdr:cNvSpPr>
      </xdr:nvSpPr>
      <xdr:spPr bwMode="auto">
        <a:xfrm>
          <a:off x="8604250" y="8235950"/>
          <a:ext cx="431800" cy="2851150"/>
        </a:xfrm>
        <a:prstGeom prst="leftBrace">
          <a:avLst>
            <a:gd name="adj1" fmla="val 102774"/>
            <a:gd name="adj2" fmla="val 546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311150</xdr:colOff>
      <xdr:row>82</xdr:row>
      <xdr:rowOff>0</xdr:rowOff>
    </xdr:from>
    <xdr:to>
      <xdr:col>3</xdr:col>
      <xdr:colOff>311150</xdr:colOff>
      <xdr:row>85</xdr:row>
      <xdr:rowOff>95250</xdr:rowOff>
    </xdr:to>
    <xdr:sp macro="" textlink="">
      <xdr:nvSpPr>
        <xdr:cNvPr id="569411" name="AutoShape 40">
          <a:extLst>
            <a:ext uri="{FF2B5EF4-FFF2-40B4-BE49-F238E27FC236}">
              <a16:creationId xmlns:a16="http://schemas.microsoft.com/office/drawing/2014/main" id="{8A84C0CF-E9D2-4FC1-9B1A-EE3F6BD716A8}"/>
            </a:ext>
          </a:extLst>
        </xdr:cNvPr>
        <xdr:cNvSpPr>
          <a:spLocks noChangeArrowheads="1"/>
        </xdr:cNvSpPr>
      </xdr:nvSpPr>
      <xdr:spPr bwMode="auto">
        <a:xfrm rot="10800000">
          <a:off x="1543050" y="128905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82</xdr:row>
      <xdr:rowOff>0</xdr:rowOff>
    </xdr:from>
    <xdr:to>
      <xdr:col>3</xdr:col>
      <xdr:colOff>0</xdr:colOff>
      <xdr:row>88</xdr:row>
      <xdr:rowOff>12700</xdr:rowOff>
    </xdr:to>
    <xdr:sp macro="" textlink="">
      <xdr:nvSpPr>
        <xdr:cNvPr id="569412" name="Line 41">
          <a:extLst>
            <a:ext uri="{FF2B5EF4-FFF2-40B4-BE49-F238E27FC236}">
              <a16:creationId xmlns:a16="http://schemas.microsoft.com/office/drawing/2014/main" id="{FBE9422E-6A06-4CDA-BB28-3F96A2CB1C3E}"/>
            </a:ext>
          </a:extLst>
        </xdr:cNvPr>
        <xdr:cNvSpPr>
          <a:spLocks noChangeShapeType="1"/>
        </xdr:cNvSpPr>
      </xdr:nvSpPr>
      <xdr:spPr bwMode="auto">
        <a:xfrm>
          <a:off x="1847850" y="128905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88</xdr:row>
      <xdr:rowOff>12700</xdr:rowOff>
    </xdr:from>
    <xdr:to>
      <xdr:col>4</xdr:col>
      <xdr:colOff>0</xdr:colOff>
      <xdr:row>88</xdr:row>
      <xdr:rowOff>12700</xdr:rowOff>
    </xdr:to>
    <xdr:sp macro="" textlink="">
      <xdr:nvSpPr>
        <xdr:cNvPr id="569413" name="Line 42">
          <a:extLst>
            <a:ext uri="{FF2B5EF4-FFF2-40B4-BE49-F238E27FC236}">
              <a16:creationId xmlns:a16="http://schemas.microsoft.com/office/drawing/2014/main" id="{B87FB941-8193-4683-AC62-EF68278EA90E}"/>
            </a:ext>
          </a:extLst>
        </xdr:cNvPr>
        <xdr:cNvSpPr>
          <a:spLocks noChangeShapeType="1"/>
        </xdr:cNvSpPr>
      </xdr:nvSpPr>
      <xdr:spPr bwMode="auto">
        <a:xfrm>
          <a:off x="1860550" y="138557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86</xdr:row>
      <xdr:rowOff>0</xdr:rowOff>
    </xdr:from>
    <xdr:to>
      <xdr:col>5</xdr:col>
      <xdr:colOff>304800</xdr:colOff>
      <xdr:row>90</xdr:row>
      <xdr:rowOff>0</xdr:rowOff>
    </xdr:to>
    <xdr:sp macro="" textlink="">
      <xdr:nvSpPr>
        <xdr:cNvPr id="569414" name="Rectangle 43">
          <a:extLst>
            <a:ext uri="{FF2B5EF4-FFF2-40B4-BE49-F238E27FC236}">
              <a16:creationId xmlns:a16="http://schemas.microsoft.com/office/drawing/2014/main" id="{2C750B40-6A8C-4AF3-A55C-D17827667B80}"/>
            </a:ext>
          </a:extLst>
        </xdr:cNvPr>
        <xdr:cNvSpPr>
          <a:spLocks noChangeArrowheads="1"/>
        </xdr:cNvSpPr>
      </xdr:nvSpPr>
      <xdr:spPr bwMode="auto">
        <a:xfrm>
          <a:off x="24638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86</xdr:row>
      <xdr:rowOff>0</xdr:rowOff>
    </xdr:from>
    <xdr:to>
      <xdr:col>7</xdr:col>
      <xdr:colOff>304800</xdr:colOff>
      <xdr:row>90</xdr:row>
      <xdr:rowOff>0</xdr:rowOff>
    </xdr:to>
    <xdr:sp macro="" textlink="">
      <xdr:nvSpPr>
        <xdr:cNvPr id="569415" name="Rectangle 44">
          <a:extLst>
            <a:ext uri="{FF2B5EF4-FFF2-40B4-BE49-F238E27FC236}">
              <a16:creationId xmlns:a16="http://schemas.microsoft.com/office/drawing/2014/main" id="{98AECBD8-3EBC-4244-BCC5-CAE679CC5910}"/>
            </a:ext>
          </a:extLst>
        </xdr:cNvPr>
        <xdr:cNvSpPr>
          <a:spLocks noChangeArrowheads="1"/>
        </xdr:cNvSpPr>
      </xdr:nvSpPr>
      <xdr:spPr bwMode="auto">
        <a:xfrm>
          <a:off x="36957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86</xdr:row>
      <xdr:rowOff>9525</xdr:rowOff>
    </xdr:from>
    <xdr:to>
      <xdr:col>8</xdr:col>
      <xdr:colOff>608310</xdr:colOff>
      <xdr:row>89</xdr:row>
      <xdr:rowOff>146014</xdr:rowOff>
    </xdr:to>
    <xdr:sp macro="" textlink="">
      <xdr:nvSpPr>
        <xdr:cNvPr id="13357" name="AutoShape 45">
          <a:extLst>
            <a:ext uri="{FF2B5EF4-FFF2-40B4-BE49-F238E27FC236}">
              <a16:creationId xmlns:a16="http://schemas.microsoft.com/office/drawing/2014/main" id="{3E2710CF-FFC4-4ACF-93D7-0CA34D4B7584}"/>
            </a:ext>
          </a:extLst>
        </xdr:cNvPr>
        <xdr:cNvSpPr>
          <a:spLocks noChangeArrowheads="1"/>
        </xdr:cNvSpPr>
      </xdr:nvSpPr>
      <xdr:spPr bwMode="auto">
        <a:xfrm rot="5400000">
          <a:off x="4857750" y="13782675"/>
          <a:ext cx="628650" cy="5905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88</xdr:row>
      <xdr:rowOff>0</xdr:rowOff>
    </xdr:from>
    <xdr:to>
      <xdr:col>6</xdr:col>
      <xdr:colOff>0</xdr:colOff>
      <xdr:row>88</xdr:row>
      <xdr:rowOff>0</xdr:rowOff>
    </xdr:to>
    <xdr:sp macro="" textlink="">
      <xdr:nvSpPr>
        <xdr:cNvPr id="569417" name="Line 46">
          <a:extLst>
            <a:ext uri="{FF2B5EF4-FFF2-40B4-BE49-F238E27FC236}">
              <a16:creationId xmlns:a16="http://schemas.microsoft.com/office/drawing/2014/main" id="{F09E6FF4-AEF6-4C0A-8C5A-9F8CC97CB431}"/>
            </a:ext>
          </a:extLst>
        </xdr:cNvPr>
        <xdr:cNvSpPr>
          <a:spLocks noChangeShapeType="1"/>
        </xdr:cNvSpPr>
      </xdr:nvSpPr>
      <xdr:spPr bwMode="auto">
        <a:xfrm>
          <a:off x="33845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88</xdr:row>
      <xdr:rowOff>0</xdr:rowOff>
    </xdr:from>
    <xdr:to>
      <xdr:col>7</xdr:col>
      <xdr:colOff>615950</xdr:colOff>
      <xdr:row>88</xdr:row>
      <xdr:rowOff>0</xdr:rowOff>
    </xdr:to>
    <xdr:sp macro="" textlink="">
      <xdr:nvSpPr>
        <xdr:cNvPr id="569418" name="Line 47">
          <a:extLst>
            <a:ext uri="{FF2B5EF4-FFF2-40B4-BE49-F238E27FC236}">
              <a16:creationId xmlns:a16="http://schemas.microsoft.com/office/drawing/2014/main" id="{4E86C98A-4902-4C6F-B326-F20CDDDAEA66}"/>
            </a:ext>
          </a:extLst>
        </xdr:cNvPr>
        <xdr:cNvSpPr>
          <a:spLocks noChangeShapeType="1"/>
        </xdr:cNvSpPr>
      </xdr:nvSpPr>
      <xdr:spPr bwMode="auto">
        <a:xfrm>
          <a:off x="46164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603250</xdr:colOff>
      <xdr:row>88</xdr:row>
      <xdr:rowOff>0</xdr:rowOff>
    </xdr:from>
    <xdr:to>
      <xdr:col>10</xdr:col>
      <xdr:colOff>0</xdr:colOff>
      <xdr:row>88</xdr:row>
      <xdr:rowOff>0</xdr:rowOff>
    </xdr:to>
    <xdr:sp macro="" textlink="">
      <xdr:nvSpPr>
        <xdr:cNvPr id="569419" name="Line 48">
          <a:extLst>
            <a:ext uri="{FF2B5EF4-FFF2-40B4-BE49-F238E27FC236}">
              <a16:creationId xmlns:a16="http://schemas.microsoft.com/office/drawing/2014/main" id="{B6DF6C77-A1AC-4981-B714-994E631ED656}"/>
            </a:ext>
          </a:extLst>
        </xdr:cNvPr>
        <xdr:cNvSpPr>
          <a:spLocks noChangeShapeType="1"/>
        </xdr:cNvSpPr>
      </xdr:nvSpPr>
      <xdr:spPr bwMode="auto">
        <a:xfrm>
          <a:off x="5530850" y="13843000"/>
          <a:ext cx="10858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311150</xdr:colOff>
      <xdr:row>87</xdr:row>
      <xdr:rowOff>120650</xdr:rowOff>
    </xdr:from>
    <xdr:to>
      <xdr:col>12</xdr:col>
      <xdr:colOff>393700</xdr:colOff>
      <xdr:row>88</xdr:row>
      <xdr:rowOff>38100</xdr:rowOff>
    </xdr:to>
    <xdr:sp macro="" textlink="">
      <xdr:nvSpPr>
        <xdr:cNvPr id="569420" name="Oval 49">
          <a:extLst>
            <a:ext uri="{FF2B5EF4-FFF2-40B4-BE49-F238E27FC236}">
              <a16:creationId xmlns:a16="http://schemas.microsoft.com/office/drawing/2014/main" id="{C643DDFB-22C0-4151-B7DC-FEC88BE7E4E4}"/>
            </a:ext>
          </a:extLst>
        </xdr:cNvPr>
        <xdr:cNvSpPr>
          <a:spLocks noChangeArrowheads="1"/>
        </xdr:cNvSpPr>
      </xdr:nvSpPr>
      <xdr:spPr bwMode="auto">
        <a:xfrm>
          <a:off x="8159750" y="13804900"/>
          <a:ext cx="825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87</xdr:row>
      <xdr:rowOff>79375</xdr:rowOff>
    </xdr:from>
    <xdr:ext cx="282023" cy="176972"/>
    <xdr:sp macro="" textlink="">
      <xdr:nvSpPr>
        <xdr:cNvPr id="13362" name="Text Box 50">
          <a:extLst>
            <a:ext uri="{FF2B5EF4-FFF2-40B4-BE49-F238E27FC236}">
              <a16:creationId xmlns:a16="http://schemas.microsoft.com/office/drawing/2014/main" id="{B3162817-AB62-4DD1-B9E0-C8409884A88D}"/>
            </a:ext>
          </a:extLst>
        </xdr:cNvPr>
        <xdr:cNvSpPr txBox="1">
          <a:spLocks noChangeArrowheads="1"/>
        </xdr:cNvSpPr>
      </xdr:nvSpPr>
      <xdr:spPr bwMode="auto">
        <a:xfrm>
          <a:off x="5464175" y="131794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86</xdr:row>
      <xdr:rowOff>149225</xdr:rowOff>
    </xdr:from>
    <xdr:ext cx="705730" cy="330860"/>
    <xdr:sp macro="" textlink="">
      <xdr:nvSpPr>
        <xdr:cNvPr id="13363" name="Text Box 51">
          <a:extLst>
            <a:ext uri="{FF2B5EF4-FFF2-40B4-BE49-F238E27FC236}">
              <a16:creationId xmlns:a16="http://schemas.microsoft.com/office/drawing/2014/main" id="{0BB0BC46-A45B-4779-8028-D18238D7A9C8}"/>
            </a:ext>
          </a:extLst>
        </xdr:cNvPr>
        <xdr:cNvSpPr txBox="1">
          <a:spLocks noChangeArrowheads="1"/>
        </xdr:cNvSpPr>
      </xdr:nvSpPr>
      <xdr:spPr bwMode="auto">
        <a:xfrm>
          <a:off x="4155871" y="13105342"/>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86</xdr:row>
      <xdr:rowOff>66675</xdr:rowOff>
    </xdr:from>
    <xdr:ext cx="477100" cy="490807"/>
    <xdr:sp macro="" textlink="">
      <xdr:nvSpPr>
        <xdr:cNvPr id="13364" name="Text Box 52">
          <a:extLst>
            <a:ext uri="{FF2B5EF4-FFF2-40B4-BE49-F238E27FC236}">
              <a16:creationId xmlns:a16="http://schemas.microsoft.com/office/drawing/2014/main" id="{F511CE6E-2A75-4960-8665-8E50202D2AF5}"/>
            </a:ext>
          </a:extLst>
        </xdr:cNvPr>
        <xdr:cNvSpPr txBox="1">
          <a:spLocks noChangeArrowheads="1"/>
        </xdr:cNvSpPr>
      </xdr:nvSpPr>
      <xdr:spPr bwMode="auto">
        <a:xfrm>
          <a:off x="2871661" y="130206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11</xdr:col>
      <xdr:colOff>171450</xdr:colOff>
      <xdr:row>88</xdr:row>
      <xdr:rowOff>0</xdr:rowOff>
    </xdr:from>
    <xdr:to>
      <xdr:col>12</xdr:col>
      <xdr:colOff>304800</xdr:colOff>
      <xdr:row>88</xdr:row>
      <xdr:rowOff>0</xdr:rowOff>
    </xdr:to>
    <xdr:sp macro="" textlink="">
      <xdr:nvSpPr>
        <xdr:cNvPr id="569424" name="Line 54">
          <a:extLst>
            <a:ext uri="{FF2B5EF4-FFF2-40B4-BE49-F238E27FC236}">
              <a16:creationId xmlns:a16="http://schemas.microsoft.com/office/drawing/2014/main" id="{E4EF65CA-4B9C-4D3E-88C2-C9F24929A0C9}"/>
            </a:ext>
          </a:extLst>
        </xdr:cNvPr>
        <xdr:cNvSpPr>
          <a:spLocks noChangeShapeType="1"/>
        </xdr:cNvSpPr>
      </xdr:nvSpPr>
      <xdr:spPr bwMode="auto">
        <a:xfrm flipV="1">
          <a:off x="7404100" y="13843000"/>
          <a:ext cx="749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82</xdr:row>
      <xdr:rowOff>0</xdr:rowOff>
    </xdr:from>
    <xdr:to>
      <xdr:col>8</xdr:col>
      <xdr:colOff>12700</xdr:colOff>
      <xdr:row>85</xdr:row>
      <xdr:rowOff>50800</xdr:rowOff>
    </xdr:to>
    <xdr:sp macro="" textlink="">
      <xdr:nvSpPr>
        <xdr:cNvPr id="569425" name="Line 55">
          <a:extLst>
            <a:ext uri="{FF2B5EF4-FFF2-40B4-BE49-F238E27FC236}">
              <a16:creationId xmlns:a16="http://schemas.microsoft.com/office/drawing/2014/main" id="{196E244C-9338-4C10-B7D6-6C65C1F672D3}"/>
            </a:ext>
          </a:extLst>
        </xdr:cNvPr>
        <xdr:cNvSpPr>
          <a:spLocks noChangeShapeType="1"/>
        </xdr:cNvSpPr>
      </xdr:nvSpPr>
      <xdr:spPr bwMode="auto">
        <a:xfrm>
          <a:off x="4940300" y="128905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90</xdr:row>
      <xdr:rowOff>120650</xdr:rowOff>
    </xdr:from>
    <xdr:to>
      <xdr:col>7</xdr:col>
      <xdr:colOff>603250</xdr:colOff>
      <xdr:row>94</xdr:row>
      <xdr:rowOff>12700</xdr:rowOff>
    </xdr:to>
    <xdr:sp macro="" textlink="">
      <xdr:nvSpPr>
        <xdr:cNvPr id="569426" name="Line 56">
          <a:extLst>
            <a:ext uri="{FF2B5EF4-FFF2-40B4-BE49-F238E27FC236}">
              <a16:creationId xmlns:a16="http://schemas.microsoft.com/office/drawing/2014/main" id="{220510D8-861C-4736-8136-11CA9E4B5C07}"/>
            </a:ext>
          </a:extLst>
        </xdr:cNvPr>
        <xdr:cNvSpPr>
          <a:spLocks noChangeShapeType="1"/>
        </xdr:cNvSpPr>
      </xdr:nvSpPr>
      <xdr:spPr bwMode="auto">
        <a:xfrm>
          <a:off x="4914900" y="1428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82</xdr:row>
      <xdr:rowOff>120650</xdr:rowOff>
    </xdr:from>
    <xdr:to>
      <xdr:col>10</xdr:col>
      <xdr:colOff>0</xdr:colOff>
      <xdr:row>86</xdr:row>
      <xdr:rowOff>12700</xdr:rowOff>
    </xdr:to>
    <xdr:sp macro="" textlink="">
      <xdr:nvSpPr>
        <xdr:cNvPr id="569427" name="Line 57">
          <a:extLst>
            <a:ext uri="{FF2B5EF4-FFF2-40B4-BE49-F238E27FC236}">
              <a16:creationId xmlns:a16="http://schemas.microsoft.com/office/drawing/2014/main" id="{CB69633E-3E2E-4136-9D80-198A046DE434}"/>
            </a:ext>
          </a:extLst>
        </xdr:cNvPr>
        <xdr:cNvSpPr>
          <a:spLocks noChangeShapeType="1"/>
        </xdr:cNvSpPr>
      </xdr:nvSpPr>
      <xdr:spPr bwMode="auto">
        <a:xfrm>
          <a:off x="6616700" y="1301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89</xdr:row>
      <xdr:rowOff>146050</xdr:rowOff>
    </xdr:from>
    <xdr:to>
      <xdr:col>10</xdr:col>
      <xdr:colOff>0</xdr:colOff>
      <xdr:row>93</xdr:row>
      <xdr:rowOff>50800</xdr:rowOff>
    </xdr:to>
    <xdr:sp macro="" textlink="">
      <xdr:nvSpPr>
        <xdr:cNvPr id="569428" name="Line 58">
          <a:extLst>
            <a:ext uri="{FF2B5EF4-FFF2-40B4-BE49-F238E27FC236}">
              <a16:creationId xmlns:a16="http://schemas.microsoft.com/office/drawing/2014/main" id="{B7DBB86F-EE8E-4E25-A389-B81D0969E3EC}"/>
            </a:ext>
          </a:extLst>
        </xdr:cNvPr>
        <xdr:cNvSpPr>
          <a:spLocks noChangeShapeType="1"/>
        </xdr:cNvSpPr>
      </xdr:nvSpPr>
      <xdr:spPr bwMode="auto">
        <a:xfrm>
          <a:off x="6616700" y="141478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87</xdr:row>
      <xdr:rowOff>0</xdr:rowOff>
    </xdr:from>
    <xdr:to>
      <xdr:col>10</xdr:col>
      <xdr:colOff>394335</xdr:colOff>
      <xdr:row>89</xdr:row>
      <xdr:rowOff>38100</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91</xdr:row>
      <xdr:rowOff>0</xdr:rowOff>
    </xdr:from>
    <xdr:to>
      <xdr:col>6</xdr:col>
      <xdr:colOff>419100</xdr:colOff>
      <xdr:row>92</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90</xdr:row>
      <xdr:rowOff>9525</xdr:rowOff>
    </xdr:from>
    <xdr:ext cx="289246" cy="170560"/>
    <xdr:sp macro="" textlink="">
      <xdr:nvSpPr>
        <xdr:cNvPr id="13373" name="Text Box 61">
          <a:extLst>
            <a:ext uri="{FF2B5EF4-FFF2-40B4-BE49-F238E27FC236}">
              <a16:creationId xmlns:a16="http://schemas.microsoft.com/office/drawing/2014/main" id="{CA08FDB7-A589-4AF1-A45D-250FBAA0336D}"/>
            </a:ext>
          </a:extLst>
        </xdr:cNvPr>
        <xdr:cNvSpPr txBox="1">
          <a:spLocks noChangeArrowheads="1"/>
        </xdr:cNvSpPr>
      </xdr:nvSpPr>
      <xdr:spPr bwMode="auto">
        <a:xfrm>
          <a:off x="3965575" y="143435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90</xdr:row>
      <xdr:rowOff>82550</xdr:rowOff>
    </xdr:from>
    <xdr:to>
      <xdr:col>6</xdr:col>
      <xdr:colOff>254000</xdr:colOff>
      <xdr:row>90</xdr:row>
      <xdr:rowOff>82550</xdr:rowOff>
    </xdr:to>
    <xdr:sp macro="" textlink="">
      <xdr:nvSpPr>
        <xdr:cNvPr id="569432" name="Line 62">
          <a:extLst>
            <a:ext uri="{FF2B5EF4-FFF2-40B4-BE49-F238E27FC236}">
              <a16:creationId xmlns:a16="http://schemas.microsoft.com/office/drawing/2014/main" id="{7D49BF59-264D-45CE-A165-3666A1376BA7}"/>
            </a:ext>
          </a:extLst>
        </xdr:cNvPr>
        <xdr:cNvSpPr>
          <a:spLocks noChangeShapeType="1"/>
        </xdr:cNvSpPr>
      </xdr:nvSpPr>
      <xdr:spPr bwMode="auto">
        <a:xfrm flipH="1">
          <a:off x="3695700" y="142430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90</xdr:row>
      <xdr:rowOff>82550</xdr:rowOff>
    </xdr:from>
    <xdr:to>
      <xdr:col>7</xdr:col>
      <xdr:colOff>279400</xdr:colOff>
      <xdr:row>90</xdr:row>
      <xdr:rowOff>82550</xdr:rowOff>
    </xdr:to>
    <xdr:sp macro="" textlink="">
      <xdr:nvSpPr>
        <xdr:cNvPr id="569433" name="Line 63">
          <a:extLst>
            <a:ext uri="{FF2B5EF4-FFF2-40B4-BE49-F238E27FC236}">
              <a16:creationId xmlns:a16="http://schemas.microsoft.com/office/drawing/2014/main" id="{3C483E25-DA0E-4FE5-AC33-DDF0201C533D}"/>
            </a:ext>
          </a:extLst>
        </xdr:cNvPr>
        <xdr:cNvSpPr>
          <a:spLocks noChangeShapeType="1"/>
        </xdr:cNvSpPr>
      </xdr:nvSpPr>
      <xdr:spPr bwMode="auto">
        <a:xfrm>
          <a:off x="43243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90</xdr:row>
      <xdr:rowOff>95250</xdr:rowOff>
    </xdr:from>
    <xdr:to>
      <xdr:col>4</xdr:col>
      <xdr:colOff>241300</xdr:colOff>
      <xdr:row>90</xdr:row>
      <xdr:rowOff>95250</xdr:rowOff>
    </xdr:to>
    <xdr:sp macro="" textlink="">
      <xdr:nvSpPr>
        <xdr:cNvPr id="569434" name="Line 64">
          <a:extLst>
            <a:ext uri="{FF2B5EF4-FFF2-40B4-BE49-F238E27FC236}">
              <a16:creationId xmlns:a16="http://schemas.microsoft.com/office/drawing/2014/main" id="{6EDDD7F3-B44A-4202-84EA-B53C6E495963}"/>
            </a:ext>
          </a:extLst>
        </xdr:cNvPr>
        <xdr:cNvSpPr>
          <a:spLocks noChangeShapeType="1"/>
        </xdr:cNvSpPr>
      </xdr:nvSpPr>
      <xdr:spPr bwMode="auto">
        <a:xfrm flipH="1">
          <a:off x="2451100" y="142557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90</xdr:row>
      <xdr:rowOff>82550</xdr:rowOff>
    </xdr:from>
    <xdr:to>
      <xdr:col>5</xdr:col>
      <xdr:colOff>292100</xdr:colOff>
      <xdr:row>90</xdr:row>
      <xdr:rowOff>82550</xdr:rowOff>
    </xdr:to>
    <xdr:sp macro="" textlink="">
      <xdr:nvSpPr>
        <xdr:cNvPr id="569435" name="Line 65">
          <a:extLst>
            <a:ext uri="{FF2B5EF4-FFF2-40B4-BE49-F238E27FC236}">
              <a16:creationId xmlns:a16="http://schemas.microsoft.com/office/drawing/2014/main" id="{D8531E04-6435-4BC8-B5B7-3C55BF9AE51D}"/>
            </a:ext>
          </a:extLst>
        </xdr:cNvPr>
        <xdr:cNvSpPr>
          <a:spLocks noChangeShapeType="1"/>
        </xdr:cNvSpPr>
      </xdr:nvSpPr>
      <xdr:spPr bwMode="auto">
        <a:xfrm>
          <a:off x="31051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90</xdr:row>
      <xdr:rowOff>9525</xdr:rowOff>
    </xdr:from>
    <xdr:ext cx="323678" cy="170560"/>
    <xdr:sp macro="" textlink="">
      <xdr:nvSpPr>
        <xdr:cNvPr id="13378" name="Text Box 66">
          <a:extLst>
            <a:ext uri="{FF2B5EF4-FFF2-40B4-BE49-F238E27FC236}">
              <a16:creationId xmlns:a16="http://schemas.microsoft.com/office/drawing/2014/main" id="{09CF127B-8B82-45BD-8461-252CFFE4B4A5}"/>
            </a:ext>
          </a:extLst>
        </xdr:cNvPr>
        <xdr:cNvSpPr txBox="1">
          <a:spLocks noChangeArrowheads="1"/>
        </xdr:cNvSpPr>
      </xdr:nvSpPr>
      <xdr:spPr bwMode="auto">
        <a:xfrm>
          <a:off x="2729442" y="143435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13</xdr:col>
      <xdr:colOff>25400</xdr:colOff>
      <xdr:row>123</xdr:row>
      <xdr:rowOff>0</xdr:rowOff>
    </xdr:from>
    <xdr:to>
      <xdr:col>13</xdr:col>
      <xdr:colOff>584200</xdr:colOff>
      <xdr:row>146</xdr:row>
      <xdr:rowOff>0</xdr:rowOff>
    </xdr:to>
    <xdr:sp macro="" textlink="">
      <xdr:nvSpPr>
        <xdr:cNvPr id="569437" name="AutoShape 74">
          <a:extLst>
            <a:ext uri="{FF2B5EF4-FFF2-40B4-BE49-F238E27FC236}">
              <a16:creationId xmlns:a16="http://schemas.microsoft.com/office/drawing/2014/main" id="{FEB54DCF-F972-419D-B790-FF7D147D984D}"/>
            </a:ext>
          </a:extLst>
        </xdr:cNvPr>
        <xdr:cNvSpPr>
          <a:spLocks/>
        </xdr:cNvSpPr>
      </xdr:nvSpPr>
      <xdr:spPr bwMode="auto">
        <a:xfrm>
          <a:off x="8489950" y="19088100"/>
          <a:ext cx="558800" cy="3670300"/>
        </a:xfrm>
        <a:prstGeom prst="leftBrace">
          <a:avLst>
            <a:gd name="adj1" fmla="val 54735"/>
            <a:gd name="adj2" fmla="val 3759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165100</xdr:colOff>
      <xdr:row>131</xdr:row>
      <xdr:rowOff>107950</xdr:rowOff>
    </xdr:from>
    <xdr:to>
      <xdr:col>12</xdr:col>
      <xdr:colOff>546100</xdr:colOff>
      <xdr:row>131</xdr:row>
      <xdr:rowOff>107950</xdr:rowOff>
    </xdr:to>
    <xdr:sp macro="" textlink="">
      <xdr:nvSpPr>
        <xdr:cNvPr id="569438" name="Line 75">
          <a:extLst>
            <a:ext uri="{FF2B5EF4-FFF2-40B4-BE49-F238E27FC236}">
              <a16:creationId xmlns:a16="http://schemas.microsoft.com/office/drawing/2014/main" id="{88483BFC-E4C4-4605-A2EF-3E462F358FE8}"/>
            </a:ext>
          </a:extLst>
        </xdr:cNvPr>
        <xdr:cNvSpPr>
          <a:spLocks noChangeShapeType="1"/>
        </xdr:cNvSpPr>
      </xdr:nvSpPr>
      <xdr:spPr bwMode="auto">
        <a:xfrm flipH="1">
          <a:off x="6781800" y="20472400"/>
          <a:ext cx="1612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241300</xdr:colOff>
      <xdr:row>62</xdr:row>
      <xdr:rowOff>107950</xdr:rowOff>
    </xdr:from>
    <xdr:to>
      <xdr:col>13</xdr:col>
      <xdr:colOff>57150</xdr:colOff>
      <xdr:row>62</xdr:row>
      <xdr:rowOff>107950</xdr:rowOff>
    </xdr:to>
    <xdr:sp macro="" textlink="">
      <xdr:nvSpPr>
        <xdr:cNvPr id="569439" name="Line 77">
          <a:extLst>
            <a:ext uri="{FF2B5EF4-FFF2-40B4-BE49-F238E27FC236}">
              <a16:creationId xmlns:a16="http://schemas.microsoft.com/office/drawing/2014/main" id="{B0B76EA1-84D3-4A68-ACE2-4346DFB0F360}"/>
            </a:ext>
          </a:extLst>
        </xdr:cNvPr>
        <xdr:cNvSpPr>
          <a:spLocks noChangeShapeType="1"/>
        </xdr:cNvSpPr>
      </xdr:nvSpPr>
      <xdr:spPr bwMode="auto">
        <a:xfrm flipH="1">
          <a:off x="6858000" y="9766300"/>
          <a:ext cx="1663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25400</xdr:colOff>
      <xdr:row>62</xdr:row>
      <xdr:rowOff>107950</xdr:rowOff>
    </xdr:from>
    <xdr:to>
      <xdr:col>12</xdr:col>
      <xdr:colOff>25400</xdr:colOff>
      <xdr:row>66</xdr:row>
      <xdr:rowOff>95250</xdr:rowOff>
    </xdr:to>
    <xdr:sp macro="" textlink="">
      <xdr:nvSpPr>
        <xdr:cNvPr id="569440" name="Line 78">
          <a:extLst>
            <a:ext uri="{FF2B5EF4-FFF2-40B4-BE49-F238E27FC236}">
              <a16:creationId xmlns:a16="http://schemas.microsoft.com/office/drawing/2014/main" id="{D6D0D172-6467-4007-A6DD-5A482C6C0A9E}"/>
            </a:ext>
          </a:extLst>
        </xdr:cNvPr>
        <xdr:cNvSpPr>
          <a:spLocks noChangeShapeType="1"/>
        </xdr:cNvSpPr>
      </xdr:nvSpPr>
      <xdr:spPr bwMode="auto">
        <a:xfrm>
          <a:off x="7874000" y="9766300"/>
          <a:ext cx="0" cy="6223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279400</xdr:colOff>
      <xdr:row>66</xdr:row>
      <xdr:rowOff>95250</xdr:rowOff>
    </xdr:from>
    <xdr:to>
      <xdr:col>12</xdr:col>
      <xdr:colOff>25400</xdr:colOff>
      <xdr:row>66</xdr:row>
      <xdr:rowOff>95250</xdr:rowOff>
    </xdr:to>
    <xdr:sp macro="" textlink="">
      <xdr:nvSpPr>
        <xdr:cNvPr id="569441" name="Line 79">
          <a:extLst>
            <a:ext uri="{FF2B5EF4-FFF2-40B4-BE49-F238E27FC236}">
              <a16:creationId xmlns:a16="http://schemas.microsoft.com/office/drawing/2014/main" id="{91C6EA4C-DB7D-4838-AE38-3432BE27F3D0}"/>
            </a:ext>
          </a:extLst>
        </xdr:cNvPr>
        <xdr:cNvSpPr>
          <a:spLocks noChangeShapeType="1"/>
        </xdr:cNvSpPr>
      </xdr:nvSpPr>
      <xdr:spPr bwMode="auto">
        <a:xfrm flipH="1">
          <a:off x="6896100" y="10388600"/>
          <a:ext cx="977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123</xdr:row>
      <xdr:rowOff>82550</xdr:rowOff>
    </xdr:from>
    <xdr:to>
      <xdr:col>11</xdr:col>
      <xdr:colOff>196850</xdr:colOff>
      <xdr:row>123</xdr:row>
      <xdr:rowOff>82550</xdr:rowOff>
    </xdr:to>
    <xdr:sp macro="" textlink="">
      <xdr:nvSpPr>
        <xdr:cNvPr id="569442" name="Line 82">
          <a:extLst>
            <a:ext uri="{FF2B5EF4-FFF2-40B4-BE49-F238E27FC236}">
              <a16:creationId xmlns:a16="http://schemas.microsoft.com/office/drawing/2014/main" id="{B71676D4-B03F-4542-BC21-11413377EF33}"/>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123</xdr:row>
      <xdr:rowOff>82550</xdr:rowOff>
    </xdr:from>
    <xdr:to>
      <xdr:col>11</xdr:col>
      <xdr:colOff>196850</xdr:colOff>
      <xdr:row>125</xdr:row>
      <xdr:rowOff>82550</xdr:rowOff>
    </xdr:to>
    <xdr:sp macro="" textlink="">
      <xdr:nvSpPr>
        <xdr:cNvPr id="569443" name="Line 83">
          <a:extLst>
            <a:ext uri="{FF2B5EF4-FFF2-40B4-BE49-F238E27FC236}">
              <a16:creationId xmlns:a16="http://schemas.microsoft.com/office/drawing/2014/main" id="{744FB209-CB32-407B-8A75-A32E814CF133}"/>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125</xdr:row>
      <xdr:rowOff>82550</xdr:rowOff>
    </xdr:from>
    <xdr:to>
      <xdr:col>11</xdr:col>
      <xdr:colOff>209550</xdr:colOff>
      <xdr:row>125</xdr:row>
      <xdr:rowOff>82550</xdr:rowOff>
    </xdr:to>
    <xdr:sp macro="" textlink="">
      <xdr:nvSpPr>
        <xdr:cNvPr id="569444" name="Line 84">
          <a:extLst>
            <a:ext uri="{FF2B5EF4-FFF2-40B4-BE49-F238E27FC236}">
              <a16:creationId xmlns:a16="http://schemas.microsoft.com/office/drawing/2014/main" id="{65A27C5D-6427-431A-9410-4AC66B64C456}"/>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234950</xdr:colOff>
      <xdr:row>50</xdr:row>
      <xdr:rowOff>82550</xdr:rowOff>
    </xdr:from>
    <xdr:to>
      <xdr:col>11</xdr:col>
      <xdr:colOff>234950</xdr:colOff>
      <xdr:row>50</xdr:row>
      <xdr:rowOff>82550</xdr:rowOff>
    </xdr:to>
    <xdr:sp macro="" textlink="">
      <xdr:nvSpPr>
        <xdr:cNvPr id="569445" name="Line 85">
          <a:extLst>
            <a:ext uri="{FF2B5EF4-FFF2-40B4-BE49-F238E27FC236}">
              <a16:creationId xmlns:a16="http://schemas.microsoft.com/office/drawing/2014/main" id="{68D972C5-AFB2-4412-B12C-8BDB2CFE5BBA}"/>
            </a:ext>
          </a:extLst>
        </xdr:cNvPr>
        <xdr:cNvSpPr>
          <a:spLocks noChangeShapeType="1"/>
        </xdr:cNvSpPr>
      </xdr:nvSpPr>
      <xdr:spPr bwMode="auto">
        <a:xfrm flipH="1">
          <a:off x="6851650" y="78295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234950</xdr:colOff>
      <xdr:row>50</xdr:row>
      <xdr:rowOff>82550</xdr:rowOff>
    </xdr:from>
    <xdr:to>
      <xdr:col>11</xdr:col>
      <xdr:colOff>241300</xdr:colOff>
      <xdr:row>52</xdr:row>
      <xdr:rowOff>82550</xdr:rowOff>
    </xdr:to>
    <xdr:sp macro="" textlink="">
      <xdr:nvSpPr>
        <xdr:cNvPr id="569446" name="Line 87">
          <a:extLst>
            <a:ext uri="{FF2B5EF4-FFF2-40B4-BE49-F238E27FC236}">
              <a16:creationId xmlns:a16="http://schemas.microsoft.com/office/drawing/2014/main" id="{544E4852-A254-4072-A3F1-9CD78541419E}"/>
            </a:ext>
          </a:extLst>
        </xdr:cNvPr>
        <xdr:cNvSpPr>
          <a:spLocks noChangeShapeType="1"/>
        </xdr:cNvSpPr>
      </xdr:nvSpPr>
      <xdr:spPr bwMode="auto">
        <a:xfrm flipH="1">
          <a:off x="7467600" y="7829550"/>
          <a:ext cx="635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52</xdr:row>
      <xdr:rowOff>82550</xdr:rowOff>
    </xdr:from>
    <xdr:to>
      <xdr:col>11</xdr:col>
      <xdr:colOff>234950</xdr:colOff>
      <xdr:row>52</xdr:row>
      <xdr:rowOff>82550</xdr:rowOff>
    </xdr:to>
    <xdr:sp macro="" textlink="">
      <xdr:nvSpPr>
        <xdr:cNvPr id="569447" name="Line 88">
          <a:extLst>
            <a:ext uri="{FF2B5EF4-FFF2-40B4-BE49-F238E27FC236}">
              <a16:creationId xmlns:a16="http://schemas.microsoft.com/office/drawing/2014/main" id="{E74E1D0D-08BC-4240-879F-293E0CE68FAC}"/>
            </a:ext>
          </a:extLst>
        </xdr:cNvPr>
        <xdr:cNvSpPr>
          <a:spLocks noChangeShapeType="1"/>
        </xdr:cNvSpPr>
      </xdr:nvSpPr>
      <xdr:spPr bwMode="auto">
        <a:xfrm flipH="1">
          <a:off x="7232650" y="8147050"/>
          <a:ext cx="234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86</xdr:row>
      <xdr:rowOff>12700</xdr:rowOff>
    </xdr:from>
    <xdr:to>
      <xdr:col>11</xdr:col>
      <xdr:colOff>501650</xdr:colOff>
      <xdr:row>89</xdr:row>
      <xdr:rowOff>146050</xdr:rowOff>
    </xdr:to>
    <xdr:sp macro="" textlink="">
      <xdr:nvSpPr>
        <xdr:cNvPr id="569448" name="Rectangle 90">
          <a:extLst>
            <a:ext uri="{FF2B5EF4-FFF2-40B4-BE49-F238E27FC236}">
              <a16:creationId xmlns:a16="http://schemas.microsoft.com/office/drawing/2014/main" id="{EC37A535-500A-4195-9DFE-86F3F1A99E69}"/>
            </a:ext>
          </a:extLst>
        </xdr:cNvPr>
        <xdr:cNvSpPr>
          <a:spLocks noChangeArrowheads="1"/>
        </xdr:cNvSpPr>
      </xdr:nvSpPr>
      <xdr:spPr bwMode="auto">
        <a:xfrm>
          <a:off x="6616700" y="13538200"/>
          <a:ext cx="1117600" cy="609600"/>
        </a:xfrm>
        <a:prstGeom prst="rect">
          <a:avLst/>
        </a:prstGeom>
        <a:solidFill>
          <a:srgbClr val="FFFFFF"/>
        </a:solidFill>
        <a:ln w="9525">
          <a:solidFill>
            <a:srgbClr val="000000"/>
          </a:solidFill>
          <a:miter lim="800000"/>
          <a:headEnd/>
          <a:tailEnd/>
        </a:ln>
      </xdr:spPr>
    </xdr:sp>
    <xdr:clientData/>
  </xdr:twoCellAnchor>
  <xdr:oneCellAnchor>
    <xdr:from>
      <xdr:col>9</xdr:col>
      <xdr:colOff>675253</xdr:colOff>
      <xdr:row>86</xdr:row>
      <xdr:rowOff>146050</xdr:rowOff>
    </xdr:from>
    <xdr:ext cx="1153640" cy="330860"/>
    <xdr:sp macro="" textlink="">
      <xdr:nvSpPr>
        <xdr:cNvPr id="13403" name="Text Box 91">
          <a:extLst>
            <a:ext uri="{FF2B5EF4-FFF2-40B4-BE49-F238E27FC236}">
              <a16:creationId xmlns:a16="http://schemas.microsoft.com/office/drawing/2014/main" id="{B81DB4E2-8957-4AC2-A1B5-7F926F581A9E}"/>
            </a:ext>
          </a:extLst>
        </xdr:cNvPr>
        <xdr:cNvSpPr txBox="1">
          <a:spLocks noChangeArrowheads="1"/>
        </xdr:cNvSpPr>
      </xdr:nvSpPr>
      <xdr:spPr bwMode="auto">
        <a:xfrm>
          <a:off x="7234803" y="13102167"/>
          <a:ext cx="107719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Communications</a:t>
          </a:r>
        </a:p>
        <a:p>
          <a:pPr algn="ctr" rtl="1">
            <a:defRPr sz="1000"/>
          </a:pPr>
          <a:r>
            <a:rPr lang="en-US" sz="1000" b="1" i="0" strike="noStrike">
              <a:solidFill>
                <a:srgbClr val="000000"/>
              </a:solidFill>
              <a:latin typeface="Arial"/>
              <a:cs typeface="Arial"/>
            </a:rPr>
            <a:t>Receiver</a:t>
          </a:r>
        </a:p>
      </xdr:txBody>
    </xdr:sp>
    <xdr:clientData/>
  </xdr:oneCellAnchor>
  <xdr:oneCellAnchor>
    <xdr:from>
      <xdr:col>9</xdr:col>
      <xdr:colOff>0</xdr:colOff>
      <xdr:row>85</xdr:row>
      <xdr:rowOff>146050</xdr:rowOff>
    </xdr:from>
    <xdr:ext cx="163827" cy="170560"/>
    <xdr:sp macro="" textlink="">
      <xdr:nvSpPr>
        <xdr:cNvPr id="13404" name="Text Box 92">
          <a:extLst>
            <a:ext uri="{FF2B5EF4-FFF2-40B4-BE49-F238E27FC236}">
              <a16:creationId xmlns:a16="http://schemas.microsoft.com/office/drawing/2014/main" id="{1575589C-092C-4511-99C8-737CD44ABB58}"/>
            </a:ext>
          </a:extLst>
        </xdr:cNvPr>
        <xdr:cNvSpPr txBox="1">
          <a:spLocks noChangeArrowheads="1"/>
        </xdr:cNvSpPr>
      </xdr:nvSpPr>
      <xdr:spPr bwMode="auto">
        <a:xfrm>
          <a:off x="5935133" y="13675783"/>
          <a:ext cx="16382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D</a:t>
          </a:r>
        </a:p>
      </xdr:txBody>
    </xdr:sp>
    <xdr:clientData/>
  </xdr:oneCellAnchor>
  <xdr:oneCellAnchor>
    <xdr:from>
      <xdr:col>8</xdr:col>
      <xdr:colOff>485775</xdr:colOff>
      <xdr:row>88</xdr:row>
      <xdr:rowOff>127000</xdr:rowOff>
    </xdr:from>
    <xdr:ext cx="1093575" cy="336987"/>
    <xdr:sp macro="" textlink="">
      <xdr:nvSpPr>
        <xdr:cNvPr id="13405" name="Text Box 93">
          <a:extLst>
            <a:ext uri="{FF2B5EF4-FFF2-40B4-BE49-F238E27FC236}">
              <a16:creationId xmlns:a16="http://schemas.microsoft.com/office/drawing/2014/main" id="{28B5B7BC-924F-44DE-A7B9-2E46AC07C53C}"/>
            </a:ext>
          </a:extLst>
        </xdr:cNvPr>
        <xdr:cNvSpPr txBox="1">
          <a:spLocks noChangeArrowheads="1"/>
        </xdr:cNvSpPr>
      </xdr:nvSpPr>
      <xdr:spPr bwMode="auto">
        <a:xfrm>
          <a:off x="5915025" y="13379450"/>
          <a:ext cx="1023474"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Long Cable Run</a:t>
          </a:r>
        </a:p>
        <a:p>
          <a:pPr algn="l" rtl="1">
            <a:defRPr sz="1000"/>
          </a:pPr>
          <a:r>
            <a:rPr lang="en-US" sz="1000" b="0" i="0" strike="noStrike">
              <a:solidFill>
                <a:srgbClr val="000000"/>
              </a:solidFill>
              <a:latin typeface="Arial"/>
              <a:cs typeface="Arial"/>
            </a:rPr>
            <a:t>(See Note Below)</a:t>
          </a:r>
        </a:p>
      </xdr:txBody>
    </xdr:sp>
    <xdr:clientData/>
  </xdr:oneCellAnchor>
  <xdr:twoCellAnchor>
    <xdr:from>
      <xdr:col>20</xdr:col>
      <xdr:colOff>476250</xdr:colOff>
      <xdr:row>54</xdr:row>
      <xdr:rowOff>50800</xdr:rowOff>
    </xdr:from>
    <xdr:to>
      <xdr:col>21</xdr:col>
      <xdr:colOff>152400</xdr:colOff>
      <xdr:row>56</xdr:row>
      <xdr:rowOff>82550</xdr:rowOff>
    </xdr:to>
    <xdr:sp macro="" textlink="">
      <xdr:nvSpPr>
        <xdr:cNvPr id="569452" name="Line 97">
          <a:extLst>
            <a:ext uri="{FF2B5EF4-FFF2-40B4-BE49-F238E27FC236}">
              <a16:creationId xmlns:a16="http://schemas.microsoft.com/office/drawing/2014/main" id="{85165BBC-1ED8-4C66-ABD5-4D4280506CE2}"/>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30" zoomScaleNormal="130" workbookViewId="0">
      <selection activeCell="P9" sqref="P9"/>
    </sheetView>
  </sheetViews>
  <sheetFormatPr defaultColWidth="8.85546875" defaultRowHeight="12.75"/>
  <cols>
    <col min="3" max="3" width="7.42578125" customWidth="1"/>
    <col min="5" max="5" width="16.140625" customWidth="1"/>
    <col min="6" max="6" width="68.85546875" customWidth="1"/>
    <col min="8" max="8" width="8.42578125" customWidth="1"/>
    <col min="9" max="9" width="3.5703125" customWidth="1"/>
    <col min="10" max="10" width="2.42578125" customWidth="1"/>
  </cols>
  <sheetData>
    <row r="1" spans="1:16" ht="27" thickBot="1">
      <c r="A1" s="965" t="s">
        <v>818</v>
      </c>
      <c r="B1" s="966"/>
      <c r="C1" s="965"/>
      <c r="D1" s="967"/>
      <c r="E1" s="966"/>
      <c r="F1" s="968" t="s">
        <v>682</v>
      </c>
      <c r="G1" s="1003" t="s">
        <v>1050</v>
      </c>
      <c r="H1" s="1004"/>
      <c r="I1" s="1000" t="s">
        <v>1088</v>
      </c>
      <c r="J1" s="1001"/>
      <c r="K1" s="1001"/>
      <c r="L1" s="1001"/>
      <c r="M1" s="1002"/>
      <c r="N1" s="632"/>
      <c r="O1" s="127"/>
      <c r="P1" s="127"/>
    </row>
    <row r="2" spans="1:16" ht="26.25">
      <c r="A2" s="52"/>
      <c r="B2" s="57" t="s">
        <v>576</v>
      </c>
      <c r="C2" s="53"/>
      <c r="D2" s="53"/>
      <c r="E2" s="53"/>
      <c r="F2" s="56" t="s">
        <v>1063</v>
      </c>
      <c r="G2" s="54"/>
      <c r="H2" s="55"/>
      <c r="I2" s="55"/>
      <c r="J2" s="55"/>
      <c r="K2" s="55"/>
      <c r="L2" s="55"/>
      <c r="M2" s="55"/>
      <c r="N2" s="44"/>
      <c r="O2" s="44"/>
      <c r="P2" s="44"/>
    </row>
    <row r="3" spans="1:16" ht="26.25">
      <c r="A3" s="52"/>
      <c r="B3" s="57" t="s">
        <v>936</v>
      </c>
      <c r="C3" s="53"/>
      <c r="D3" s="53"/>
      <c r="E3" s="53"/>
      <c r="F3" s="56" t="s">
        <v>1062</v>
      </c>
      <c r="G3" s="54"/>
      <c r="H3" s="55"/>
      <c r="I3" s="55"/>
      <c r="J3" s="55"/>
      <c r="K3" s="55"/>
      <c r="L3" s="55"/>
      <c r="M3" s="55"/>
      <c r="N3" s="44"/>
      <c r="O3" s="44"/>
      <c r="P3" s="44"/>
    </row>
    <row r="4" spans="1:16">
      <c r="A4" s="1" t="s">
        <v>1053</v>
      </c>
      <c r="B4" s="2"/>
      <c r="C4" s="2"/>
      <c r="D4" s="2"/>
      <c r="E4" s="2"/>
      <c r="F4" s="2"/>
      <c r="G4" s="2"/>
      <c r="H4" s="2"/>
      <c r="I4" s="2"/>
      <c r="J4" s="2"/>
      <c r="K4" s="2"/>
      <c r="L4" s="2"/>
      <c r="M4" s="2"/>
      <c r="N4" s="2"/>
      <c r="O4" s="2"/>
      <c r="P4" s="2"/>
    </row>
    <row r="5" spans="1:16">
      <c r="A5" s="3"/>
      <c r="B5" s="3"/>
      <c r="C5" s="3"/>
      <c r="D5" s="3"/>
      <c r="E5" s="3"/>
      <c r="F5" s="3"/>
      <c r="G5" s="633" t="s">
        <v>683</v>
      </c>
      <c r="H5" s="633"/>
      <c r="I5" s="4" t="s">
        <v>818</v>
      </c>
      <c r="J5" s="3"/>
      <c r="K5" s="3"/>
      <c r="L5" s="3"/>
      <c r="M5" s="3"/>
      <c r="N5" s="3"/>
      <c r="O5" s="3"/>
      <c r="P5" s="3"/>
    </row>
    <row r="6" spans="1:16" ht="13.5" thickBot="1">
      <c r="A6" s="3"/>
      <c r="B6" s="627" t="s">
        <v>676</v>
      </c>
      <c r="C6" s="3"/>
      <c r="D6" s="3"/>
      <c r="E6" s="3"/>
      <c r="F6" s="3" t="s">
        <v>813</v>
      </c>
      <c r="G6" s="3"/>
      <c r="H6" s="3"/>
      <c r="I6" s="3"/>
      <c r="J6" s="3"/>
      <c r="K6" s="351" t="s">
        <v>690</v>
      </c>
      <c r="L6" s="3"/>
      <c r="M6" s="3"/>
      <c r="N6" s="3"/>
      <c r="O6" s="3"/>
      <c r="P6" s="3"/>
    </row>
    <row r="7" spans="1:16" ht="16.5" thickBot="1">
      <c r="A7" s="3"/>
      <c r="B7" s="3"/>
      <c r="C7" s="3"/>
      <c r="D7" s="4" t="s">
        <v>931</v>
      </c>
      <c r="E7" s="3"/>
      <c r="F7" s="979" t="s">
        <v>1059</v>
      </c>
      <c r="G7" s="3"/>
      <c r="H7" s="3"/>
      <c r="I7" s="35"/>
      <c r="J7" s="3"/>
      <c r="K7" s="3" t="s">
        <v>684</v>
      </c>
      <c r="L7" s="3"/>
      <c r="M7" s="3"/>
      <c r="N7" s="3"/>
      <c r="O7" s="3"/>
      <c r="P7" s="3"/>
    </row>
    <row r="8" spans="1:16" ht="15.75">
      <c r="A8" s="3"/>
      <c r="B8" s="3"/>
      <c r="C8" s="3"/>
      <c r="D8" s="3"/>
      <c r="E8" s="3"/>
      <c r="F8" s="6"/>
      <c r="G8" s="3"/>
      <c r="H8" s="3"/>
      <c r="I8" s="3"/>
      <c r="J8" s="3"/>
      <c r="K8" s="3"/>
      <c r="L8" s="3"/>
      <c r="M8" s="3"/>
      <c r="N8" s="3"/>
      <c r="O8" s="3"/>
      <c r="P8" s="3"/>
    </row>
    <row r="9" spans="1:16" ht="13.5" thickBot="1">
      <c r="A9" s="3"/>
      <c r="B9" s="351" t="s">
        <v>677</v>
      </c>
      <c r="C9" s="3"/>
      <c r="D9" s="3"/>
      <c r="E9" s="3"/>
      <c r="F9" s="12" t="s">
        <v>814</v>
      </c>
      <c r="G9" s="3"/>
      <c r="H9" s="3"/>
      <c r="I9" s="3"/>
      <c r="J9" s="3"/>
      <c r="K9" s="3"/>
      <c r="L9" s="3"/>
      <c r="M9" s="3"/>
      <c r="N9" s="3"/>
      <c r="O9" s="3"/>
      <c r="P9" s="3"/>
    </row>
    <row r="10" spans="1:16" ht="16.5" thickBot="1">
      <c r="A10" s="3"/>
      <c r="B10" s="3"/>
      <c r="C10" s="3"/>
      <c r="D10" s="4" t="s">
        <v>932</v>
      </c>
      <c r="E10" s="3"/>
      <c r="F10" s="978" t="s">
        <v>1058</v>
      </c>
      <c r="G10" s="3"/>
      <c r="H10" s="3"/>
      <c r="I10" s="35"/>
      <c r="J10" s="3"/>
      <c r="K10" s="629" t="s">
        <v>685</v>
      </c>
      <c r="L10" s="3"/>
      <c r="M10" s="3"/>
      <c r="N10" s="3"/>
      <c r="O10" s="3"/>
      <c r="P10" s="3"/>
    </row>
    <row r="11" spans="1:16" ht="15.75">
      <c r="A11" s="3"/>
      <c r="B11" s="3"/>
      <c r="C11" s="3"/>
      <c r="D11" s="3"/>
      <c r="E11" s="3"/>
      <c r="F11" s="6"/>
      <c r="G11" s="3"/>
      <c r="H11" s="3"/>
      <c r="I11" s="3"/>
      <c r="J11" s="3"/>
      <c r="K11" s="3"/>
      <c r="L11" s="3"/>
      <c r="M11" s="3"/>
      <c r="N11" s="3"/>
      <c r="O11" s="3"/>
      <c r="P11" s="3"/>
    </row>
    <row r="12" spans="1:16" ht="16.5" thickBot="1">
      <c r="A12" s="3"/>
      <c r="B12" s="3"/>
      <c r="C12" s="3"/>
      <c r="D12" s="3"/>
      <c r="E12" s="3"/>
      <c r="F12" s="6"/>
      <c r="G12" s="3"/>
      <c r="H12" s="3"/>
      <c r="I12" s="3"/>
      <c r="J12" s="3"/>
      <c r="K12" s="3"/>
      <c r="L12" s="3"/>
      <c r="M12" s="3"/>
      <c r="N12" s="630" t="s">
        <v>818</v>
      </c>
      <c r="O12" s="102"/>
      <c r="P12" s="101"/>
    </row>
    <row r="13" spans="1:16" ht="15.75">
      <c r="A13" s="3"/>
      <c r="B13" s="351" t="s">
        <v>678</v>
      </c>
      <c r="C13" s="3"/>
      <c r="D13" s="4" t="s">
        <v>815</v>
      </c>
      <c r="E13" s="3"/>
      <c r="F13" s="974" t="s">
        <v>1056</v>
      </c>
      <c r="G13" s="3"/>
      <c r="H13" s="3"/>
      <c r="I13" s="3"/>
      <c r="J13" s="3"/>
      <c r="K13" s="3"/>
      <c r="L13" s="3"/>
      <c r="M13" s="3"/>
      <c r="N13" s="101" t="s">
        <v>818</v>
      </c>
      <c r="O13" s="3"/>
      <c r="P13" s="3"/>
    </row>
    <row r="14" spans="1:16" ht="16.5" thickBot="1">
      <c r="A14" s="3"/>
      <c r="B14" s="3"/>
      <c r="C14" s="3"/>
      <c r="D14" s="3"/>
      <c r="E14" s="3"/>
      <c r="F14" s="975" t="s">
        <v>620</v>
      </c>
      <c r="G14" s="3"/>
      <c r="H14" s="3"/>
      <c r="I14" s="3"/>
      <c r="J14" s="3"/>
      <c r="K14" s="3"/>
      <c r="L14" s="3"/>
      <c r="M14" s="3"/>
      <c r="N14" s="3"/>
      <c r="O14" s="3"/>
      <c r="P14" s="3"/>
    </row>
    <row r="15" spans="1:16" ht="16.5" thickBot="1">
      <c r="A15" s="3"/>
      <c r="B15" s="3"/>
      <c r="C15" s="3"/>
      <c r="D15" s="3"/>
      <c r="E15" s="3"/>
      <c r="F15" s="6"/>
      <c r="G15" s="3"/>
      <c r="H15" s="3"/>
      <c r="I15" s="3"/>
      <c r="J15" s="3"/>
      <c r="K15" s="3"/>
      <c r="L15" s="3"/>
      <c r="M15" s="3"/>
      <c r="N15" s="3"/>
      <c r="O15" s="3"/>
      <c r="P15" s="3"/>
    </row>
    <row r="16" spans="1:16">
      <c r="A16" s="3"/>
      <c r="B16" s="628" t="s">
        <v>679</v>
      </c>
      <c r="C16" s="3"/>
      <c r="D16" s="4" t="s">
        <v>934</v>
      </c>
      <c r="E16" s="3"/>
      <c r="F16" s="976" t="s">
        <v>1057</v>
      </c>
      <c r="G16" s="3"/>
      <c r="H16" s="3"/>
      <c r="I16" s="3"/>
      <c r="J16" s="3"/>
      <c r="K16" s="3"/>
      <c r="L16" s="3"/>
      <c r="M16" s="3"/>
      <c r="N16" s="3"/>
      <c r="O16" s="3"/>
      <c r="P16" s="3"/>
    </row>
    <row r="17" spans="1:16" ht="16.5" thickBot="1">
      <c r="A17" s="3"/>
      <c r="B17" s="3"/>
      <c r="C17" s="3"/>
      <c r="D17" s="4" t="s">
        <v>933</v>
      </c>
      <c r="E17" s="3"/>
      <c r="F17" s="977" t="s">
        <v>1061</v>
      </c>
      <c r="G17" s="3"/>
      <c r="H17" s="3"/>
      <c r="I17" s="3"/>
      <c r="J17" s="3"/>
      <c r="K17" s="3"/>
      <c r="L17" s="3"/>
      <c r="M17" s="3"/>
      <c r="N17" s="3"/>
      <c r="O17" s="3"/>
      <c r="P17" s="3"/>
    </row>
    <row r="18" spans="1:16" ht="15.75">
      <c r="A18" s="3"/>
      <c r="B18" s="3"/>
      <c r="C18" s="3"/>
      <c r="D18" s="3"/>
      <c r="E18" s="3"/>
      <c r="F18" s="7"/>
      <c r="G18" s="3"/>
      <c r="H18" s="3"/>
      <c r="I18" s="3"/>
      <c r="J18" s="3"/>
      <c r="K18" s="3"/>
      <c r="L18" s="3"/>
      <c r="M18" s="3"/>
      <c r="N18" s="3"/>
      <c r="O18" s="3"/>
      <c r="P18" s="3"/>
    </row>
    <row r="19" spans="1:16" ht="16.5" thickBot="1">
      <c r="A19" s="3"/>
      <c r="B19" s="3"/>
      <c r="C19" s="3"/>
      <c r="D19" s="3"/>
      <c r="E19" s="3"/>
      <c r="F19" s="6"/>
      <c r="G19" s="3"/>
      <c r="H19" s="3"/>
      <c r="I19" s="3"/>
      <c r="J19" s="3"/>
      <c r="K19" s="3"/>
      <c r="L19" s="3"/>
      <c r="M19" s="3"/>
      <c r="N19" s="3"/>
      <c r="O19" s="3"/>
      <c r="P19" s="3"/>
    </row>
    <row r="20" spans="1:16" ht="16.5" thickBot="1">
      <c r="A20" s="3"/>
      <c r="B20" s="351" t="s">
        <v>680</v>
      </c>
      <c r="C20" s="3"/>
      <c r="D20" s="4" t="s">
        <v>816</v>
      </c>
      <c r="E20" s="3"/>
      <c r="F20" s="5" t="s">
        <v>1060</v>
      </c>
      <c r="G20" s="3"/>
      <c r="H20" s="3"/>
      <c r="I20" s="35" t="s">
        <v>818</v>
      </c>
      <c r="J20" s="3"/>
      <c r="K20" s="3" t="s">
        <v>689</v>
      </c>
      <c r="L20" s="3"/>
      <c r="M20" s="3"/>
      <c r="N20" s="3"/>
      <c r="O20" s="3"/>
      <c r="P20" s="3"/>
    </row>
    <row r="21" spans="1:16" ht="15.75">
      <c r="A21" s="3"/>
      <c r="B21" s="3"/>
      <c r="C21" s="3"/>
      <c r="D21" s="3"/>
      <c r="E21" s="3"/>
      <c r="F21" s="6"/>
      <c r="G21" s="3"/>
      <c r="H21" s="3"/>
      <c r="I21" s="3"/>
      <c r="J21" s="3"/>
      <c r="K21" s="3"/>
      <c r="L21" s="3"/>
      <c r="M21" s="3"/>
      <c r="N21" s="3"/>
      <c r="O21" s="3"/>
      <c r="P21" s="3"/>
    </row>
    <row r="22" spans="1:16" ht="16.5" thickBot="1">
      <c r="A22" s="3"/>
      <c r="B22" s="3"/>
      <c r="C22" s="3"/>
      <c r="D22" s="3"/>
      <c r="E22" s="3"/>
      <c r="F22" s="6"/>
      <c r="G22" s="3"/>
      <c r="H22" s="3"/>
      <c r="I22" s="3"/>
      <c r="J22" s="3"/>
      <c r="K22" s="3"/>
      <c r="L22" s="3"/>
      <c r="M22" s="3"/>
      <c r="N22" s="3"/>
      <c r="O22" s="3"/>
      <c r="P22" s="3"/>
    </row>
    <row r="23" spans="1:16" ht="16.5" thickBot="1">
      <c r="A23" s="3"/>
      <c r="B23" s="3"/>
      <c r="C23" s="3"/>
      <c r="D23" s="4" t="s">
        <v>817</v>
      </c>
      <c r="E23" s="3"/>
      <c r="F23" s="5" t="s">
        <v>1089</v>
      </c>
      <c r="G23" s="3" t="s">
        <v>818</v>
      </c>
      <c r="H23" s="3"/>
      <c r="I23" s="631"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722" t="s">
        <v>692</v>
      </c>
      <c r="J24" s="3"/>
      <c r="K24" s="3"/>
      <c r="L24" s="3"/>
      <c r="M24" s="3"/>
      <c r="N24" s="3"/>
      <c r="O24" s="3"/>
      <c r="P24" s="3"/>
    </row>
    <row r="25" spans="1:16" ht="13.5" thickBot="1">
      <c r="A25" s="3"/>
      <c r="B25" s="351" t="s">
        <v>681</v>
      </c>
      <c r="C25" s="3"/>
      <c r="D25" s="3"/>
      <c r="E25" s="3"/>
      <c r="F25" s="8"/>
      <c r="G25" s="3"/>
      <c r="H25" s="3"/>
      <c r="I25" s="722" t="s">
        <v>691</v>
      </c>
      <c r="J25" s="3"/>
      <c r="K25" s="3"/>
      <c r="L25" s="3"/>
      <c r="M25" s="3"/>
      <c r="N25" s="3"/>
      <c r="O25" s="3"/>
      <c r="P25" s="3"/>
    </row>
    <row r="26" spans="1:16" ht="16.5" thickBot="1">
      <c r="A26" s="3"/>
      <c r="B26" s="3"/>
      <c r="C26" s="3"/>
      <c r="D26" s="4" t="s">
        <v>941</v>
      </c>
      <c r="E26" s="3"/>
      <c r="F26" s="979" t="s">
        <v>1089</v>
      </c>
      <c r="G26" s="3"/>
      <c r="H26" s="3"/>
      <c r="I26" s="3"/>
      <c r="J26" s="540"/>
      <c r="K26" s="351" t="s">
        <v>706</v>
      </c>
      <c r="L26" s="3"/>
      <c r="M26" s="3"/>
      <c r="N26" s="3"/>
      <c r="O26" s="3"/>
      <c r="P26" s="3"/>
    </row>
    <row r="27" spans="1:16">
      <c r="A27" s="3"/>
      <c r="B27" s="3"/>
      <c r="C27" s="3"/>
      <c r="D27" s="4" t="s">
        <v>935</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818</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50" zoomScaleNormal="150" workbookViewId="0">
      <selection activeCell="D22" sqref="D22"/>
    </sheetView>
  </sheetViews>
  <sheetFormatPr defaultColWidth="8.85546875" defaultRowHeight="12.75"/>
  <cols>
    <col min="1" max="1" width="8.5703125" customWidth="1"/>
    <col min="2" max="2" width="10.42578125" customWidth="1"/>
  </cols>
  <sheetData>
    <row r="1" spans="1:20" ht="18.75" thickBot="1">
      <c r="A1" s="125" t="s">
        <v>1</v>
      </c>
      <c r="B1" s="127"/>
      <c r="C1" s="127"/>
      <c r="D1" s="127"/>
      <c r="E1" s="127"/>
      <c r="F1" s="127"/>
      <c r="G1" s="127"/>
      <c r="H1" s="690" t="str">
        <f>'Title Page'!F3</f>
        <v>OreSat - CS0</v>
      </c>
      <c r="I1" s="127"/>
      <c r="J1" s="127"/>
      <c r="K1" s="127"/>
      <c r="L1" s="127"/>
      <c r="M1" s="687" t="str">
        <f>'Title Page'!F23</f>
        <v>2018 October 19</v>
      </c>
      <c r="N1" s="127"/>
      <c r="O1" s="127"/>
      <c r="P1" s="127"/>
      <c r="Q1" s="127"/>
      <c r="R1" s="127"/>
      <c r="S1" s="127"/>
      <c r="T1" s="127"/>
    </row>
    <row r="2" spans="1:20">
      <c r="A2" s="234"/>
      <c r="B2" s="234"/>
      <c r="C2" s="234"/>
      <c r="D2" s="234"/>
      <c r="E2" s="234"/>
      <c r="F2" s="234"/>
      <c r="G2" s="234"/>
      <c r="H2" s="234"/>
      <c r="I2" s="234"/>
      <c r="J2" s="234"/>
      <c r="K2" s="234"/>
      <c r="L2" s="234"/>
      <c r="M2" s="234"/>
      <c r="N2" s="234"/>
      <c r="O2" s="234"/>
      <c r="P2" s="234"/>
      <c r="Q2" s="234"/>
    </row>
    <row r="3" spans="1:20">
      <c r="A3" s="234"/>
      <c r="B3" s="423" t="s">
        <v>10</v>
      </c>
      <c r="C3" s="424"/>
      <c r="D3" s="424"/>
      <c r="E3" s="425"/>
      <c r="F3" s="234"/>
      <c r="G3" s="234"/>
      <c r="H3" s="407" t="s">
        <v>315</v>
      </c>
      <c r="I3" s="407"/>
      <c r="J3" s="407"/>
      <c r="K3" s="407"/>
      <c r="L3" s="407"/>
      <c r="M3" s="407"/>
      <c r="N3" s="407"/>
      <c r="O3" s="407"/>
      <c r="P3" s="234"/>
      <c r="Q3" s="234"/>
    </row>
    <row r="4" spans="1:20">
      <c r="A4" s="234"/>
      <c r="B4" s="656" t="s">
        <v>308</v>
      </c>
      <c r="C4" s="657"/>
      <c r="D4" s="101"/>
      <c r="E4" s="239"/>
      <c r="F4" s="234"/>
      <c r="G4" s="234"/>
      <c r="H4" s="234"/>
      <c r="I4" s="234"/>
      <c r="J4" s="234"/>
      <c r="K4" s="234"/>
      <c r="L4" s="234"/>
      <c r="M4" s="234"/>
      <c r="N4" s="234"/>
      <c r="O4" s="234"/>
      <c r="P4" s="234"/>
      <c r="Q4" s="234"/>
    </row>
    <row r="5" spans="1:20">
      <c r="A5" s="234"/>
      <c r="B5" s="658" t="s">
        <v>2</v>
      </c>
      <c r="C5" s="659"/>
      <c r="D5" s="660" t="s">
        <v>3</v>
      </c>
      <c r="E5" s="661" t="s">
        <v>821</v>
      </c>
      <c r="F5" s="234"/>
      <c r="G5" s="234"/>
      <c r="H5" s="234"/>
      <c r="I5" s="234"/>
      <c r="J5" s="234"/>
      <c r="K5" s="234"/>
      <c r="L5" s="234"/>
      <c r="M5" s="234"/>
      <c r="N5" s="234"/>
      <c r="O5" s="234"/>
      <c r="P5" s="234"/>
      <c r="Q5" s="234"/>
    </row>
    <row r="6" spans="1:20">
      <c r="A6" s="234"/>
      <c r="B6" s="418">
        <v>0</v>
      </c>
      <c r="C6" s="101" t="s">
        <v>4</v>
      </c>
      <c r="D6" s="31">
        <v>10.199999999999999</v>
      </c>
      <c r="E6" s="239" t="s">
        <v>860</v>
      </c>
      <c r="F6" s="234"/>
      <c r="G6" s="234" t="s">
        <v>5</v>
      </c>
      <c r="H6" s="234"/>
      <c r="I6" s="234"/>
      <c r="J6" s="234"/>
      <c r="K6" s="234"/>
      <c r="L6" s="234"/>
      <c r="M6" s="234"/>
      <c r="N6" s="234"/>
      <c r="O6" s="234"/>
      <c r="P6" s="234"/>
      <c r="Q6" s="234"/>
    </row>
    <row r="7" spans="1:20">
      <c r="A7" s="234"/>
      <c r="B7" s="418"/>
      <c r="C7" s="101"/>
      <c r="D7" s="31"/>
      <c r="E7" s="239"/>
      <c r="F7" s="234"/>
      <c r="G7" s="234" t="s">
        <v>6</v>
      </c>
      <c r="H7" s="234"/>
      <c r="I7" s="234"/>
      <c r="J7" s="234"/>
      <c r="K7" s="234"/>
      <c r="L7" s="234"/>
      <c r="M7" s="234"/>
      <c r="N7" s="234"/>
      <c r="O7" s="234"/>
      <c r="P7" s="234"/>
      <c r="Q7" s="234"/>
    </row>
    <row r="8" spans="1:20">
      <c r="A8" s="234"/>
      <c r="B8" s="418">
        <v>2.5</v>
      </c>
      <c r="C8" s="101" t="s">
        <v>4</v>
      </c>
      <c r="D8" s="31">
        <v>4.5999999999999996</v>
      </c>
      <c r="E8" s="239" t="s">
        <v>860</v>
      </c>
      <c r="F8" s="234"/>
      <c r="G8" s="234" t="s">
        <v>34</v>
      </c>
      <c r="H8" s="234"/>
      <c r="I8" s="234"/>
      <c r="J8" s="234"/>
      <c r="K8" s="234"/>
      <c r="L8" s="234"/>
      <c r="M8" s="234"/>
      <c r="N8" s="234"/>
      <c r="O8" s="234"/>
      <c r="P8" s="234"/>
      <c r="Q8" s="234"/>
    </row>
    <row r="9" spans="1:20">
      <c r="A9" s="234"/>
      <c r="B9" s="418"/>
      <c r="C9" s="101"/>
      <c r="D9" s="31"/>
      <c r="E9" s="239"/>
      <c r="F9" s="234"/>
      <c r="G9" s="234" t="s">
        <v>7</v>
      </c>
      <c r="H9" s="234"/>
      <c r="I9" s="234"/>
      <c r="J9" s="234"/>
      <c r="K9" s="234"/>
      <c r="L9" s="234"/>
      <c r="M9" s="234"/>
      <c r="N9" s="234"/>
      <c r="O9" s="234"/>
      <c r="P9" s="234"/>
      <c r="Q9" s="234"/>
    </row>
    <row r="10" spans="1:20">
      <c r="A10" s="234"/>
      <c r="B10" s="418">
        <v>5</v>
      </c>
      <c r="C10" s="101" t="s">
        <v>4</v>
      </c>
      <c r="D10" s="31">
        <v>2.1</v>
      </c>
      <c r="E10" s="239" t="s">
        <v>860</v>
      </c>
      <c r="F10" s="234"/>
      <c r="G10" s="234" t="s">
        <v>8</v>
      </c>
      <c r="H10" s="234"/>
      <c r="I10" s="234"/>
      <c r="J10" s="234"/>
      <c r="K10" s="234"/>
      <c r="L10" s="234"/>
      <c r="M10" s="234"/>
      <c r="N10" s="234"/>
      <c r="O10" s="234"/>
      <c r="P10" s="234"/>
      <c r="Q10" s="234"/>
    </row>
    <row r="11" spans="1:20">
      <c r="A11" s="234"/>
      <c r="B11" s="418"/>
      <c r="C11" s="101"/>
      <c r="D11" s="31"/>
      <c r="E11" s="239"/>
      <c r="F11" s="234"/>
      <c r="G11" s="234"/>
      <c r="H11" s="234"/>
      <c r="I11" s="234"/>
      <c r="J11" s="234"/>
      <c r="K11" s="234"/>
      <c r="L11" s="234"/>
      <c r="M11" s="234"/>
      <c r="N11" s="234"/>
      <c r="O11" s="234"/>
      <c r="P11" s="234"/>
      <c r="Q11" s="234"/>
    </row>
    <row r="12" spans="1:20">
      <c r="A12" s="234"/>
      <c r="B12" s="418">
        <v>10</v>
      </c>
      <c r="C12" s="101" t="s">
        <v>4</v>
      </c>
      <c r="D12" s="31">
        <v>1.1000000000000001</v>
      </c>
      <c r="E12" s="239" t="s">
        <v>860</v>
      </c>
      <c r="F12" s="234"/>
      <c r="G12" s="234" t="s">
        <v>9</v>
      </c>
      <c r="H12" s="234"/>
      <c r="I12" s="234"/>
      <c r="J12" s="234"/>
      <c r="K12" s="234"/>
      <c r="L12" s="234"/>
      <c r="M12" s="234"/>
      <c r="N12" s="234"/>
      <c r="O12" s="234"/>
      <c r="P12" s="234"/>
      <c r="Q12" s="234"/>
    </row>
    <row r="13" spans="1:20">
      <c r="A13" s="234"/>
      <c r="B13" s="418"/>
      <c r="C13" s="101"/>
      <c r="D13" s="31"/>
      <c r="E13" s="239"/>
      <c r="F13" s="234"/>
      <c r="G13" s="234" t="s">
        <v>383</v>
      </c>
      <c r="H13" s="234"/>
      <c r="I13" s="234"/>
      <c r="J13" s="234"/>
      <c r="K13" s="234"/>
      <c r="L13" s="234"/>
      <c r="M13" s="234"/>
      <c r="N13" s="234"/>
      <c r="O13" s="234"/>
      <c r="P13" s="234"/>
      <c r="Q13" s="234"/>
    </row>
    <row r="14" spans="1:20">
      <c r="A14" s="234"/>
      <c r="B14" s="418">
        <v>30</v>
      </c>
      <c r="C14" s="101" t="s">
        <v>4</v>
      </c>
      <c r="D14" s="31">
        <v>0.4</v>
      </c>
      <c r="E14" s="239" t="s">
        <v>860</v>
      </c>
      <c r="F14" s="234"/>
      <c r="G14" s="234" t="s">
        <v>321</v>
      </c>
      <c r="H14" s="234"/>
      <c r="I14" s="234"/>
      <c r="J14" s="234"/>
      <c r="K14" s="234"/>
      <c r="L14" s="234"/>
      <c r="M14" s="234"/>
      <c r="N14" s="234"/>
      <c r="O14" s="234"/>
      <c r="P14" s="234"/>
      <c r="Q14" s="234"/>
    </row>
    <row r="15" spans="1:20">
      <c r="A15" s="234"/>
      <c r="B15" s="418"/>
      <c r="C15" s="101"/>
      <c r="D15" s="31"/>
      <c r="E15" s="239"/>
      <c r="F15" s="234"/>
      <c r="G15" s="234"/>
      <c r="H15" s="234"/>
      <c r="I15" s="234"/>
      <c r="J15" s="234"/>
      <c r="K15" s="234"/>
      <c r="L15" s="234"/>
      <c r="M15" s="234"/>
      <c r="N15" s="234"/>
      <c r="O15" s="234"/>
      <c r="P15" s="234"/>
      <c r="Q15" s="234"/>
    </row>
    <row r="16" spans="1:20">
      <c r="A16" s="234"/>
      <c r="B16" s="418">
        <v>45</v>
      </c>
      <c r="C16" s="101" t="s">
        <v>4</v>
      </c>
      <c r="D16" s="31">
        <v>0.3</v>
      </c>
      <c r="E16" s="239" t="s">
        <v>860</v>
      </c>
      <c r="F16" s="234"/>
      <c r="G16" s="234" t="s">
        <v>35</v>
      </c>
      <c r="H16" s="234"/>
      <c r="I16" s="234"/>
      <c r="J16" s="234"/>
      <c r="K16" s="234"/>
      <c r="L16" s="234"/>
      <c r="M16" s="234"/>
      <c r="N16" s="234"/>
      <c r="O16" s="234"/>
      <c r="P16" s="234"/>
      <c r="Q16" s="234"/>
    </row>
    <row r="17" spans="1:17">
      <c r="A17" s="234"/>
      <c r="B17" s="418"/>
      <c r="C17" s="101"/>
      <c r="D17" s="31"/>
      <c r="E17" s="239"/>
      <c r="F17" s="234"/>
      <c r="G17" s="234" t="s">
        <v>19</v>
      </c>
      <c r="H17" s="234"/>
      <c r="I17" s="234"/>
      <c r="J17" s="234"/>
      <c r="K17" s="234"/>
      <c r="L17" s="234"/>
      <c r="M17" s="234"/>
      <c r="N17" s="234"/>
      <c r="O17" s="234"/>
      <c r="P17" s="234"/>
      <c r="Q17" s="234"/>
    </row>
    <row r="18" spans="1:17">
      <c r="A18" s="234"/>
      <c r="B18" s="418">
        <v>90</v>
      </c>
      <c r="C18" s="101" t="s">
        <v>4</v>
      </c>
      <c r="D18" s="421">
        <v>0</v>
      </c>
      <c r="E18" s="239" t="s">
        <v>860</v>
      </c>
      <c r="F18" s="234"/>
      <c r="G18" s="234"/>
      <c r="H18" s="234"/>
      <c r="I18" s="234"/>
      <c r="J18" s="234"/>
      <c r="K18" s="234"/>
      <c r="L18" s="234"/>
      <c r="M18" s="234"/>
      <c r="N18" s="234"/>
      <c r="O18" s="234"/>
      <c r="P18" s="234"/>
      <c r="Q18" s="234"/>
    </row>
    <row r="19" spans="1:17">
      <c r="A19" s="234"/>
      <c r="B19" s="418"/>
      <c r="C19" s="101"/>
      <c r="D19" s="101"/>
      <c r="E19" s="239"/>
      <c r="F19" s="234"/>
      <c r="G19" s="234" t="s">
        <v>16</v>
      </c>
      <c r="H19" s="234"/>
      <c r="I19" s="234"/>
      <c r="J19" s="234"/>
      <c r="K19" s="234"/>
      <c r="L19" s="234"/>
      <c r="M19" s="234"/>
      <c r="N19" s="234"/>
      <c r="O19" s="234"/>
      <c r="P19" s="234"/>
      <c r="Q19" s="234"/>
    </row>
    <row r="20" spans="1:17" ht="13.5" thickBot="1">
      <c r="A20" s="234"/>
      <c r="B20" s="418"/>
      <c r="C20" s="101"/>
      <c r="D20" s="101"/>
      <c r="E20" s="239"/>
      <c r="F20" s="234"/>
      <c r="G20" s="234" t="s">
        <v>17</v>
      </c>
      <c r="H20" s="234"/>
      <c r="I20" s="234"/>
      <c r="J20" s="234"/>
      <c r="K20" s="234"/>
      <c r="L20" s="234"/>
      <c r="M20" s="234"/>
      <c r="N20" s="234"/>
      <c r="O20" s="234"/>
      <c r="P20" s="234"/>
      <c r="Q20" s="234"/>
    </row>
    <row r="21" spans="1:17" ht="13.5" thickBot="1">
      <c r="A21" s="234"/>
      <c r="B21" s="418" t="s">
        <v>11</v>
      </c>
      <c r="C21" s="101"/>
      <c r="D21" s="919">
        <v>10</v>
      </c>
      <c r="E21" s="101" t="s">
        <v>12</v>
      </c>
      <c r="F21" s="918" t="s">
        <v>140</v>
      </c>
      <c r="G21" s="234"/>
      <c r="H21" s="234"/>
      <c r="I21" s="234"/>
      <c r="J21" s="234"/>
      <c r="K21" s="234"/>
      <c r="L21" s="234"/>
      <c r="M21" s="234"/>
      <c r="N21" s="234"/>
      <c r="O21" s="234"/>
      <c r="P21" s="234"/>
      <c r="Q21" s="234"/>
    </row>
    <row r="22" spans="1:17">
      <c r="A22" s="234"/>
      <c r="B22" s="418"/>
      <c r="C22" s="101"/>
      <c r="D22" s="101"/>
      <c r="E22" s="239"/>
      <c r="F22" s="234"/>
      <c r="G22" s="234" t="s">
        <v>169</v>
      </c>
      <c r="H22" s="234"/>
      <c r="I22" s="234"/>
      <c r="J22" s="234"/>
      <c r="K22" s="234"/>
      <c r="L22" s="234"/>
      <c r="M22" s="234"/>
      <c r="N22" s="234"/>
      <c r="O22" s="234"/>
      <c r="P22" s="234"/>
      <c r="Q22" s="234"/>
    </row>
    <row r="23" spans="1:17">
      <c r="A23" s="234"/>
      <c r="B23" s="418" t="s">
        <v>13</v>
      </c>
      <c r="C23" s="101"/>
      <c r="D23" s="132">
        <f>IF(D21&lt;B8,4.6,INDEX(D6:D18,MATCH(D21,B6:B18,1),1))</f>
        <v>1.1000000000000001</v>
      </c>
      <c r="E23" s="239" t="s">
        <v>860</v>
      </c>
      <c r="F23" s="234"/>
      <c r="G23" s="234" t="s">
        <v>170</v>
      </c>
      <c r="H23" s="234"/>
      <c r="I23" s="234"/>
      <c r="J23" s="234"/>
      <c r="K23" s="234"/>
      <c r="L23" s="234"/>
      <c r="M23" s="234"/>
      <c r="N23" s="234"/>
      <c r="O23" s="234"/>
      <c r="P23" s="234"/>
      <c r="Q23" s="234"/>
    </row>
    <row r="24" spans="1:17">
      <c r="A24" s="234"/>
      <c r="B24" s="117"/>
      <c r="C24" s="118"/>
      <c r="D24" s="118"/>
      <c r="E24" s="119"/>
      <c r="F24" s="234"/>
      <c r="G24" s="89"/>
      <c r="H24" s="89"/>
      <c r="I24" s="89"/>
      <c r="J24" s="89"/>
      <c r="K24" s="89"/>
      <c r="L24" s="89"/>
      <c r="M24" s="89"/>
      <c r="N24" s="89"/>
      <c r="O24" s="89"/>
      <c r="P24" s="89"/>
      <c r="Q24" s="234"/>
    </row>
    <row r="25" spans="1:17">
      <c r="A25" s="234"/>
      <c r="B25" s="234"/>
      <c r="C25" s="234"/>
      <c r="D25" s="234"/>
      <c r="E25" s="234"/>
      <c r="F25" s="234"/>
      <c r="G25" s="234"/>
      <c r="H25" s="234"/>
      <c r="I25" s="234"/>
      <c r="J25" s="234"/>
      <c r="K25" s="234"/>
      <c r="L25" s="234"/>
      <c r="M25" s="234"/>
      <c r="N25" s="234"/>
      <c r="O25" s="234"/>
      <c r="P25" s="234"/>
      <c r="Q25" s="234"/>
    </row>
    <row r="26" spans="1:17">
      <c r="A26" s="234"/>
      <c r="B26" s="234"/>
      <c r="C26" s="234"/>
      <c r="D26" s="234"/>
      <c r="E26" s="234"/>
      <c r="F26" s="234"/>
      <c r="G26" s="234"/>
      <c r="H26" s="407" t="s">
        <v>316</v>
      </c>
      <c r="I26" s="234"/>
      <c r="J26" s="234"/>
      <c r="K26" s="234"/>
      <c r="L26" s="234"/>
      <c r="M26" s="234"/>
      <c r="N26" s="234"/>
      <c r="O26" s="234"/>
      <c r="P26" s="234"/>
      <c r="Q26" s="234"/>
    </row>
    <row r="27" spans="1:17">
      <c r="A27" s="234"/>
      <c r="B27" s="234"/>
      <c r="C27" s="234"/>
      <c r="D27" s="234" t="s">
        <v>818</v>
      </c>
      <c r="E27" s="234"/>
      <c r="F27" s="234"/>
      <c r="G27" s="234"/>
      <c r="H27" s="234"/>
      <c r="I27" s="234"/>
      <c r="J27" s="234"/>
      <c r="K27" s="234"/>
      <c r="L27" s="234"/>
      <c r="M27" s="234"/>
      <c r="N27" s="234"/>
      <c r="O27" s="234"/>
      <c r="P27" s="234"/>
      <c r="Q27" s="234"/>
    </row>
    <row r="28" spans="1:17">
      <c r="A28" s="234"/>
      <c r="B28" s="423" t="s">
        <v>18</v>
      </c>
      <c r="C28" s="426"/>
      <c r="D28" s="426"/>
      <c r="E28" s="425"/>
      <c r="F28" s="234"/>
      <c r="G28" s="234" t="s">
        <v>148</v>
      </c>
      <c r="H28" s="234"/>
      <c r="I28" s="234"/>
      <c r="J28" s="234"/>
      <c r="K28" s="234"/>
      <c r="L28" s="234"/>
      <c r="M28" s="234"/>
      <c r="N28" s="234"/>
      <c r="O28" s="234"/>
      <c r="P28" s="234"/>
      <c r="Q28" s="234"/>
    </row>
    <row r="29" spans="1:17">
      <c r="A29" s="234"/>
      <c r="B29" s="665" t="s">
        <v>861</v>
      </c>
      <c r="C29" s="101" t="s">
        <v>313</v>
      </c>
      <c r="D29" s="101"/>
      <c r="E29" s="662">
        <f>'Uplink Budget'!B17</f>
        <v>0.2</v>
      </c>
      <c r="F29" s="234"/>
      <c r="G29" s="235" t="s">
        <v>20</v>
      </c>
      <c r="H29" s="234"/>
      <c r="I29" s="234"/>
      <c r="J29" s="234"/>
      <c r="K29" s="234"/>
      <c r="L29" s="234"/>
      <c r="M29" s="234"/>
      <c r="N29" s="234"/>
      <c r="O29" s="234"/>
      <c r="P29" s="234"/>
      <c r="Q29" s="234"/>
    </row>
    <row r="30" spans="1:17">
      <c r="A30" s="86"/>
      <c r="B30" s="664" t="s">
        <v>856</v>
      </c>
      <c r="C30" s="660" t="s">
        <v>821</v>
      </c>
      <c r="D30" s="660" t="s">
        <v>3</v>
      </c>
      <c r="E30" s="661" t="s">
        <v>821</v>
      </c>
      <c r="F30" s="234"/>
      <c r="G30" s="234" t="s">
        <v>21</v>
      </c>
      <c r="H30" s="234"/>
      <c r="I30" s="234"/>
      <c r="J30" s="234"/>
      <c r="K30" s="234"/>
      <c r="L30" s="234"/>
      <c r="M30" s="234"/>
      <c r="N30" s="234"/>
      <c r="O30" s="234"/>
      <c r="P30" s="234"/>
      <c r="Q30" s="234"/>
    </row>
    <row r="31" spans="1:17">
      <c r="A31" s="234"/>
      <c r="B31" s="418"/>
      <c r="C31" s="101"/>
      <c r="D31" s="101"/>
      <c r="E31" s="239"/>
      <c r="F31" s="234"/>
      <c r="G31" s="234" t="s">
        <v>24</v>
      </c>
      <c r="H31" s="234"/>
      <c r="I31" s="234"/>
      <c r="J31" s="234"/>
      <c r="K31" s="234"/>
      <c r="L31" s="234"/>
      <c r="M31" s="234"/>
      <c r="N31" s="234"/>
      <c r="O31" s="234"/>
      <c r="P31" s="234"/>
      <c r="Q31" s="234"/>
    </row>
    <row r="32" spans="1:17">
      <c r="A32" s="234"/>
      <c r="B32" s="122">
        <v>146</v>
      </c>
      <c r="C32" s="123" t="s">
        <v>857</v>
      </c>
      <c r="D32" s="417">
        <v>0.7</v>
      </c>
      <c r="E32" s="124" t="s">
        <v>860</v>
      </c>
      <c r="F32" s="234"/>
      <c r="G32" s="234" t="s">
        <v>25</v>
      </c>
      <c r="H32" s="234"/>
      <c r="I32" s="234"/>
      <c r="J32" s="234"/>
      <c r="K32" s="234"/>
      <c r="L32" s="234"/>
      <c r="M32" s="234"/>
      <c r="N32" s="234"/>
      <c r="O32" s="234"/>
      <c r="P32" s="234"/>
      <c r="Q32" s="234"/>
    </row>
    <row r="33" spans="1:17">
      <c r="A33" s="234"/>
      <c r="B33" s="122">
        <v>438</v>
      </c>
      <c r="C33" s="123" t="s">
        <v>857</v>
      </c>
      <c r="D33" s="417">
        <v>0.4</v>
      </c>
      <c r="E33" s="124" t="s">
        <v>860</v>
      </c>
      <c r="F33" s="234"/>
      <c r="G33" s="234"/>
      <c r="H33" s="234"/>
      <c r="I33" s="234"/>
      <c r="J33" s="234"/>
      <c r="K33" s="234"/>
      <c r="L33" s="234"/>
      <c r="M33" s="234"/>
      <c r="N33" s="234"/>
      <c r="O33" s="234"/>
      <c r="P33" s="234"/>
      <c r="Q33" s="234"/>
    </row>
    <row r="34" spans="1:17" ht="13.5" thickBot="1">
      <c r="A34" s="234"/>
      <c r="B34" s="122">
        <v>2410</v>
      </c>
      <c r="C34" s="123" t="s">
        <v>857</v>
      </c>
      <c r="D34" s="916">
        <v>0.1</v>
      </c>
      <c r="E34" s="124" t="s">
        <v>860</v>
      </c>
      <c r="F34" s="234"/>
      <c r="G34" s="234" t="s">
        <v>214</v>
      </c>
      <c r="H34" s="234"/>
      <c r="I34" s="234"/>
      <c r="J34" s="234"/>
      <c r="K34" s="234"/>
      <c r="L34" s="234"/>
      <c r="M34" s="234"/>
      <c r="N34" s="234"/>
      <c r="O34" s="234"/>
      <c r="P34" s="234"/>
      <c r="Q34" s="234"/>
    </row>
    <row r="35" spans="1:17" ht="13.5" thickBot="1">
      <c r="A35" s="234"/>
      <c r="B35" s="428">
        <f>Frequency!C13</f>
        <v>1265</v>
      </c>
      <c r="C35" s="429" t="s">
        <v>857</v>
      </c>
      <c r="D35" s="917">
        <v>0.2</v>
      </c>
      <c r="E35" s="124" t="s">
        <v>860</v>
      </c>
      <c r="F35" s="234"/>
      <c r="G35" s="234" t="s">
        <v>215</v>
      </c>
      <c r="H35" s="234"/>
      <c r="I35" s="234"/>
      <c r="J35" s="234"/>
      <c r="K35" s="234"/>
      <c r="L35" s="234"/>
      <c r="M35" s="234"/>
      <c r="N35" s="234"/>
      <c r="O35" s="234"/>
      <c r="P35" s="234"/>
      <c r="Q35" s="234"/>
    </row>
    <row r="36" spans="1:17">
      <c r="A36" s="234"/>
      <c r="B36" s="117"/>
      <c r="C36" s="118"/>
      <c r="D36" s="118"/>
      <c r="E36" s="119"/>
      <c r="F36" s="234"/>
      <c r="G36" s="234" t="s">
        <v>26</v>
      </c>
      <c r="H36" s="234"/>
      <c r="I36" s="234"/>
      <c r="J36" s="234"/>
      <c r="K36" s="234"/>
      <c r="L36" s="234"/>
      <c r="M36" s="234"/>
      <c r="N36" s="234"/>
      <c r="O36" s="234"/>
      <c r="P36" s="234"/>
      <c r="Q36" s="234"/>
    </row>
    <row r="37" spans="1:17">
      <c r="A37" s="234"/>
      <c r="B37" s="234"/>
      <c r="C37" s="234"/>
      <c r="D37" s="234"/>
      <c r="E37" s="234"/>
      <c r="F37" s="234"/>
      <c r="G37" s="234" t="s">
        <v>149</v>
      </c>
      <c r="H37" s="234"/>
      <c r="I37" s="234"/>
      <c r="J37" s="234"/>
      <c r="K37" s="234"/>
      <c r="L37" s="234"/>
      <c r="M37" s="234"/>
      <c r="N37" s="234"/>
      <c r="O37" s="234"/>
      <c r="P37" s="234"/>
      <c r="Q37" s="234"/>
    </row>
    <row r="38" spans="1:17">
      <c r="A38" s="234"/>
      <c r="B38" s="247" t="s">
        <v>322</v>
      </c>
      <c r="C38" s="234"/>
      <c r="D38" s="234"/>
      <c r="E38" s="234"/>
      <c r="F38" s="234"/>
      <c r="G38" s="234" t="s">
        <v>27</v>
      </c>
      <c r="H38" s="234"/>
      <c r="I38" s="234"/>
      <c r="J38" s="234"/>
      <c r="K38" s="234"/>
      <c r="L38" s="234"/>
      <c r="M38" s="234"/>
      <c r="N38" s="234"/>
      <c r="O38" s="234"/>
      <c r="P38" s="234"/>
      <c r="Q38" s="234"/>
    </row>
    <row r="39" spans="1:17">
      <c r="A39" s="234"/>
      <c r="B39" s="234"/>
      <c r="C39" s="234"/>
      <c r="D39" s="234"/>
      <c r="E39" s="234"/>
      <c r="F39" s="234"/>
      <c r="G39" s="234"/>
      <c r="H39" s="234"/>
      <c r="I39" s="234"/>
      <c r="J39" s="234"/>
      <c r="K39" s="234"/>
      <c r="L39" s="234"/>
      <c r="M39" s="234"/>
      <c r="N39" s="234"/>
      <c r="O39" s="234"/>
      <c r="P39" s="234"/>
      <c r="Q39" s="234"/>
    </row>
    <row r="40" spans="1:17">
      <c r="A40" s="234"/>
      <c r="B40" s="234"/>
      <c r="C40" s="234"/>
      <c r="D40" s="234"/>
      <c r="E40" s="234"/>
      <c r="F40" s="234"/>
      <c r="G40" s="234" t="s">
        <v>274</v>
      </c>
      <c r="H40" s="234"/>
      <c r="I40" s="234"/>
      <c r="J40" s="234"/>
      <c r="K40" s="234"/>
      <c r="L40" s="234"/>
      <c r="M40" s="234"/>
      <c r="N40" s="234"/>
      <c r="O40" s="234"/>
      <c r="P40" s="234"/>
      <c r="Q40" s="234"/>
    </row>
    <row r="41" spans="1:17">
      <c r="A41" s="234"/>
      <c r="B41" s="423" t="s">
        <v>18</v>
      </c>
      <c r="C41" s="426"/>
      <c r="D41" s="426"/>
      <c r="E41" s="425"/>
      <c r="F41" s="234"/>
      <c r="G41" s="234" t="s">
        <v>32</v>
      </c>
      <c r="H41" s="234"/>
      <c r="I41" s="234"/>
      <c r="J41" s="234"/>
      <c r="K41" s="234"/>
      <c r="L41" s="234"/>
      <c r="M41" s="234"/>
      <c r="N41" s="234"/>
      <c r="O41" s="234"/>
      <c r="P41" s="234"/>
      <c r="Q41" s="234"/>
    </row>
    <row r="42" spans="1:17">
      <c r="A42" s="234"/>
      <c r="B42" s="416" t="s">
        <v>862</v>
      </c>
      <c r="C42" s="101" t="s">
        <v>311</v>
      </c>
      <c r="D42" s="101"/>
      <c r="E42" s="427">
        <f>'Downlink Budget'!B17</f>
        <v>0.4</v>
      </c>
      <c r="F42" s="234"/>
      <c r="G42" s="234" t="s">
        <v>31</v>
      </c>
      <c r="H42" s="234"/>
      <c r="I42" s="234"/>
      <c r="J42" s="234"/>
      <c r="K42" s="234"/>
      <c r="L42" s="234"/>
      <c r="M42" s="234"/>
      <c r="N42" s="234"/>
      <c r="O42" s="234"/>
      <c r="P42" s="234"/>
      <c r="Q42" s="234"/>
    </row>
    <row r="43" spans="1:17">
      <c r="A43" s="234"/>
      <c r="B43" s="133" t="s">
        <v>856</v>
      </c>
      <c r="C43" s="130" t="s">
        <v>821</v>
      </c>
      <c r="D43" s="130" t="s">
        <v>3</v>
      </c>
      <c r="E43" s="131" t="s">
        <v>821</v>
      </c>
      <c r="F43" s="234"/>
      <c r="G43" s="234" t="s">
        <v>33</v>
      </c>
      <c r="H43" s="234"/>
      <c r="I43" s="234"/>
      <c r="J43" s="234"/>
      <c r="K43" s="234"/>
      <c r="L43" s="234"/>
      <c r="M43" s="234"/>
      <c r="N43" s="234"/>
      <c r="O43" s="234"/>
      <c r="P43" s="234"/>
      <c r="Q43" s="234"/>
    </row>
    <row r="44" spans="1:17">
      <c r="A44" s="234"/>
      <c r="B44" s="418"/>
      <c r="C44" s="101"/>
      <c r="D44" s="101"/>
      <c r="E44" s="239"/>
      <c r="F44" s="234"/>
      <c r="G44" s="234"/>
      <c r="H44" s="234"/>
      <c r="I44" s="234"/>
      <c r="J44" s="234"/>
      <c r="K44" s="234"/>
      <c r="L44" s="234"/>
      <c r="M44" s="234"/>
      <c r="N44" s="234"/>
      <c r="O44" s="234"/>
      <c r="P44" s="234"/>
      <c r="Q44" s="234"/>
    </row>
    <row r="45" spans="1:17">
      <c r="A45" s="234"/>
      <c r="B45" s="122">
        <v>146</v>
      </c>
      <c r="C45" s="123" t="s">
        <v>857</v>
      </c>
      <c r="D45" s="419">
        <v>0.7</v>
      </c>
      <c r="E45" s="124" t="s">
        <v>860</v>
      </c>
      <c r="F45" s="234"/>
      <c r="G45" s="234" t="s">
        <v>310</v>
      </c>
      <c r="H45" s="234"/>
      <c r="I45" s="234"/>
      <c r="J45" s="234"/>
      <c r="K45" s="234"/>
      <c r="L45" s="234"/>
      <c r="M45" s="234"/>
      <c r="N45" s="234"/>
      <c r="O45" s="234"/>
      <c r="P45" s="234"/>
      <c r="Q45" s="234"/>
    </row>
    <row r="46" spans="1:17">
      <c r="A46" s="234"/>
      <c r="B46" s="122">
        <v>438</v>
      </c>
      <c r="C46" s="123" t="s">
        <v>857</v>
      </c>
      <c r="D46" s="419">
        <v>0.4</v>
      </c>
      <c r="E46" s="124" t="s">
        <v>860</v>
      </c>
      <c r="F46" s="234"/>
      <c r="G46" s="234" t="s">
        <v>384</v>
      </c>
      <c r="H46" s="234"/>
      <c r="I46" s="234"/>
      <c r="J46" s="234"/>
      <c r="K46" s="234"/>
      <c r="L46" s="234"/>
      <c r="M46" s="234"/>
      <c r="N46" s="234"/>
      <c r="O46" s="234"/>
      <c r="P46" s="234"/>
      <c r="Q46" s="234"/>
    </row>
    <row r="47" spans="1:17">
      <c r="A47" s="234"/>
      <c r="B47" s="122">
        <v>2410</v>
      </c>
      <c r="C47" s="123" t="s">
        <v>857</v>
      </c>
      <c r="D47" s="419">
        <v>0.1</v>
      </c>
      <c r="E47" s="124" t="s">
        <v>860</v>
      </c>
      <c r="F47" s="234"/>
      <c r="G47" s="234" t="s">
        <v>312</v>
      </c>
      <c r="H47" s="234"/>
      <c r="I47" s="234"/>
      <c r="J47" s="234"/>
      <c r="K47" s="234"/>
      <c r="L47" s="234"/>
      <c r="M47" s="234"/>
      <c r="N47" s="234"/>
      <c r="O47" s="234"/>
      <c r="P47" s="234"/>
      <c r="Q47" s="234"/>
    </row>
    <row r="48" spans="1:17">
      <c r="A48" s="234"/>
      <c r="B48" s="428">
        <f>Frequency!C19</f>
        <v>436.5</v>
      </c>
      <c r="C48" s="429" t="s">
        <v>857</v>
      </c>
      <c r="D48" s="420">
        <v>0.4</v>
      </c>
      <c r="E48" s="124" t="s">
        <v>860</v>
      </c>
      <c r="F48" s="234"/>
      <c r="G48" s="234" t="s">
        <v>314</v>
      </c>
      <c r="H48" s="234"/>
      <c r="I48" s="234"/>
      <c r="J48" s="234"/>
      <c r="K48" s="234"/>
      <c r="L48" s="234"/>
      <c r="M48" s="234"/>
      <c r="N48" s="234"/>
      <c r="O48" s="234"/>
      <c r="P48" s="234"/>
      <c r="Q48" s="234"/>
    </row>
    <row r="49" spans="1:18">
      <c r="A49" s="234"/>
      <c r="B49" s="122"/>
      <c r="C49" s="123"/>
      <c r="D49" s="123"/>
      <c r="E49" s="124"/>
      <c r="F49" s="234"/>
      <c r="G49" s="234"/>
      <c r="H49" s="234" t="s">
        <v>818</v>
      </c>
      <c r="I49" s="234"/>
      <c r="J49" s="234"/>
      <c r="K49" s="234"/>
      <c r="L49" s="234"/>
      <c r="M49" s="234"/>
      <c r="N49" s="234"/>
      <c r="O49" s="234"/>
      <c r="P49" s="234"/>
      <c r="Q49" s="234"/>
    </row>
    <row r="50" spans="1:18">
      <c r="A50" s="234"/>
      <c r="B50" s="234"/>
      <c r="C50" s="234"/>
      <c r="D50" s="234"/>
      <c r="E50" s="234"/>
      <c r="F50" s="234"/>
      <c r="G50" s="234"/>
      <c r="H50" s="247"/>
      <c r="I50" s="234"/>
      <c r="J50" s="234"/>
      <c r="K50" s="234"/>
      <c r="L50" s="234"/>
      <c r="M50" s="234"/>
      <c r="N50" s="234"/>
      <c r="O50" s="234"/>
      <c r="P50" s="234"/>
      <c r="Q50" s="234"/>
    </row>
    <row r="51" spans="1:18">
      <c r="A51" s="234"/>
      <c r="B51" s="247" t="s">
        <v>322</v>
      </c>
      <c r="C51" s="234"/>
      <c r="D51" s="234"/>
      <c r="E51" s="234"/>
      <c r="F51" s="234"/>
      <c r="G51" s="234" t="s">
        <v>699</v>
      </c>
      <c r="H51" s="234"/>
      <c r="I51" s="234"/>
      <c r="J51" s="234"/>
      <c r="K51" s="234"/>
      <c r="L51" s="234"/>
      <c r="M51" s="234"/>
      <c r="N51" s="234"/>
      <c r="O51" s="234"/>
      <c r="P51" s="234"/>
      <c r="Q51" s="234"/>
    </row>
    <row r="52" spans="1:18">
      <c r="A52" s="234"/>
      <c r="B52" s="234" t="s">
        <v>700</v>
      </c>
      <c r="C52" s="234"/>
      <c r="D52" s="234"/>
      <c r="E52" s="234"/>
      <c r="F52" s="234"/>
      <c r="G52" s="234"/>
      <c r="H52" s="234"/>
      <c r="I52" s="234"/>
      <c r="J52" s="234"/>
      <c r="K52" s="234"/>
      <c r="L52" s="234"/>
      <c r="M52" s="234"/>
      <c r="N52" s="234"/>
      <c r="O52" s="234"/>
      <c r="P52" s="234"/>
      <c r="Q52" s="234"/>
      <c r="R52" s="234"/>
    </row>
    <row r="53" spans="1:18">
      <c r="A53" s="234"/>
      <c r="B53" s="234" t="s">
        <v>701</v>
      </c>
      <c r="C53" s="234"/>
      <c r="D53" s="234"/>
      <c r="E53" s="234"/>
      <c r="F53" s="234"/>
      <c r="G53" s="234"/>
      <c r="H53" s="234"/>
      <c r="I53" s="234"/>
      <c r="J53" s="234"/>
      <c r="K53" s="234"/>
      <c r="L53" s="234"/>
      <c r="M53" s="234"/>
      <c r="N53" s="234"/>
      <c r="O53" s="234"/>
      <c r="P53" s="234"/>
      <c r="Q53" s="234"/>
      <c r="R53" s="234"/>
    </row>
    <row r="54" spans="1:18">
      <c r="A54" s="234"/>
      <c r="B54" s="234" t="s">
        <v>702</v>
      </c>
      <c r="C54" s="234"/>
      <c r="D54" s="234"/>
      <c r="E54" s="234"/>
      <c r="F54" s="234"/>
      <c r="G54" s="234"/>
      <c r="H54" s="234"/>
      <c r="I54" s="234"/>
      <c r="J54" s="234"/>
      <c r="K54" s="234"/>
      <c r="L54" s="234"/>
      <c r="M54" s="234"/>
      <c r="N54" s="234"/>
      <c r="O54" s="234"/>
      <c r="P54" s="234"/>
      <c r="Q54" s="234"/>
      <c r="R54" s="234"/>
    </row>
    <row r="55" spans="1:18">
      <c r="A55" s="234"/>
      <c r="B55" s="234" t="s">
        <v>703</v>
      </c>
      <c r="C55" s="234"/>
      <c r="D55" s="234"/>
      <c r="E55" s="234"/>
      <c r="F55" s="234"/>
      <c r="G55" s="234"/>
      <c r="H55" s="234"/>
      <c r="I55" s="234"/>
      <c r="J55" s="234"/>
      <c r="K55" s="234"/>
      <c r="L55" s="234"/>
      <c r="M55" s="234"/>
      <c r="N55" s="234"/>
      <c r="O55" s="234"/>
      <c r="P55" s="234"/>
      <c r="Q55" s="234"/>
      <c r="R55" s="234"/>
    </row>
    <row r="56" spans="1:18">
      <c r="A56" s="234"/>
      <c r="B56" s="234"/>
      <c r="C56" s="234"/>
      <c r="D56" s="234"/>
      <c r="E56" s="234"/>
      <c r="F56" s="234"/>
      <c r="G56" s="234"/>
      <c r="H56" s="234"/>
      <c r="I56" s="234"/>
      <c r="J56" s="234"/>
      <c r="K56" s="234"/>
      <c r="L56" s="234"/>
      <c r="M56" s="234"/>
      <c r="N56" s="234"/>
      <c r="O56" s="234"/>
      <c r="P56" s="234"/>
      <c r="Q56" s="234"/>
      <c r="R56" s="234"/>
    </row>
    <row r="57" spans="1:18">
      <c r="A57" s="234"/>
      <c r="B57" s="234"/>
      <c r="C57" s="234"/>
      <c r="D57" s="234"/>
      <c r="E57" s="234"/>
      <c r="F57" s="234"/>
      <c r="G57" s="234"/>
      <c r="H57" s="234"/>
      <c r="I57" s="234"/>
      <c r="J57" s="234"/>
      <c r="K57" s="234"/>
      <c r="L57" s="234"/>
      <c r="M57" s="234"/>
      <c r="N57" s="234"/>
      <c r="O57" s="234"/>
      <c r="P57" s="234"/>
      <c r="Q57" s="234"/>
      <c r="R57" s="234"/>
    </row>
    <row r="58" spans="1:18">
      <c r="A58" s="234"/>
      <c r="B58" s="234"/>
      <c r="C58" s="234"/>
      <c r="D58" s="234"/>
      <c r="E58" s="234"/>
      <c r="F58" s="234"/>
      <c r="G58" s="234"/>
      <c r="H58" s="234"/>
      <c r="I58" s="234"/>
      <c r="J58" s="234"/>
      <c r="K58" s="234"/>
      <c r="L58" s="234"/>
      <c r="M58" s="234"/>
      <c r="N58" s="234"/>
      <c r="O58" s="234"/>
      <c r="P58" s="234"/>
      <c r="Q58" s="234"/>
      <c r="R58" s="234"/>
    </row>
    <row r="59" spans="1:18">
      <c r="A59" s="234"/>
      <c r="B59" s="234"/>
      <c r="C59" s="234"/>
      <c r="D59" s="234"/>
      <c r="E59" s="234"/>
      <c r="F59" s="234"/>
      <c r="G59" s="234"/>
      <c r="H59" s="234"/>
      <c r="I59" s="234"/>
      <c r="J59" s="234"/>
      <c r="K59" s="234"/>
      <c r="L59" s="234"/>
      <c r="M59" s="234"/>
      <c r="N59" s="234"/>
      <c r="O59" s="234"/>
      <c r="P59" s="234"/>
      <c r="Q59" s="234"/>
      <c r="R59" s="234"/>
    </row>
    <row r="60" spans="1:18">
      <c r="A60" s="234"/>
      <c r="B60" s="234"/>
      <c r="C60" s="234"/>
      <c r="D60" s="234"/>
      <c r="E60" s="234"/>
      <c r="F60" s="234"/>
      <c r="G60" s="234"/>
      <c r="H60" s="234"/>
      <c r="I60" s="234"/>
      <c r="J60" s="234"/>
      <c r="K60" s="234"/>
      <c r="L60" s="234"/>
      <c r="M60" s="234"/>
      <c r="N60" s="234"/>
      <c r="O60" s="234"/>
      <c r="P60" s="234"/>
      <c r="Q60" s="234"/>
      <c r="R60" s="234"/>
    </row>
    <row r="61" spans="1:18">
      <c r="A61" s="234"/>
      <c r="B61" s="234"/>
      <c r="C61" s="234"/>
      <c r="D61" s="234"/>
      <c r="E61" s="234"/>
      <c r="F61" s="234"/>
      <c r="G61" s="234"/>
      <c r="H61" s="234"/>
      <c r="I61" s="234"/>
      <c r="J61" s="234"/>
      <c r="K61" s="234"/>
      <c r="L61" s="234"/>
      <c r="M61" s="234"/>
      <c r="N61" s="234"/>
      <c r="O61" s="234"/>
      <c r="P61" s="234"/>
      <c r="Q61" s="234"/>
      <c r="R61" s="234"/>
    </row>
    <row r="62" spans="1:18">
      <c r="A62" s="234"/>
      <c r="B62" s="234"/>
      <c r="C62" s="234"/>
      <c r="D62" s="234"/>
      <c r="E62" s="234"/>
      <c r="F62" s="234"/>
      <c r="G62" s="234"/>
      <c r="H62" s="234"/>
      <c r="I62" s="234"/>
      <c r="J62" s="234"/>
      <c r="K62" s="234"/>
      <c r="L62" s="234"/>
      <c r="M62" s="234"/>
      <c r="N62" s="234"/>
      <c r="O62" s="234"/>
      <c r="P62" s="234"/>
      <c r="Q62" s="234"/>
      <c r="R62" s="234"/>
    </row>
    <row r="63" spans="1:18">
      <c r="A63" s="234"/>
      <c r="B63" s="234"/>
      <c r="C63" s="234"/>
      <c r="D63" s="234"/>
      <c r="E63" s="234"/>
      <c r="F63" s="234"/>
      <c r="G63" s="234"/>
      <c r="H63" s="234"/>
      <c r="I63" s="234"/>
      <c r="J63" s="234"/>
      <c r="K63" s="234"/>
      <c r="L63" s="234"/>
      <c r="M63" s="234"/>
      <c r="N63" s="234"/>
      <c r="O63" s="234"/>
      <c r="P63" s="234"/>
      <c r="Q63" s="234"/>
      <c r="R63" s="234"/>
    </row>
    <row r="64" spans="1:18">
      <c r="A64" s="234"/>
      <c r="B64" s="234"/>
      <c r="C64" s="234"/>
      <c r="D64" s="234"/>
      <c r="E64" s="234"/>
      <c r="F64" s="234"/>
      <c r="G64" s="234"/>
      <c r="H64" s="234"/>
      <c r="I64" s="234"/>
      <c r="J64" s="234"/>
      <c r="K64" s="234"/>
      <c r="L64" s="234"/>
      <c r="M64" s="234"/>
      <c r="N64" s="234"/>
      <c r="O64" s="234"/>
      <c r="P64" s="234"/>
      <c r="Q64" s="234"/>
      <c r="R64" s="234"/>
    </row>
    <row r="65" spans="1:18">
      <c r="A65" s="234"/>
      <c r="B65" s="234"/>
      <c r="C65" s="234"/>
      <c r="D65" s="234"/>
      <c r="E65" s="234"/>
      <c r="F65" s="234"/>
      <c r="G65" s="234"/>
      <c r="H65" s="234"/>
      <c r="I65" s="234"/>
      <c r="J65" s="234"/>
      <c r="K65" s="234"/>
      <c r="L65" s="234"/>
      <c r="M65" s="234"/>
      <c r="N65" s="234"/>
      <c r="O65" s="234"/>
      <c r="P65" s="234"/>
      <c r="Q65" s="234"/>
      <c r="R65" s="234"/>
    </row>
    <row r="66" spans="1:18">
      <c r="A66" s="234"/>
      <c r="B66" s="234"/>
      <c r="C66" s="234"/>
      <c r="D66" s="234"/>
      <c r="E66" s="234"/>
      <c r="F66" s="234"/>
      <c r="G66" s="234"/>
      <c r="H66" s="234"/>
      <c r="I66" s="234"/>
      <c r="J66" s="234"/>
      <c r="K66" s="234"/>
      <c r="L66" s="234"/>
      <c r="M66" s="234"/>
      <c r="N66" s="234"/>
      <c r="O66" s="234"/>
      <c r="P66" s="234"/>
      <c r="Q66" s="234"/>
      <c r="R66" s="234"/>
    </row>
    <row r="67" spans="1:18">
      <c r="A67" s="234"/>
      <c r="B67" s="234"/>
      <c r="C67" s="234"/>
      <c r="D67" s="234"/>
      <c r="E67" s="234"/>
      <c r="F67" s="234"/>
      <c r="G67" s="234"/>
      <c r="H67" s="234"/>
      <c r="I67" s="234"/>
      <c r="J67" s="234"/>
      <c r="K67" s="234"/>
      <c r="L67" s="234"/>
      <c r="M67" s="234"/>
      <c r="N67" s="234"/>
      <c r="O67" s="234"/>
      <c r="P67" s="234"/>
      <c r="Q67" s="234"/>
      <c r="R67" s="234"/>
    </row>
    <row r="68" spans="1:18">
      <c r="A68" s="234"/>
      <c r="B68" s="234"/>
      <c r="C68" s="234"/>
      <c r="D68" s="234"/>
      <c r="E68" s="234"/>
      <c r="F68" s="234"/>
      <c r="G68" s="234"/>
      <c r="H68" s="234"/>
      <c r="I68" s="234"/>
      <c r="J68" s="234"/>
      <c r="K68" s="234"/>
      <c r="L68" s="234"/>
      <c r="M68" s="234"/>
      <c r="N68" s="234"/>
      <c r="O68" s="234"/>
      <c r="P68" s="234"/>
      <c r="Q68" s="234"/>
      <c r="R68" s="234"/>
    </row>
    <row r="69" spans="1:18">
      <c r="A69" s="234"/>
      <c r="B69" s="234"/>
      <c r="C69" s="234"/>
      <c r="D69" s="234"/>
      <c r="E69" s="234"/>
      <c r="F69" s="234"/>
      <c r="G69" s="234"/>
      <c r="H69" s="234"/>
      <c r="I69" s="234"/>
      <c r="J69" s="234"/>
      <c r="K69" s="234"/>
      <c r="L69" s="234"/>
      <c r="M69" s="234"/>
      <c r="N69" s="234"/>
      <c r="O69" s="234"/>
      <c r="P69" s="234"/>
      <c r="Q69" s="234"/>
      <c r="R69" s="234"/>
    </row>
    <row r="70" spans="1:18">
      <c r="A70" s="234"/>
      <c r="B70" s="234"/>
      <c r="C70" s="234"/>
      <c r="D70" s="234"/>
      <c r="E70" s="234"/>
      <c r="F70" s="234"/>
      <c r="G70" s="234"/>
      <c r="H70" s="234"/>
      <c r="I70" s="234"/>
      <c r="J70" s="234"/>
      <c r="K70" s="234"/>
      <c r="L70" s="234"/>
      <c r="M70" s="234"/>
      <c r="N70" s="234"/>
      <c r="O70" s="234"/>
      <c r="P70" s="234"/>
      <c r="Q70" s="234"/>
      <c r="R70" s="234"/>
    </row>
    <row r="71" spans="1:18">
      <c r="A71" s="234"/>
      <c r="B71" s="234"/>
      <c r="C71" s="234"/>
      <c r="D71" s="234"/>
      <c r="E71" s="234"/>
      <c r="F71" s="234"/>
      <c r="G71" s="234"/>
      <c r="H71" s="234"/>
      <c r="I71" s="234"/>
      <c r="J71" s="234"/>
      <c r="K71" s="234"/>
      <c r="L71" s="234"/>
      <c r="M71" s="234"/>
      <c r="N71" s="234"/>
      <c r="O71" s="234"/>
      <c r="P71" s="234"/>
      <c r="Q71" s="234"/>
      <c r="R71" s="234"/>
    </row>
    <row r="72" spans="1:18">
      <c r="A72" s="234"/>
      <c r="B72" s="234"/>
      <c r="C72" s="234"/>
      <c r="D72" s="234"/>
      <c r="E72" s="234"/>
      <c r="F72" s="234"/>
      <c r="G72" s="234"/>
      <c r="H72" s="234"/>
      <c r="I72" s="234"/>
      <c r="J72" s="234"/>
      <c r="K72" s="234"/>
      <c r="L72" s="234"/>
      <c r="M72" s="234"/>
      <c r="N72" s="234"/>
      <c r="O72" s="234"/>
      <c r="P72" s="234"/>
      <c r="Q72" s="234"/>
      <c r="R72" s="234"/>
    </row>
    <row r="73" spans="1:18">
      <c r="A73" s="234"/>
      <c r="B73" s="234"/>
      <c r="C73" s="234"/>
      <c r="D73" s="234"/>
      <c r="E73" s="234"/>
      <c r="F73" s="234"/>
      <c r="G73" s="234"/>
      <c r="H73" s="234"/>
      <c r="I73" s="234"/>
      <c r="J73" s="234"/>
      <c r="K73" s="234"/>
      <c r="L73" s="234"/>
      <c r="M73" s="234"/>
      <c r="N73" s="234"/>
      <c r="O73" s="234"/>
      <c r="P73" s="234"/>
      <c r="Q73" s="234"/>
      <c r="R73" s="234"/>
    </row>
    <row r="74" spans="1:18">
      <c r="A74" s="234"/>
      <c r="B74" s="234"/>
      <c r="C74" s="234"/>
      <c r="D74" s="234"/>
      <c r="E74" s="234"/>
      <c r="F74" s="234"/>
      <c r="G74" s="234"/>
      <c r="H74" s="234"/>
      <c r="I74" s="234"/>
      <c r="J74" s="234"/>
      <c r="K74" s="234"/>
      <c r="L74" s="234"/>
      <c r="M74" s="234"/>
      <c r="N74" s="234"/>
      <c r="O74" s="234"/>
      <c r="P74" s="234"/>
      <c r="Q74" s="234"/>
      <c r="R74" s="234"/>
    </row>
    <row r="75" spans="1:18">
      <c r="A75" s="234"/>
      <c r="B75" s="915"/>
      <c r="C75" s="915"/>
      <c r="D75" s="915"/>
      <c r="E75" s="915"/>
      <c r="F75" s="234"/>
      <c r="G75" s="234"/>
      <c r="H75" s="234"/>
      <c r="I75" s="234"/>
      <c r="J75" s="234"/>
      <c r="K75" s="234"/>
      <c r="L75" s="234"/>
      <c r="M75" s="234"/>
      <c r="N75" s="234"/>
      <c r="O75" s="234"/>
      <c r="P75" s="234"/>
      <c r="Q75" s="234"/>
      <c r="R75" s="234"/>
    </row>
    <row r="76" spans="1:18">
      <c r="A76" s="234"/>
      <c r="B76" s="915"/>
      <c r="C76" s="915"/>
      <c r="D76" s="915"/>
      <c r="E76" s="915"/>
      <c r="F76" s="234"/>
      <c r="G76" s="234"/>
      <c r="H76" s="234"/>
      <c r="I76" s="234"/>
      <c r="J76" s="234"/>
      <c r="K76" s="234"/>
      <c r="L76" s="234"/>
      <c r="M76" s="234"/>
      <c r="N76" s="234"/>
      <c r="O76" s="234"/>
      <c r="P76" s="234"/>
      <c r="Q76" s="234"/>
      <c r="R76" s="234"/>
    </row>
    <row r="77" spans="1:18">
      <c r="A77" s="234"/>
      <c r="B77" s="915"/>
      <c r="C77" s="915"/>
      <c r="D77" s="915"/>
      <c r="E77" s="915"/>
      <c r="F77" s="234"/>
      <c r="G77" s="234"/>
      <c r="H77" s="234"/>
      <c r="I77" s="234"/>
      <c r="J77" s="234"/>
      <c r="K77" s="234"/>
      <c r="L77" s="234"/>
      <c r="M77" s="234"/>
      <c r="N77" s="234"/>
      <c r="O77" s="234"/>
      <c r="P77" s="234"/>
      <c r="Q77" s="234"/>
      <c r="R77" s="234"/>
    </row>
    <row r="78" spans="1:18">
      <c r="A78" s="234"/>
      <c r="B78" s="915"/>
      <c r="C78" s="915"/>
      <c r="D78" s="915"/>
      <c r="E78" s="915"/>
      <c r="F78" s="234"/>
      <c r="G78" s="234"/>
      <c r="H78" s="234"/>
      <c r="I78" s="234"/>
      <c r="J78" s="234"/>
      <c r="K78" s="234"/>
      <c r="L78" s="234"/>
      <c r="M78" s="234"/>
      <c r="N78" s="234"/>
      <c r="O78" s="234"/>
      <c r="P78" s="234"/>
      <c r="Q78" s="234"/>
      <c r="R78" s="234"/>
    </row>
    <row r="79" spans="1:18">
      <c r="A79" s="234"/>
      <c r="B79" s="915"/>
      <c r="C79" s="915"/>
      <c r="D79" s="915"/>
      <c r="E79" s="915"/>
      <c r="F79" s="234"/>
      <c r="G79" s="234"/>
      <c r="H79" s="234"/>
      <c r="I79" s="234"/>
      <c r="J79" s="234"/>
      <c r="K79" s="234"/>
      <c r="L79" s="234"/>
      <c r="M79" s="234"/>
      <c r="N79" s="234"/>
      <c r="O79" s="234"/>
      <c r="P79" s="234"/>
      <c r="Q79" s="234"/>
      <c r="R79" s="234"/>
    </row>
    <row r="80" spans="1:18">
      <c r="A80" s="234"/>
      <c r="B80" s="915"/>
      <c r="C80" s="915"/>
      <c r="D80" s="915"/>
      <c r="E80" s="915"/>
      <c r="F80" s="234"/>
      <c r="G80" s="234"/>
      <c r="H80" s="234"/>
      <c r="I80" s="234"/>
      <c r="J80" s="234"/>
      <c r="K80" s="234"/>
      <c r="L80" s="234"/>
      <c r="M80" s="234"/>
      <c r="N80" s="234"/>
      <c r="O80" s="234"/>
      <c r="P80" s="234"/>
      <c r="Q80" s="234"/>
      <c r="R80" s="234"/>
    </row>
    <row r="81" spans="1:18">
      <c r="A81" s="234"/>
      <c r="B81" s="915"/>
      <c r="C81" s="915"/>
      <c r="D81" s="915"/>
      <c r="E81" s="915"/>
      <c r="F81" s="234"/>
      <c r="G81" s="234"/>
      <c r="H81" s="234"/>
      <c r="I81" s="234"/>
      <c r="J81" s="234"/>
      <c r="K81" s="234"/>
      <c r="L81" s="234"/>
      <c r="M81" s="234"/>
      <c r="N81" s="234"/>
      <c r="O81" s="234"/>
      <c r="P81" s="234"/>
      <c r="Q81" s="234"/>
      <c r="R81" s="234"/>
    </row>
    <row r="82" spans="1:18">
      <c r="A82" s="234"/>
      <c r="B82" s="915"/>
      <c r="C82" s="915"/>
      <c r="D82" s="915"/>
      <c r="E82" s="915"/>
      <c r="F82" s="234"/>
      <c r="G82" s="234"/>
      <c r="H82" s="234"/>
      <c r="I82" s="234"/>
      <c r="J82" s="234"/>
      <c r="K82" s="234"/>
      <c r="L82" s="234"/>
      <c r="M82" s="234"/>
      <c r="N82" s="234"/>
      <c r="O82" s="234"/>
      <c r="P82" s="234"/>
      <c r="Q82" s="234"/>
      <c r="R82" s="234"/>
    </row>
    <row r="83" spans="1:18">
      <c r="A83" s="234"/>
      <c r="B83" s="915"/>
      <c r="C83" s="915"/>
      <c r="D83" s="915"/>
      <c r="E83" s="915"/>
      <c r="F83" s="234"/>
      <c r="G83" s="234"/>
      <c r="H83" s="234"/>
      <c r="I83" s="234"/>
      <c r="J83" s="234"/>
      <c r="K83" s="234"/>
      <c r="L83" s="234"/>
      <c r="M83" s="234"/>
      <c r="N83" s="234"/>
      <c r="O83" s="234"/>
      <c r="P83" s="234"/>
      <c r="Q83" s="234"/>
      <c r="R83" s="234"/>
    </row>
    <row r="84" spans="1:18">
      <c r="A84" s="234"/>
      <c r="B84" s="915"/>
      <c r="C84" s="915"/>
      <c r="D84" s="915"/>
      <c r="E84" s="915"/>
      <c r="F84" s="234"/>
      <c r="G84" s="234"/>
      <c r="H84" s="234"/>
      <c r="I84" s="234"/>
      <c r="J84" s="234"/>
      <c r="K84" s="234"/>
      <c r="L84" s="234"/>
      <c r="M84" s="234"/>
      <c r="N84" s="234"/>
      <c r="O84" s="234"/>
      <c r="P84" s="234"/>
      <c r="Q84" s="234"/>
      <c r="R84" s="234"/>
    </row>
    <row r="85" spans="1:18">
      <c r="A85" s="915"/>
      <c r="B85" s="915"/>
      <c r="C85" s="915"/>
      <c r="D85" s="915"/>
      <c r="E85" s="915"/>
      <c r="F85" s="915"/>
      <c r="G85" s="915"/>
      <c r="H85" s="915"/>
      <c r="I85" s="915"/>
      <c r="J85" s="915"/>
      <c r="K85" s="915"/>
      <c r="L85" s="915"/>
      <c r="M85" s="915"/>
      <c r="N85" s="915"/>
      <c r="O85" s="915"/>
      <c r="P85" s="915"/>
      <c r="Q85" s="915"/>
      <c r="R85" s="915"/>
    </row>
    <row r="86" spans="1:18">
      <c r="A86" s="915"/>
      <c r="B86" s="915"/>
      <c r="C86" s="915"/>
      <c r="D86" s="915"/>
      <c r="E86" s="915"/>
      <c r="F86" s="915"/>
      <c r="G86" s="915"/>
      <c r="H86" s="915"/>
      <c r="I86" s="915"/>
      <c r="J86" s="915"/>
      <c r="K86" s="915"/>
      <c r="L86" s="915"/>
      <c r="M86" s="915"/>
      <c r="N86" s="915"/>
      <c r="O86" s="915"/>
      <c r="P86" s="915"/>
      <c r="Q86" s="915"/>
      <c r="R86" s="915"/>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7"/>
  <sheetViews>
    <sheetView zoomScale="150" zoomScaleNormal="150" workbookViewId="0">
      <selection activeCell="F9" sqref="F9"/>
    </sheetView>
  </sheetViews>
  <sheetFormatPr defaultColWidth="8.85546875" defaultRowHeight="12.75"/>
  <cols>
    <col min="3" max="3" width="20.5703125" customWidth="1"/>
    <col min="4" max="4" width="37.140625" customWidth="1"/>
    <col min="5" max="5" width="20.5703125" customWidth="1"/>
    <col min="6" max="6" width="23.85546875" customWidth="1"/>
    <col min="8" max="8" width="9.85546875" customWidth="1"/>
  </cols>
  <sheetData>
    <row r="1" spans="1:21" ht="18.75" thickBot="1">
      <c r="A1" s="126" t="s">
        <v>275</v>
      </c>
      <c r="B1" s="127"/>
      <c r="C1" s="127"/>
      <c r="D1" s="127"/>
      <c r="E1" s="690" t="str">
        <f>'Title Page'!F3</f>
        <v>OreSat - CS0</v>
      </c>
      <c r="F1" s="127"/>
      <c r="G1" s="687" t="str">
        <f>'Title Page'!F23</f>
        <v>2018 October 19</v>
      </c>
      <c r="H1" s="127"/>
      <c r="I1" s="127"/>
      <c r="J1" s="127"/>
      <c r="K1" s="127"/>
      <c r="L1" s="127"/>
      <c r="M1" s="127"/>
      <c r="N1" s="127"/>
      <c r="O1" s="127"/>
      <c r="P1" s="127"/>
      <c r="Q1" s="127"/>
      <c r="R1" s="127"/>
      <c r="S1" s="127"/>
      <c r="T1" s="127"/>
      <c r="U1" s="127"/>
    </row>
    <row r="2" spans="1:21" ht="13.5" thickBot="1">
      <c r="A2" s="691" t="s">
        <v>698</v>
      </c>
      <c r="B2" s="692"/>
      <c r="C2" s="693" t="s">
        <v>818</v>
      </c>
      <c r="D2" s="3"/>
      <c r="E2" s="233" t="s">
        <v>963</v>
      </c>
      <c r="F2" s="3" t="s">
        <v>964</v>
      </c>
      <c r="G2" s="234" t="s">
        <v>126</v>
      </c>
      <c r="H2" s="234"/>
      <c r="I2" s="234"/>
      <c r="J2" s="234"/>
      <c r="K2" s="234"/>
      <c r="L2" s="234"/>
      <c r="M2" s="234"/>
      <c r="N2" s="234"/>
      <c r="O2" s="234"/>
      <c r="P2" s="234"/>
      <c r="Q2" s="234"/>
      <c r="R2" s="234"/>
      <c r="S2" s="234"/>
      <c r="T2" s="234"/>
      <c r="U2" s="234"/>
    </row>
    <row r="3" spans="1:21" ht="16.5" thickBot="1">
      <c r="A3" s="645" t="s">
        <v>127</v>
      </c>
      <c r="B3" s="646"/>
      <c r="C3" s="667" t="s">
        <v>961</v>
      </c>
      <c r="D3" s="668"/>
      <c r="E3" s="666">
        <v>15</v>
      </c>
      <c r="F3" s="732" t="str">
        <f>INDEX(C6:C23,E3,1)</f>
        <v>BPSK</v>
      </c>
      <c r="G3" s="234"/>
      <c r="H3" s="72" t="s">
        <v>359</v>
      </c>
      <c r="I3" s="234"/>
      <c r="J3" s="234"/>
      <c r="K3" s="234"/>
      <c r="L3" s="234"/>
      <c r="M3" s="234"/>
      <c r="N3" s="234"/>
      <c r="O3" s="234"/>
      <c r="P3" s="234"/>
      <c r="Q3" s="234"/>
      <c r="R3" s="234"/>
      <c r="S3" s="234"/>
      <c r="T3" s="234"/>
      <c r="U3" s="234"/>
    </row>
    <row r="4" spans="1:21" ht="13.5" thickBot="1">
      <c r="A4" s="715" t="s">
        <v>694</v>
      </c>
      <c r="B4" s="3"/>
      <c r="C4" s="3"/>
      <c r="D4" s="3"/>
      <c r="E4" s="3"/>
      <c r="F4" s="3"/>
      <c r="G4" s="234"/>
      <c r="H4" s="73" t="s">
        <v>360</v>
      </c>
      <c r="I4" s="234"/>
      <c r="J4" s="234"/>
      <c r="K4" s="234"/>
      <c r="L4" s="234"/>
      <c r="M4" s="234"/>
      <c r="N4" s="234"/>
      <c r="O4" s="234"/>
      <c r="P4" s="234"/>
      <c r="Q4" s="234"/>
      <c r="R4" s="234"/>
      <c r="S4" s="234"/>
      <c r="T4" s="234"/>
      <c r="U4" s="234"/>
    </row>
    <row r="5" spans="1:21" ht="15">
      <c r="A5" s="234"/>
      <c r="B5" s="66" t="s">
        <v>945</v>
      </c>
      <c r="C5" s="66" t="s">
        <v>944</v>
      </c>
      <c r="D5" s="66" t="s">
        <v>946</v>
      </c>
      <c r="E5" s="66" t="s">
        <v>947</v>
      </c>
      <c r="F5" s="66" t="s">
        <v>948</v>
      </c>
      <c r="G5" s="234"/>
      <c r="H5" s="75">
        <f>INDEX(F6:F23,E3,1)+E25</f>
        <v>5.3</v>
      </c>
      <c r="I5" s="234"/>
      <c r="J5" s="234"/>
      <c r="K5" s="234"/>
      <c r="L5" s="234"/>
      <c r="M5" s="234"/>
      <c r="N5" s="234"/>
      <c r="O5" s="234"/>
      <c r="P5" s="234"/>
      <c r="Q5" s="234"/>
      <c r="R5" s="234"/>
      <c r="S5" s="234"/>
      <c r="T5" s="234"/>
      <c r="U5" s="234"/>
    </row>
    <row r="6" spans="1:21" ht="15.75" thickBot="1">
      <c r="A6" s="234"/>
      <c r="B6" s="70">
        <v>1</v>
      </c>
      <c r="C6" s="67" t="s">
        <v>949</v>
      </c>
      <c r="D6" s="67" t="s">
        <v>950</v>
      </c>
      <c r="E6" s="68">
        <v>1E-4</v>
      </c>
      <c r="F6" s="76">
        <v>21</v>
      </c>
      <c r="G6" s="234"/>
      <c r="H6" s="74" t="s">
        <v>860</v>
      </c>
      <c r="I6" s="234"/>
      <c r="J6" s="234"/>
      <c r="K6" s="234"/>
      <c r="L6" s="234"/>
      <c r="M6" s="234"/>
      <c r="N6" s="234"/>
      <c r="O6" s="234"/>
      <c r="P6" s="234"/>
      <c r="Q6" s="234"/>
      <c r="R6" s="234"/>
      <c r="S6" s="234"/>
      <c r="T6" s="234"/>
      <c r="U6" s="234"/>
    </row>
    <row r="7" spans="1:21" ht="15">
      <c r="A7" s="234"/>
      <c r="B7" s="70">
        <v>2</v>
      </c>
      <c r="C7" s="67" t="s">
        <v>949</v>
      </c>
      <c r="D7" s="67" t="s">
        <v>950</v>
      </c>
      <c r="E7" s="68">
        <v>1.0000000000000001E-5</v>
      </c>
      <c r="F7" s="76">
        <v>23.2</v>
      </c>
      <c r="G7" s="234"/>
      <c r="H7" s="234"/>
      <c r="I7" s="234"/>
      <c r="J7" s="234"/>
      <c r="K7" s="234"/>
      <c r="L7" s="234"/>
      <c r="M7" s="234"/>
      <c r="N7" s="234"/>
      <c r="O7" s="234"/>
      <c r="P7" s="234"/>
      <c r="Q7" s="234"/>
      <c r="R7" s="234"/>
      <c r="S7" s="234"/>
      <c r="T7" s="234"/>
      <c r="U7" s="234"/>
    </row>
    <row r="8" spans="1:21" ht="15">
      <c r="A8" s="234"/>
      <c r="B8" s="70">
        <v>3</v>
      </c>
      <c r="C8" s="67" t="s">
        <v>951</v>
      </c>
      <c r="D8" s="67" t="s">
        <v>950</v>
      </c>
      <c r="E8" s="68">
        <v>1E-4</v>
      </c>
      <c r="F8" s="76">
        <v>16.7</v>
      </c>
      <c r="G8" s="234"/>
      <c r="H8" s="234"/>
      <c r="I8" s="234"/>
      <c r="J8" s="234"/>
      <c r="K8" s="234"/>
      <c r="L8" s="234"/>
      <c r="M8" s="234"/>
      <c r="N8" s="234"/>
      <c r="O8" s="234"/>
      <c r="P8" s="234"/>
      <c r="Q8" s="234"/>
      <c r="R8" s="234"/>
      <c r="S8" s="234"/>
      <c r="T8" s="234"/>
      <c r="U8" s="234"/>
    </row>
    <row r="9" spans="1:21" ht="15">
      <c r="A9" s="234"/>
      <c r="B9" s="70">
        <v>4</v>
      </c>
      <c r="C9" s="67" t="s">
        <v>951</v>
      </c>
      <c r="D9" s="67" t="s">
        <v>950</v>
      </c>
      <c r="E9" s="68">
        <v>1.0000000000000001E-5</v>
      </c>
      <c r="F9" s="76">
        <v>18</v>
      </c>
      <c r="G9" s="234"/>
      <c r="H9" s="234"/>
      <c r="I9" s="234"/>
      <c r="J9" s="234"/>
      <c r="K9" s="234"/>
      <c r="L9" s="234"/>
      <c r="M9" s="234"/>
      <c r="N9" s="234"/>
      <c r="O9" s="234"/>
      <c r="P9" s="234"/>
      <c r="Q9" s="234"/>
      <c r="R9" s="234"/>
      <c r="S9" s="234"/>
      <c r="T9" s="234"/>
      <c r="U9" s="234"/>
    </row>
    <row r="10" spans="1:21" ht="15">
      <c r="A10" s="234"/>
      <c r="B10" s="70">
        <v>5</v>
      </c>
      <c r="C10" s="67" t="s">
        <v>952</v>
      </c>
      <c r="D10" s="67" t="s">
        <v>950</v>
      </c>
      <c r="E10" s="68">
        <v>1E-4</v>
      </c>
      <c r="F10" s="76">
        <v>13.4</v>
      </c>
      <c r="G10" s="234"/>
      <c r="H10" s="234"/>
      <c r="I10" s="234"/>
      <c r="J10" s="234"/>
      <c r="K10" s="234"/>
      <c r="L10" s="234"/>
      <c r="M10" s="234"/>
      <c r="N10" s="234"/>
      <c r="O10" s="234"/>
      <c r="P10" s="234"/>
      <c r="Q10" s="234"/>
      <c r="R10" s="234"/>
      <c r="S10" s="234"/>
      <c r="T10" s="234"/>
      <c r="U10" s="234"/>
    </row>
    <row r="11" spans="1:21" ht="15">
      <c r="A11" s="234"/>
      <c r="B11" s="70">
        <v>6</v>
      </c>
      <c r="C11" s="67" t="s">
        <v>952</v>
      </c>
      <c r="D11" s="67" t="s">
        <v>950</v>
      </c>
      <c r="E11" s="68">
        <v>1.0000000000000001E-5</v>
      </c>
      <c r="F11" s="76">
        <v>13.8</v>
      </c>
      <c r="G11" s="234"/>
      <c r="H11" s="234"/>
      <c r="I11" s="234"/>
      <c r="J11" s="234"/>
      <c r="K11" s="234"/>
      <c r="L11" s="234"/>
      <c r="M11" s="234"/>
      <c r="N11" s="234"/>
      <c r="O11" s="234"/>
      <c r="P11" s="234"/>
      <c r="Q11" s="234"/>
      <c r="R11" s="234"/>
      <c r="S11" s="234"/>
      <c r="T11" s="234"/>
      <c r="U11" s="234"/>
    </row>
    <row r="12" spans="1:21" ht="15">
      <c r="A12" s="234"/>
      <c r="B12" s="70">
        <v>7</v>
      </c>
      <c r="C12" s="67" t="s">
        <v>953</v>
      </c>
      <c r="D12" s="67" t="s">
        <v>950</v>
      </c>
      <c r="E12" s="68">
        <v>1E-4</v>
      </c>
      <c r="F12" s="76">
        <v>10.5</v>
      </c>
      <c r="G12" s="234"/>
      <c r="H12" s="234"/>
      <c r="I12" s="234"/>
      <c r="J12" s="234"/>
      <c r="K12" s="234"/>
      <c r="L12" s="234"/>
      <c r="M12" s="234"/>
      <c r="N12" s="234"/>
      <c r="O12" s="234"/>
      <c r="P12" s="234"/>
      <c r="Q12" s="234"/>
      <c r="R12" s="234"/>
      <c r="S12" s="234"/>
      <c r="T12" s="234"/>
      <c r="U12" s="234"/>
    </row>
    <row r="13" spans="1:21" ht="15">
      <c r="A13" s="234"/>
      <c r="B13" s="70">
        <v>8</v>
      </c>
      <c r="C13" s="67" t="s">
        <v>953</v>
      </c>
      <c r="D13" s="67" t="s">
        <v>950</v>
      </c>
      <c r="E13" s="68">
        <v>1.0000000000000001E-5</v>
      </c>
      <c r="F13" s="76">
        <v>11.9</v>
      </c>
      <c r="G13" s="234"/>
      <c r="H13" s="234"/>
      <c r="I13" s="234"/>
      <c r="J13" s="234"/>
      <c r="K13" s="234"/>
      <c r="L13" s="234"/>
      <c r="M13" s="234"/>
      <c r="N13" s="234"/>
      <c r="O13" s="234"/>
      <c r="P13" s="234"/>
      <c r="Q13" s="234"/>
      <c r="R13" s="234"/>
      <c r="S13" s="234"/>
      <c r="T13" s="234"/>
      <c r="U13" s="234"/>
    </row>
    <row r="14" spans="1:21" ht="15">
      <c r="A14" s="234"/>
      <c r="B14" s="70">
        <v>9</v>
      </c>
      <c r="C14" s="67" t="s">
        <v>956</v>
      </c>
      <c r="D14" s="67" t="s">
        <v>950</v>
      </c>
      <c r="E14" s="68">
        <v>1E-4</v>
      </c>
      <c r="F14" s="76">
        <v>8.4</v>
      </c>
      <c r="G14" s="234"/>
      <c r="H14" s="234"/>
      <c r="I14" s="234"/>
      <c r="J14" s="234"/>
      <c r="K14" s="234"/>
      <c r="L14" s="234"/>
      <c r="M14" s="234"/>
      <c r="N14" s="234"/>
      <c r="O14" s="234"/>
      <c r="P14" s="234"/>
      <c r="Q14" s="234"/>
      <c r="R14" s="234"/>
      <c r="S14" s="234"/>
      <c r="T14" s="234"/>
      <c r="U14" s="234"/>
    </row>
    <row r="15" spans="1:21" ht="15">
      <c r="A15" s="234"/>
      <c r="B15" s="70">
        <v>10</v>
      </c>
      <c r="C15" s="67" t="s">
        <v>956</v>
      </c>
      <c r="D15" s="67" t="s">
        <v>950</v>
      </c>
      <c r="E15" s="68">
        <v>1.0000000000000001E-5</v>
      </c>
      <c r="F15" s="76">
        <v>9.6</v>
      </c>
      <c r="G15" s="234"/>
      <c r="H15" s="234"/>
      <c r="I15" s="234"/>
      <c r="J15" s="234"/>
      <c r="K15" s="234"/>
      <c r="L15" s="234"/>
      <c r="M15" s="234"/>
      <c r="N15" s="234"/>
      <c r="O15" s="234"/>
      <c r="P15" s="234"/>
      <c r="Q15" s="234"/>
      <c r="R15" s="234"/>
      <c r="S15" s="234"/>
      <c r="T15" s="234"/>
      <c r="U15" s="234"/>
    </row>
    <row r="16" spans="1:21" ht="15">
      <c r="A16" s="234"/>
      <c r="B16" s="70">
        <v>11</v>
      </c>
      <c r="C16" s="67" t="s">
        <v>954</v>
      </c>
      <c r="D16" s="67" t="s">
        <v>950</v>
      </c>
      <c r="E16" s="68">
        <v>1.0000000000000001E-5</v>
      </c>
      <c r="F16" s="76">
        <v>9.6</v>
      </c>
      <c r="G16" s="234"/>
      <c r="H16" s="234"/>
      <c r="I16" s="234"/>
      <c r="J16" s="234"/>
      <c r="K16" s="234"/>
      <c r="L16" s="234"/>
      <c r="M16" s="234"/>
      <c r="N16" s="234"/>
      <c r="O16" s="234"/>
      <c r="P16" s="234"/>
      <c r="Q16" s="234"/>
      <c r="R16" s="234"/>
      <c r="S16" s="234"/>
      <c r="T16" s="234"/>
      <c r="U16" s="234"/>
    </row>
    <row r="17" spans="1:21" ht="15">
      <c r="A17" s="234"/>
      <c r="B17" s="70">
        <v>12</v>
      </c>
      <c r="C17" s="67" t="s">
        <v>954</v>
      </c>
      <c r="D17" s="67" t="s">
        <v>950</v>
      </c>
      <c r="E17" s="68">
        <v>9.9999999999999995E-7</v>
      </c>
      <c r="F17" s="76">
        <v>10.5</v>
      </c>
      <c r="G17" s="234"/>
      <c r="H17" s="234"/>
      <c r="I17" s="234"/>
      <c r="J17" s="234"/>
      <c r="K17" s="234"/>
      <c r="L17" s="234"/>
      <c r="M17" s="234"/>
      <c r="N17" s="234"/>
      <c r="O17" s="234"/>
      <c r="P17" s="234"/>
      <c r="Q17" s="234"/>
      <c r="R17" s="234"/>
      <c r="S17" s="234"/>
      <c r="T17" s="234"/>
      <c r="U17" s="234"/>
    </row>
    <row r="18" spans="1:21" ht="15">
      <c r="A18" s="234"/>
      <c r="B18" s="70">
        <v>13</v>
      </c>
      <c r="C18" s="67" t="s">
        <v>955</v>
      </c>
      <c r="D18" s="67" t="s">
        <v>950</v>
      </c>
      <c r="E18" s="68">
        <v>1.0000000000000001E-5</v>
      </c>
      <c r="F18" s="76">
        <v>9.6</v>
      </c>
      <c r="G18" s="234"/>
      <c r="H18" s="234"/>
      <c r="I18" s="234"/>
      <c r="J18" s="234"/>
      <c r="K18" s="234"/>
      <c r="L18" s="234"/>
      <c r="M18" s="234"/>
      <c r="N18" s="234"/>
      <c r="O18" s="234"/>
      <c r="P18" s="234"/>
      <c r="Q18" s="234"/>
      <c r="R18" s="234"/>
      <c r="S18" s="234"/>
      <c r="T18" s="234"/>
      <c r="U18" s="234"/>
    </row>
    <row r="19" spans="1:21" ht="15">
      <c r="A19" s="234"/>
      <c r="B19" s="70">
        <v>14</v>
      </c>
      <c r="C19" s="67" t="s">
        <v>955</v>
      </c>
      <c r="D19" s="67" t="s">
        <v>950</v>
      </c>
      <c r="E19" s="68">
        <v>9.9999999999999995E-7</v>
      </c>
      <c r="F19" s="76">
        <v>10.5</v>
      </c>
      <c r="G19" s="234"/>
      <c r="H19" s="234"/>
      <c r="I19" s="234"/>
      <c r="J19" s="234"/>
      <c r="K19" s="234"/>
      <c r="L19" s="234"/>
      <c r="M19" s="234"/>
      <c r="N19" s="234"/>
      <c r="O19" s="234"/>
      <c r="P19" s="234"/>
      <c r="Q19" s="234"/>
      <c r="R19" s="234"/>
      <c r="S19" s="234"/>
      <c r="T19" s="234"/>
      <c r="U19" s="234"/>
    </row>
    <row r="20" spans="1:21" ht="15">
      <c r="A20" s="234"/>
      <c r="B20" s="70">
        <v>15</v>
      </c>
      <c r="C20" s="67" t="s">
        <v>954</v>
      </c>
      <c r="D20" s="67" t="s">
        <v>957</v>
      </c>
      <c r="E20" s="68">
        <v>9.9999999999999995E-7</v>
      </c>
      <c r="F20" s="76">
        <v>4.8</v>
      </c>
      <c r="G20" s="234"/>
      <c r="H20" s="234"/>
      <c r="I20" s="234"/>
      <c r="J20" s="234"/>
      <c r="K20" s="234"/>
      <c r="L20" s="234"/>
      <c r="M20" s="234"/>
      <c r="N20" s="234"/>
      <c r="O20" s="234"/>
      <c r="P20" s="234"/>
      <c r="Q20" s="234"/>
      <c r="R20" s="234"/>
      <c r="S20" s="234"/>
      <c r="T20" s="234"/>
      <c r="U20" s="234"/>
    </row>
    <row r="21" spans="1:21" ht="15">
      <c r="A21" s="234"/>
      <c r="B21" s="70">
        <v>16</v>
      </c>
      <c r="C21" s="67" t="s">
        <v>954</v>
      </c>
      <c r="D21" s="67" t="s">
        <v>958</v>
      </c>
      <c r="E21" s="68">
        <v>9.9999999999999995E-7</v>
      </c>
      <c r="F21" s="76">
        <v>2.5</v>
      </c>
      <c r="G21" s="234"/>
      <c r="H21" s="234"/>
      <c r="I21" s="234"/>
      <c r="J21" s="234"/>
      <c r="K21" s="234"/>
      <c r="L21" s="234"/>
      <c r="M21" s="234"/>
      <c r="N21" s="234"/>
      <c r="O21" s="234"/>
      <c r="P21" s="234"/>
      <c r="Q21" s="234"/>
      <c r="R21" s="234"/>
      <c r="S21" s="234"/>
      <c r="T21" s="234"/>
      <c r="U21" s="234"/>
    </row>
    <row r="22" spans="1:21" ht="15">
      <c r="A22" s="234"/>
      <c r="B22" s="70">
        <v>17</v>
      </c>
      <c r="C22" s="67" t="s">
        <v>954</v>
      </c>
      <c r="D22" s="67" t="s">
        <v>959</v>
      </c>
      <c r="E22" s="68">
        <v>9.9999999999999995E-8</v>
      </c>
      <c r="F22" s="76">
        <v>0.8</v>
      </c>
      <c r="G22" s="234"/>
      <c r="H22" s="234"/>
      <c r="I22" s="234"/>
      <c r="J22" s="234"/>
      <c r="K22" s="234"/>
      <c r="L22" s="234"/>
      <c r="M22" s="234"/>
      <c r="N22" s="234"/>
      <c r="O22" s="234"/>
      <c r="P22" s="234"/>
      <c r="Q22" s="234"/>
      <c r="R22" s="234"/>
      <c r="S22" s="234"/>
      <c r="T22" s="234"/>
      <c r="U22" s="234"/>
    </row>
    <row r="23" spans="1:21" ht="15">
      <c r="A23" s="234"/>
      <c r="B23" s="70">
        <v>18</v>
      </c>
      <c r="C23" s="69" t="s">
        <v>955</v>
      </c>
      <c r="D23" s="69" t="s">
        <v>1064</v>
      </c>
      <c r="E23" s="78">
        <v>1E-4</v>
      </c>
      <c r="F23" s="77" t="s">
        <v>1055</v>
      </c>
      <c r="G23" s="234"/>
      <c r="H23" s="234"/>
      <c r="I23" s="234"/>
      <c r="J23" s="234"/>
      <c r="K23" s="234"/>
      <c r="L23" s="234"/>
      <c r="M23" s="234"/>
      <c r="N23" s="234"/>
      <c r="O23" s="234"/>
      <c r="P23" s="234"/>
      <c r="Q23" s="234"/>
      <c r="R23" s="234"/>
      <c r="S23" s="234"/>
      <c r="T23" s="234"/>
      <c r="U23" s="234"/>
    </row>
    <row r="24" spans="1:21" ht="13.5" thickBot="1">
      <c r="A24" s="234"/>
      <c r="B24" s="234"/>
      <c r="C24" s="234"/>
      <c r="D24" s="247" t="s">
        <v>358</v>
      </c>
      <c r="E24" s="234"/>
      <c r="F24" s="246"/>
      <c r="G24" s="234"/>
      <c r="H24" s="234"/>
      <c r="I24" s="234"/>
      <c r="J24" s="234"/>
      <c r="K24" s="234"/>
      <c r="L24" s="234"/>
      <c r="M24" s="234"/>
      <c r="N24" s="234"/>
      <c r="O24" s="234"/>
      <c r="P24" s="234"/>
      <c r="Q24" s="234"/>
      <c r="R24" s="234"/>
      <c r="S24" s="234"/>
      <c r="T24" s="234"/>
      <c r="U24" s="234"/>
    </row>
    <row r="25" spans="1:21" ht="16.5" thickBot="1">
      <c r="A25" s="234"/>
      <c r="B25" s="351" t="s">
        <v>140</v>
      </c>
      <c r="C25" s="234"/>
      <c r="D25" s="716" t="s">
        <v>962</v>
      </c>
      <c r="E25" s="717">
        <v>0.5</v>
      </c>
      <c r="F25" s="71" t="s">
        <v>860</v>
      </c>
      <c r="G25" s="234"/>
      <c r="H25" s="234"/>
      <c r="I25" s="234"/>
      <c r="J25" s="234"/>
      <c r="K25" s="234"/>
      <c r="L25" s="234"/>
      <c r="M25" s="234"/>
      <c r="N25" s="234"/>
      <c r="O25" s="234"/>
      <c r="P25" s="234"/>
      <c r="Q25" s="234"/>
      <c r="R25" s="234"/>
      <c r="S25" s="234"/>
      <c r="T25" s="234"/>
      <c r="U25" s="234"/>
    </row>
    <row r="26" spans="1:21" ht="13.5" thickBot="1">
      <c r="A26" s="234"/>
      <c r="B26" s="234"/>
      <c r="C26" s="234"/>
      <c r="D26" s="234"/>
      <c r="E26" s="234"/>
      <c r="F26" s="234"/>
      <c r="G26" s="234"/>
      <c r="H26" s="234"/>
      <c r="I26" s="234"/>
      <c r="J26" s="234"/>
      <c r="K26" s="234"/>
      <c r="L26" s="234"/>
      <c r="M26" s="234"/>
      <c r="N26" s="234"/>
      <c r="O26" s="234"/>
      <c r="P26" s="234"/>
      <c r="Q26" s="234"/>
      <c r="R26" s="234"/>
      <c r="S26" s="234"/>
      <c r="T26" s="234"/>
      <c r="U26" s="234"/>
    </row>
    <row r="27" spans="1:21" ht="13.5" thickBot="1">
      <c r="A27" s="250"/>
      <c r="B27" s="24"/>
      <c r="C27" s="251" t="s">
        <v>119</v>
      </c>
      <c r="D27" s="24" t="s">
        <v>818</v>
      </c>
      <c r="E27" s="251" t="s">
        <v>122</v>
      </c>
      <c r="F27" s="24"/>
      <c r="G27" s="24"/>
      <c r="H27" s="24"/>
      <c r="I27" s="24"/>
      <c r="J27" s="24"/>
      <c r="K27" s="24"/>
      <c r="L27" s="24"/>
      <c r="M27" s="24"/>
      <c r="N27" s="24"/>
      <c r="O27" s="24"/>
      <c r="P27" s="24"/>
      <c r="Q27" s="24"/>
      <c r="R27" s="24"/>
      <c r="S27" s="24"/>
      <c r="T27" s="24"/>
      <c r="U27" s="25"/>
    </row>
    <row r="28" spans="1:21">
      <c r="A28" s="3"/>
      <c r="B28" s="3"/>
      <c r="C28" s="3"/>
      <c r="D28" s="3"/>
      <c r="E28" s="3"/>
      <c r="F28" s="3"/>
      <c r="G28" s="234"/>
      <c r="H28" s="234"/>
      <c r="I28" s="234"/>
      <c r="J28" s="234"/>
      <c r="K28" s="234"/>
      <c r="L28" s="234"/>
      <c r="M28" s="234"/>
      <c r="N28" s="234"/>
      <c r="O28" s="234"/>
      <c r="P28" s="234"/>
      <c r="Q28" s="234"/>
      <c r="R28" s="234"/>
      <c r="S28" s="234"/>
      <c r="T28" s="234"/>
      <c r="U28" s="234"/>
    </row>
    <row r="29" spans="1:21" ht="13.5" thickBot="1">
      <c r="A29" s="3"/>
      <c r="B29" s="3"/>
      <c r="C29" s="3"/>
      <c r="D29" s="3"/>
      <c r="E29" s="233" t="s">
        <v>963</v>
      </c>
      <c r="F29" s="3" t="s">
        <v>964</v>
      </c>
      <c r="G29" s="234" t="s">
        <v>126</v>
      </c>
      <c r="H29" s="234"/>
      <c r="I29" s="234"/>
      <c r="J29" s="234"/>
      <c r="K29" s="234"/>
      <c r="L29" s="234"/>
      <c r="M29" s="234"/>
      <c r="N29" s="234"/>
      <c r="O29" s="234"/>
      <c r="P29" s="234"/>
      <c r="Q29" s="234"/>
      <c r="R29" s="234"/>
      <c r="S29" s="234"/>
      <c r="T29" s="234"/>
      <c r="U29" s="234"/>
    </row>
    <row r="30" spans="1:21" ht="16.5" thickBot="1">
      <c r="A30" s="248" t="s">
        <v>128</v>
      </c>
      <c r="B30" s="249"/>
      <c r="C30" s="714" t="s">
        <v>961</v>
      </c>
      <c r="D30" s="668"/>
      <c r="E30" s="666">
        <v>15</v>
      </c>
      <c r="F30" s="732" t="str">
        <f>INDEX(C33:C51,E30,1)</f>
        <v>BPSK</v>
      </c>
      <c r="G30" s="234"/>
      <c r="H30" s="72" t="s">
        <v>359</v>
      </c>
      <c r="I30" s="234"/>
      <c r="J30" s="234"/>
      <c r="K30" s="234"/>
      <c r="L30" s="234"/>
      <c r="M30" s="234"/>
      <c r="N30" s="234"/>
      <c r="O30" s="234"/>
      <c r="P30" s="234"/>
      <c r="Q30" s="234"/>
      <c r="R30" s="234"/>
      <c r="S30" s="234"/>
      <c r="T30" s="234"/>
      <c r="U30" s="234"/>
    </row>
    <row r="31" spans="1:21" ht="13.5" thickBot="1">
      <c r="A31" s="715" t="s">
        <v>695</v>
      </c>
      <c r="B31" s="3"/>
      <c r="C31" s="3"/>
      <c r="D31" s="3"/>
      <c r="E31" s="3"/>
      <c r="F31" s="3"/>
      <c r="G31" s="234"/>
      <c r="H31" s="73" t="s">
        <v>360</v>
      </c>
      <c r="I31" s="234"/>
      <c r="J31" s="234"/>
      <c r="K31" s="234"/>
      <c r="L31" s="234"/>
      <c r="M31" s="234"/>
      <c r="N31" s="234"/>
      <c r="O31" s="234"/>
      <c r="P31" s="234"/>
      <c r="Q31" s="234"/>
      <c r="R31" s="234"/>
      <c r="S31" s="234"/>
      <c r="T31" s="234"/>
      <c r="U31" s="234"/>
    </row>
    <row r="32" spans="1:21" ht="15">
      <c r="A32" s="234"/>
      <c r="B32" s="66" t="s">
        <v>945</v>
      </c>
      <c r="C32" s="66" t="s">
        <v>944</v>
      </c>
      <c r="D32" s="66" t="s">
        <v>946</v>
      </c>
      <c r="E32" s="66" t="s">
        <v>947</v>
      </c>
      <c r="F32" s="66" t="s">
        <v>948</v>
      </c>
      <c r="G32" s="234"/>
      <c r="H32" s="75">
        <f>INDEX(F33:F51,E30,1)+E53</f>
        <v>5.8</v>
      </c>
      <c r="I32" s="234"/>
      <c r="J32" s="234"/>
      <c r="K32" s="234"/>
      <c r="L32" s="234"/>
      <c r="M32" s="234"/>
      <c r="N32" s="234"/>
      <c r="O32" s="234"/>
      <c r="P32" s="234"/>
      <c r="Q32" s="234"/>
      <c r="R32" s="234"/>
      <c r="S32" s="234"/>
      <c r="T32" s="234"/>
      <c r="U32" s="234"/>
    </row>
    <row r="33" spans="1:21" ht="15.75" thickBot="1">
      <c r="A33" s="234"/>
      <c r="B33" s="70">
        <v>1</v>
      </c>
      <c r="C33" s="67" t="s">
        <v>949</v>
      </c>
      <c r="D33" s="67" t="s">
        <v>950</v>
      </c>
      <c r="E33" s="68">
        <v>1E-4</v>
      </c>
      <c r="F33" s="76">
        <v>21</v>
      </c>
      <c r="G33" s="234"/>
      <c r="H33" s="74" t="s">
        <v>860</v>
      </c>
      <c r="I33" s="234"/>
      <c r="J33" s="234"/>
      <c r="K33" s="234"/>
      <c r="L33" s="234"/>
      <c r="M33" s="234"/>
      <c r="N33" s="234"/>
      <c r="O33" s="234"/>
      <c r="P33" s="234"/>
      <c r="Q33" s="234"/>
      <c r="R33" s="234"/>
      <c r="S33" s="234"/>
      <c r="T33" s="234"/>
      <c r="U33" s="234"/>
    </row>
    <row r="34" spans="1:21" ht="15">
      <c r="A34" s="234"/>
      <c r="B34" s="70">
        <v>2</v>
      </c>
      <c r="C34" s="67" t="s">
        <v>949</v>
      </c>
      <c r="D34" s="67" t="s">
        <v>950</v>
      </c>
      <c r="E34" s="68">
        <v>1.0000000000000001E-5</v>
      </c>
      <c r="F34" s="76">
        <v>23.2</v>
      </c>
      <c r="G34" s="234"/>
      <c r="H34" s="234"/>
      <c r="I34" s="234"/>
      <c r="J34" s="234"/>
      <c r="K34" s="234"/>
      <c r="L34" s="234"/>
      <c r="M34" s="234"/>
      <c r="N34" s="234"/>
      <c r="O34" s="234"/>
      <c r="P34" s="234"/>
      <c r="Q34" s="234"/>
      <c r="R34" s="234"/>
      <c r="S34" s="234"/>
      <c r="T34" s="234"/>
      <c r="U34" s="234"/>
    </row>
    <row r="35" spans="1:21" ht="15">
      <c r="A35" s="234"/>
      <c r="B35" s="70">
        <v>3</v>
      </c>
      <c r="C35" s="67" t="s">
        <v>951</v>
      </c>
      <c r="D35" s="67" t="s">
        <v>950</v>
      </c>
      <c r="E35" s="68">
        <v>1E-4</v>
      </c>
      <c r="F35" s="76">
        <v>16.7</v>
      </c>
      <c r="G35" s="234"/>
      <c r="H35" s="234"/>
      <c r="I35" s="234"/>
      <c r="J35" s="234"/>
      <c r="K35" s="234"/>
      <c r="L35" s="234"/>
      <c r="M35" s="234"/>
      <c r="N35" s="234"/>
      <c r="O35" s="234"/>
      <c r="P35" s="234"/>
      <c r="Q35" s="234"/>
      <c r="R35" s="234"/>
      <c r="S35" s="234"/>
      <c r="T35" s="234"/>
      <c r="U35" s="234"/>
    </row>
    <row r="36" spans="1:21" ht="15">
      <c r="A36" s="234"/>
      <c r="B36" s="70">
        <v>4</v>
      </c>
      <c r="C36" s="67" t="s">
        <v>951</v>
      </c>
      <c r="D36" s="67" t="s">
        <v>950</v>
      </c>
      <c r="E36" s="68">
        <v>1.0000000000000001E-5</v>
      </c>
      <c r="F36" s="76">
        <v>18</v>
      </c>
      <c r="G36" s="234"/>
      <c r="H36" s="234"/>
      <c r="I36" s="234"/>
      <c r="J36" s="234"/>
      <c r="K36" s="234"/>
      <c r="L36" s="234"/>
      <c r="M36" s="234"/>
      <c r="N36" s="234"/>
      <c r="O36" s="234"/>
      <c r="P36" s="234"/>
      <c r="Q36" s="234"/>
      <c r="R36" s="234"/>
      <c r="S36" s="234"/>
      <c r="T36" s="234"/>
      <c r="U36" s="234"/>
    </row>
    <row r="37" spans="1:21" ht="15">
      <c r="A37" s="234"/>
      <c r="B37" s="70">
        <v>5</v>
      </c>
      <c r="C37" s="67" t="s">
        <v>952</v>
      </c>
      <c r="D37" s="67" t="s">
        <v>950</v>
      </c>
      <c r="E37" s="68">
        <v>1E-4</v>
      </c>
      <c r="F37" s="76">
        <v>13.4</v>
      </c>
      <c r="G37" s="234"/>
      <c r="H37" s="234"/>
      <c r="I37" s="234"/>
      <c r="J37" s="234"/>
      <c r="K37" s="234"/>
      <c r="L37" s="234"/>
      <c r="M37" s="234"/>
      <c r="N37" s="234"/>
      <c r="O37" s="234"/>
      <c r="P37" s="234"/>
      <c r="Q37" s="234"/>
      <c r="R37" s="234"/>
      <c r="S37" s="234"/>
      <c r="T37" s="234"/>
      <c r="U37" s="234"/>
    </row>
    <row r="38" spans="1:21" ht="15">
      <c r="A38" s="234"/>
      <c r="B38" s="70">
        <v>6</v>
      </c>
      <c r="C38" s="67" t="s">
        <v>952</v>
      </c>
      <c r="D38" s="67" t="s">
        <v>950</v>
      </c>
      <c r="E38" s="68">
        <v>1.0000000000000001E-5</v>
      </c>
      <c r="F38" s="76">
        <v>13.8</v>
      </c>
      <c r="G38" s="234"/>
      <c r="H38" s="234"/>
      <c r="I38" s="234"/>
      <c r="J38" s="234"/>
      <c r="K38" s="234"/>
      <c r="L38" s="234"/>
      <c r="M38" s="234"/>
      <c r="N38" s="234"/>
      <c r="O38" s="234"/>
      <c r="P38" s="234"/>
      <c r="Q38" s="234"/>
      <c r="R38" s="234"/>
      <c r="S38" s="234"/>
      <c r="T38" s="234"/>
      <c r="U38" s="234"/>
    </row>
    <row r="39" spans="1:21" ht="15">
      <c r="A39" s="234"/>
      <c r="B39" s="70">
        <v>7</v>
      </c>
      <c r="C39" s="67" t="s">
        <v>953</v>
      </c>
      <c r="D39" s="67" t="s">
        <v>950</v>
      </c>
      <c r="E39" s="68">
        <v>1E-4</v>
      </c>
      <c r="F39" s="76">
        <v>10.5</v>
      </c>
      <c r="G39" s="234"/>
      <c r="H39" s="234"/>
      <c r="I39" s="234"/>
      <c r="J39" s="234"/>
      <c r="K39" s="234"/>
      <c r="L39" s="234"/>
      <c r="M39" s="234"/>
      <c r="N39" s="234"/>
      <c r="O39" s="234"/>
      <c r="P39" s="234"/>
      <c r="Q39" s="234"/>
      <c r="R39" s="234"/>
      <c r="S39" s="234"/>
      <c r="T39" s="234"/>
      <c r="U39" s="234"/>
    </row>
    <row r="40" spans="1:21" ht="15">
      <c r="A40" s="234"/>
      <c r="B40" s="70">
        <v>8</v>
      </c>
      <c r="C40" s="67" t="s">
        <v>953</v>
      </c>
      <c r="D40" s="67" t="s">
        <v>950</v>
      </c>
      <c r="E40" s="68">
        <v>1.0000000000000001E-5</v>
      </c>
      <c r="F40" s="76">
        <v>11.9</v>
      </c>
      <c r="G40" s="234"/>
      <c r="H40" s="234"/>
      <c r="I40" s="234"/>
      <c r="J40" s="234"/>
      <c r="K40" s="234"/>
      <c r="L40" s="234"/>
      <c r="M40" s="234"/>
      <c r="N40" s="234"/>
      <c r="O40" s="234"/>
      <c r="P40" s="234"/>
      <c r="Q40" s="234"/>
      <c r="R40" s="234"/>
      <c r="S40" s="234"/>
      <c r="T40" s="234"/>
      <c r="U40" s="234"/>
    </row>
    <row r="41" spans="1:21" ht="15">
      <c r="A41" s="234"/>
      <c r="B41" s="70">
        <v>9</v>
      </c>
      <c r="C41" s="67" t="s">
        <v>956</v>
      </c>
      <c r="D41" s="67" t="s">
        <v>950</v>
      </c>
      <c r="E41" s="68">
        <v>1E-4</v>
      </c>
      <c r="F41" s="76">
        <v>8.4</v>
      </c>
      <c r="G41" s="234"/>
      <c r="H41" s="234"/>
      <c r="I41" s="234"/>
      <c r="J41" s="234"/>
      <c r="K41" s="234"/>
      <c r="L41" s="234"/>
      <c r="M41" s="234"/>
      <c r="N41" s="234"/>
      <c r="O41" s="234"/>
      <c r="P41" s="234"/>
      <c r="Q41" s="234"/>
      <c r="R41" s="234"/>
      <c r="S41" s="234"/>
      <c r="T41" s="234"/>
      <c r="U41" s="234"/>
    </row>
    <row r="42" spans="1:21" ht="15">
      <c r="A42" s="234"/>
      <c r="B42" s="70">
        <v>10</v>
      </c>
      <c r="C42" s="67" t="s">
        <v>956</v>
      </c>
      <c r="D42" s="67" t="s">
        <v>950</v>
      </c>
      <c r="E42" s="68">
        <v>1.0000000000000001E-5</v>
      </c>
      <c r="F42" s="76">
        <v>9.6</v>
      </c>
      <c r="G42" s="234"/>
      <c r="H42" s="234"/>
      <c r="I42" s="234"/>
      <c r="J42" s="234"/>
      <c r="K42" s="234"/>
      <c r="L42" s="234"/>
      <c r="M42" s="234"/>
      <c r="N42" s="234"/>
      <c r="O42" s="234"/>
      <c r="P42" s="234"/>
      <c r="Q42" s="234"/>
      <c r="R42" s="234"/>
      <c r="S42" s="234"/>
      <c r="T42" s="234"/>
      <c r="U42" s="234"/>
    </row>
    <row r="43" spans="1:21" ht="15">
      <c r="A43" s="234"/>
      <c r="B43" s="70">
        <v>11</v>
      </c>
      <c r="C43" s="67" t="s">
        <v>954</v>
      </c>
      <c r="D43" s="67" t="s">
        <v>950</v>
      </c>
      <c r="E43" s="68">
        <v>1.0000000000000001E-5</v>
      </c>
      <c r="F43" s="76">
        <v>9.6</v>
      </c>
      <c r="G43" s="234"/>
      <c r="H43" s="234"/>
      <c r="I43" s="234"/>
      <c r="J43" s="234"/>
      <c r="K43" s="234"/>
      <c r="L43" s="234"/>
      <c r="M43" s="234"/>
      <c r="N43" s="234"/>
      <c r="O43" s="234"/>
      <c r="P43" s="234"/>
      <c r="Q43" s="234"/>
      <c r="R43" s="234"/>
      <c r="S43" s="234"/>
      <c r="T43" s="234"/>
      <c r="U43" s="234"/>
    </row>
    <row r="44" spans="1:21" ht="15">
      <c r="A44" s="234"/>
      <c r="B44" s="70">
        <v>12</v>
      </c>
      <c r="C44" s="67" t="s">
        <v>954</v>
      </c>
      <c r="D44" s="67" t="s">
        <v>950</v>
      </c>
      <c r="E44" s="68">
        <v>9.9999999999999995E-7</v>
      </c>
      <c r="F44" s="76">
        <v>10.5</v>
      </c>
      <c r="G44" s="234"/>
      <c r="H44" s="234"/>
      <c r="I44" s="234"/>
      <c r="J44" s="234"/>
      <c r="K44" s="234"/>
      <c r="L44" s="234"/>
      <c r="M44" s="234"/>
      <c r="N44" s="234"/>
      <c r="O44" s="234"/>
      <c r="P44" s="234"/>
      <c r="Q44" s="234"/>
      <c r="R44" s="234"/>
      <c r="S44" s="234"/>
      <c r="T44" s="234"/>
      <c r="U44" s="234"/>
    </row>
    <row r="45" spans="1:21" ht="15">
      <c r="A45" s="234"/>
      <c r="B45" s="70">
        <v>13</v>
      </c>
      <c r="C45" s="67" t="s">
        <v>955</v>
      </c>
      <c r="D45" s="67" t="s">
        <v>950</v>
      </c>
      <c r="E45" s="68">
        <v>1.0000000000000001E-5</v>
      </c>
      <c r="F45" s="76">
        <v>9.6</v>
      </c>
      <c r="G45" s="234"/>
      <c r="H45" s="234"/>
      <c r="I45" s="234"/>
      <c r="J45" s="234"/>
      <c r="K45" s="234"/>
      <c r="L45" s="234"/>
      <c r="M45" s="234"/>
      <c r="N45" s="234"/>
      <c r="O45" s="234"/>
      <c r="P45" s="234"/>
      <c r="Q45" s="234"/>
      <c r="R45" s="234"/>
      <c r="S45" s="234"/>
      <c r="T45" s="234"/>
      <c r="U45" s="234"/>
    </row>
    <row r="46" spans="1:21" ht="15">
      <c r="A46" s="234"/>
      <c r="B46" s="70">
        <v>14</v>
      </c>
      <c r="C46" s="67" t="s">
        <v>955</v>
      </c>
      <c r="D46" s="67" t="s">
        <v>950</v>
      </c>
      <c r="E46" s="68">
        <v>9.9999999999999995E-7</v>
      </c>
      <c r="F46" s="76">
        <v>10.5</v>
      </c>
      <c r="G46" s="234"/>
      <c r="H46" s="234"/>
      <c r="I46" s="234"/>
      <c r="J46" s="234"/>
      <c r="K46" s="234"/>
      <c r="L46" s="234"/>
      <c r="M46" s="234"/>
      <c r="N46" s="234"/>
      <c r="O46" s="234"/>
      <c r="P46" s="234"/>
      <c r="Q46" s="234"/>
      <c r="R46" s="234"/>
      <c r="S46" s="234"/>
      <c r="T46" s="234"/>
      <c r="U46" s="234"/>
    </row>
    <row r="47" spans="1:21" ht="15">
      <c r="A47" s="234"/>
      <c r="B47" s="70">
        <v>15</v>
      </c>
      <c r="C47" s="67" t="s">
        <v>954</v>
      </c>
      <c r="D47" s="67" t="s">
        <v>957</v>
      </c>
      <c r="E47" s="68">
        <v>9.9999999999999995E-7</v>
      </c>
      <c r="F47" s="76">
        <v>4.8</v>
      </c>
      <c r="G47" s="234"/>
      <c r="H47" s="234"/>
      <c r="I47" s="234"/>
      <c r="J47" s="234"/>
      <c r="K47" s="234"/>
      <c r="L47" s="234"/>
      <c r="M47" s="234"/>
      <c r="N47" s="234"/>
      <c r="O47" s="234"/>
      <c r="P47" s="234"/>
      <c r="Q47" s="234"/>
      <c r="R47" s="234"/>
      <c r="S47" s="234"/>
      <c r="T47" s="234"/>
      <c r="U47" s="234"/>
    </row>
    <row r="48" spans="1:21" ht="15">
      <c r="A48" s="234"/>
      <c r="B48" s="70">
        <v>16</v>
      </c>
      <c r="C48" s="67" t="s">
        <v>954</v>
      </c>
      <c r="D48" s="67" t="s">
        <v>958</v>
      </c>
      <c r="E48" s="68">
        <v>9.9999999999999995E-7</v>
      </c>
      <c r="F48" s="76">
        <v>2.5</v>
      </c>
      <c r="G48" s="234"/>
      <c r="H48" s="234"/>
      <c r="I48" s="234"/>
      <c r="J48" s="234"/>
      <c r="K48" s="234"/>
      <c r="L48" s="234"/>
      <c r="M48" s="234"/>
      <c r="N48" s="234"/>
      <c r="O48" s="234"/>
      <c r="P48" s="234"/>
      <c r="Q48" s="234"/>
      <c r="R48" s="234"/>
      <c r="S48" s="234"/>
      <c r="T48" s="234"/>
      <c r="U48" s="234"/>
    </row>
    <row r="49" spans="1:21" ht="15">
      <c r="A49" s="234"/>
      <c r="B49" s="70">
        <v>17</v>
      </c>
      <c r="C49" s="67" t="s">
        <v>954</v>
      </c>
      <c r="D49" s="67" t="s">
        <v>959</v>
      </c>
      <c r="E49" s="68">
        <v>9.9999999999999995E-8</v>
      </c>
      <c r="F49" s="76">
        <v>0.8</v>
      </c>
      <c r="G49" s="234"/>
      <c r="H49" s="234"/>
      <c r="I49" s="234"/>
      <c r="J49" s="234"/>
      <c r="K49" s="234"/>
      <c r="L49" s="234"/>
      <c r="M49" s="234"/>
      <c r="N49" s="234"/>
      <c r="O49" s="234"/>
      <c r="P49" s="234"/>
      <c r="Q49" s="234"/>
      <c r="R49" s="234"/>
      <c r="S49" s="234"/>
      <c r="T49" s="234"/>
      <c r="U49" s="234"/>
    </row>
    <row r="50" spans="1:21" ht="15">
      <c r="A50" s="234"/>
      <c r="B50" s="70">
        <v>18</v>
      </c>
      <c r="C50" s="67" t="s">
        <v>954</v>
      </c>
      <c r="D50" s="67" t="s">
        <v>640</v>
      </c>
      <c r="E50" s="68">
        <v>9.9999999999999995E-7</v>
      </c>
      <c r="F50" s="730">
        <v>0.75</v>
      </c>
      <c r="G50" s="234"/>
      <c r="H50" s="234"/>
      <c r="I50" s="234"/>
      <c r="J50" s="234"/>
      <c r="K50" s="234"/>
      <c r="L50" s="234"/>
      <c r="M50" s="234"/>
      <c r="N50" s="234"/>
      <c r="O50" s="234"/>
      <c r="P50" s="234"/>
      <c r="Q50" s="234"/>
      <c r="R50" s="234"/>
      <c r="S50" s="234"/>
      <c r="T50" s="234"/>
      <c r="U50" s="234"/>
    </row>
    <row r="51" spans="1:21" ht="15">
      <c r="A51" s="234"/>
      <c r="B51" s="70">
        <v>19</v>
      </c>
      <c r="C51" s="69" t="s">
        <v>960</v>
      </c>
      <c r="D51" s="69" t="s">
        <v>950</v>
      </c>
      <c r="E51" s="78">
        <v>1.0000000000000001E-5</v>
      </c>
      <c r="F51" s="77">
        <v>9.6</v>
      </c>
      <c r="G51" s="234"/>
      <c r="H51" s="234"/>
      <c r="I51" s="234"/>
      <c r="J51" s="234"/>
      <c r="K51" s="234"/>
      <c r="L51" s="234"/>
      <c r="M51" s="234"/>
      <c r="N51" s="234"/>
      <c r="O51" s="234"/>
      <c r="P51" s="234"/>
      <c r="Q51" s="234"/>
      <c r="R51" s="234"/>
      <c r="S51" s="234"/>
      <c r="T51" s="234"/>
      <c r="U51" s="234"/>
    </row>
    <row r="52" spans="1:21" ht="13.5" thickBot="1">
      <c r="A52" s="234"/>
      <c r="B52" s="234"/>
      <c r="C52" s="234"/>
      <c r="D52" s="247" t="s">
        <v>358</v>
      </c>
      <c r="E52" s="234"/>
      <c r="F52" s="246"/>
      <c r="G52" s="234"/>
      <c r="H52" s="234"/>
      <c r="I52" s="234"/>
      <c r="J52" s="234"/>
      <c r="K52" s="234"/>
      <c r="L52" s="234"/>
      <c r="M52" s="234"/>
      <c r="N52" s="234"/>
      <c r="O52" s="234"/>
      <c r="P52" s="234"/>
      <c r="Q52" s="234"/>
      <c r="R52" s="234"/>
      <c r="S52" s="234"/>
      <c r="T52" s="234"/>
      <c r="U52" s="234"/>
    </row>
    <row r="53" spans="1:21" ht="16.5" thickBot="1">
      <c r="A53" s="234"/>
      <c r="B53" s="234"/>
      <c r="C53" s="234"/>
      <c r="D53" s="716" t="s">
        <v>962</v>
      </c>
      <c r="E53" s="717">
        <v>1</v>
      </c>
      <c r="F53" s="71" t="s">
        <v>860</v>
      </c>
      <c r="G53" s="234"/>
      <c r="H53" s="234"/>
      <c r="I53" s="234"/>
      <c r="J53" s="234"/>
      <c r="K53" s="234"/>
      <c r="L53" s="234"/>
      <c r="M53" s="234"/>
      <c r="N53" s="234"/>
      <c r="O53" s="234"/>
      <c r="P53" s="234"/>
      <c r="Q53" s="234"/>
      <c r="R53" s="234"/>
      <c r="S53" s="234"/>
      <c r="T53" s="234"/>
      <c r="U53" s="234"/>
    </row>
    <row r="54" spans="1:21">
      <c r="A54" s="234"/>
      <c r="B54" s="351" t="s">
        <v>140</v>
      </c>
      <c r="C54" s="234"/>
      <c r="D54" s="234"/>
      <c r="E54" s="234"/>
      <c r="F54" s="234"/>
      <c r="G54" s="234"/>
      <c r="H54" s="234"/>
      <c r="I54" s="234"/>
      <c r="J54" s="234"/>
      <c r="K54" s="234"/>
      <c r="L54" s="234"/>
      <c r="M54" s="234"/>
      <c r="N54" s="234"/>
      <c r="O54" s="234"/>
      <c r="P54" s="234"/>
      <c r="Q54" s="234"/>
      <c r="R54" s="234"/>
      <c r="S54" s="234"/>
      <c r="T54" s="234"/>
      <c r="U54" s="234"/>
    </row>
    <row r="55" spans="1:21">
      <c r="A55" s="234"/>
      <c r="B55" s="234"/>
      <c r="C55" s="234"/>
      <c r="D55" s="234"/>
      <c r="E55" s="234"/>
      <c r="F55" s="234"/>
      <c r="G55" s="234"/>
      <c r="H55" s="234"/>
      <c r="I55" s="234"/>
      <c r="J55" s="234"/>
      <c r="K55" s="234"/>
      <c r="L55" s="234"/>
      <c r="M55" s="234"/>
      <c r="N55" s="234"/>
      <c r="O55" s="234"/>
      <c r="P55" s="234"/>
      <c r="Q55" s="234"/>
      <c r="R55" s="234"/>
      <c r="S55" s="234"/>
      <c r="T55" s="234"/>
      <c r="U55" s="234"/>
    </row>
    <row r="56" spans="1:21">
      <c r="A56" s="234"/>
      <c r="B56" s="234"/>
      <c r="C56" s="234"/>
      <c r="D56" s="234"/>
      <c r="E56" s="234"/>
      <c r="F56" s="234"/>
      <c r="G56" s="234"/>
      <c r="H56" s="234"/>
      <c r="I56" s="234"/>
      <c r="J56" s="234"/>
      <c r="K56" s="234"/>
      <c r="L56" s="234"/>
      <c r="M56" s="234"/>
      <c r="N56" s="234"/>
      <c r="O56" s="234"/>
      <c r="P56" s="234"/>
      <c r="Q56" s="234"/>
      <c r="R56" s="234"/>
      <c r="S56" s="234"/>
      <c r="T56" s="234"/>
      <c r="U56" s="234"/>
    </row>
    <row r="57" spans="1:21">
      <c r="A57" s="234"/>
      <c r="B57" s="234"/>
      <c r="C57" s="234"/>
      <c r="D57" s="234"/>
      <c r="E57" s="234"/>
      <c r="F57" s="234"/>
      <c r="G57" s="234"/>
      <c r="H57" s="234"/>
      <c r="I57" s="234"/>
      <c r="J57" s="234"/>
      <c r="K57" s="234"/>
      <c r="L57" s="234"/>
      <c r="M57" s="234"/>
      <c r="N57" s="234"/>
      <c r="O57" s="234"/>
      <c r="P57" s="234"/>
      <c r="Q57" s="234"/>
      <c r="R57" s="234"/>
      <c r="S57" s="234"/>
      <c r="T57" s="234"/>
      <c r="U57" s="234"/>
    </row>
    <row r="58" spans="1:21">
      <c r="A58" s="234"/>
      <c r="B58" s="234"/>
      <c r="C58" s="234"/>
      <c r="D58" s="234"/>
      <c r="E58" s="234"/>
      <c r="F58" s="234"/>
      <c r="G58" s="234"/>
      <c r="H58" s="234"/>
      <c r="I58" s="234"/>
      <c r="J58" s="234"/>
      <c r="K58" s="234"/>
      <c r="L58" s="234"/>
      <c r="M58" s="234"/>
      <c r="N58" s="234"/>
      <c r="O58" s="234"/>
      <c r="P58" s="234"/>
      <c r="Q58" s="234"/>
      <c r="R58" s="234"/>
      <c r="S58" s="234"/>
      <c r="T58" s="234"/>
      <c r="U58" s="234"/>
    </row>
    <row r="59" spans="1:21">
      <c r="A59" s="234"/>
      <c r="B59" s="234"/>
      <c r="C59" s="234"/>
      <c r="D59" s="234"/>
      <c r="E59" s="234"/>
      <c r="F59" s="234"/>
      <c r="G59" s="234"/>
      <c r="H59" s="234"/>
      <c r="I59" s="234"/>
      <c r="J59" s="234"/>
      <c r="K59" s="234"/>
      <c r="L59" s="234"/>
      <c r="M59" s="234"/>
      <c r="N59" s="234"/>
      <c r="O59" s="234"/>
      <c r="P59" s="234"/>
      <c r="Q59" s="234"/>
      <c r="R59" s="234"/>
      <c r="S59" s="234"/>
      <c r="T59" s="234"/>
      <c r="U59" s="234"/>
    </row>
    <row r="60" spans="1:21">
      <c r="A60" s="234"/>
      <c r="B60" s="234"/>
      <c r="C60" s="234"/>
      <c r="D60" s="234"/>
      <c r="E60" s="234"/>
      <c r="F60" s="234"/>
      <c r="G60" s="234"/>
      <c r="H60" s="234"/>
      <c r="I60" s="234"/>
      <c r="J60" s="234"/>
      <c r="K60" s="234"/>
      <c r="L60" s="234"/>
      <c r="M60" s="234"/>
      <c r="N60" s="234"/>
      <c r="O60" s="234"/>
      <c r="P60" s="234"/>
      <c r="Q60" s="234"/>
      <c r="R60" s="234"/>
      <c r="S60" s="234"/>
      <c r="T60" s="234"/>
      <c r="U60" s="234"/>
    </row>
    <row r="61" spans="1:21">
      <c r="A61" s="234"/>
      <c r="B61" s="234"/>
      <c r="C61" s="234"/>
      <c r="D61" s="234" t="s">
        <v>818</v>
      </c>
      <c r="E61" s="234"/>
      <c r="F61" s="234"/>
      <c r="G61" s="234"/>
      <c r="H61" s="234"/>
      <c r="I61" s="234"/>
      <c r="J61" s="234"/>
      <c r="K61" s="234"/>
      <c r="L61" s="234"/>
      <c r="M61" s="234"/>
      <c r="N61" s="234"/>
      <c r="O61" s="234"/>
      <c r="P61" s="234"/>
      <c r="Q61" s="234"/>
      <c r="R61" s="234"/>
      <c r="S61" s="234"/>
      <c r="T61" s="234"/>
      <c r="U61" s="234"/>
    </row>
    <row r="62" spans="1:21">
      <c r="A62" s="234"/>
      <c r="B62" s="234"/>
      <c r="C62" s="234"/>
      <c r="D62" s="234"/>
      <c r="E62" s="234"/>
      <c r="F62" s="234"/>
      <c r="G62" s="234"/>
      <c r="H62" s="234"/>
      <c r="I62" s="234"/>
      <c r="J62" s="234"/>
      <c r="K62" s="234"/>
      <c r="L62" s="234"/>
      <c r="M62" s="234"/>
      <c r="N62" s="234"/>
      <c r="O62" s="234"/>
      <c r="P62" s="234"/>
      <c r="Q62" s="234"/>
      <c r="R62" s="234"/>
      <c r="S62" s="234"/>
      <c r="T62" s="234"/>
      <c r="U62" s="234"/>
    </row>
    <row r="63" spans="1:21">
      <c r="A63" s="234"/>
      <c r="B63" s="234"/>
      <c r="C63" s="234"/>
      <c r="D63" s="234"/>
      <c r="E63" s="234"/>
      <c r="F63" s="234"/>
      <c r="G63" s="234"/>
      <c r="H63" s="234"/>
      <c r="I63" s="234"/>
      <c r="J63" s="234"/>
      <c r="K63" s="234"/>
      <c r="L63" s="234"/>
      <c r="M63" s="234"/>
      <c r="N63" s="234"/>
      <c r="O63" s="234"/>
      <c r="P63" s="234"/>
      <c r="Q63" s="234"/>
      <c r="R63" s="234"/>
      <c r="S63" s="234"/>
      <c r="T63" s="234"/>
      <c r="U63" s="234"/>
    </row>
    <row r="64" spans="1:21">
      <c r="A64" s="234"/>
      <c r="B64" s="234"/>
      <c r="C64" s="234"/>
      <c r="D64" s="234"/>
      <c r="E64" s="234"/>
      <c r="F64" s="234"/>
      <c r="G64" s="234"/>
      <c r="H64" s="234"/>
      <c r="I64" s="234"/>
      <c r="J64" s="234"/>
      <c r="K64" s="234"/>
      <c r="L64" s="234"/>
      <c r="M64" s="234"/>
      <c r="N64" s="234"/>
      <c r="O64" s="234"/>
      <c r="P64" s="234"/>
      <c r="Q64" s="234"/>
      <c r="R64" s="234"/>
      <c r="S64" s="234"/>
      <c r="T64" s="234"/>
      <c r="U64" s="234"/>
    </row>
    <row r="65" spans="1:21">
      <c r="A65" s="234"/>
      <c r="B65" s="234"/>
      <c r="C65" s="234"/>
      <c r="D65" s="234"/>
      <c r="E65" s="234"/>
      <c r="F65" s="234"/>
      <c r="G65" s="234"/>
      <c r="H65" s="234"/>
      <c r="I65" s="234"/>
      <c r="J65" s="234"/>
      <c r="K65" s="234"/>
      <c r="L65" s="234"/>
      <c r="M65" s="234"/>
      <c r="N65" s="234"/>
      <c r="O65" s="234"/>
      <c r="P65" s="234"/>
      <c r="Q65" s="234"/>
      <c r="R65" s="234"/>
      <c r="S65" s="234"/>
      <c r="T65" s="234"/>
      <c r="U65" s="234"/>
    </row>
    <row r="66" spans="1:21">
      <c r="A66" s="234"/>
      <c r="B66" s="234"/>
      <c r="C66" s="234"/>
      <c r="D66" s="234"/>
      <c r="E66" s="234"/>
      <c r="F66" s="234"/>
      <c r="G66" s="234"/>
      <c r="H66" s="234"/>
      <c r="I66" s="234"/>
      <c r="J66" s="234"/>
      <c r="K66" s="234"/>
      <c r="L66" s="234"/>
      <c r="M66" s="234"/>
      <c r="N66" s="234"/>
      <c r="O66" s="234"/>
      <c r="P66" s="234"/>
      <c r="Q66" s="234"/>
      <c r="R66" s="234"/>
      <c r="S66" s="234"/>
      <c r="T66" s="234"/>
      <c r="U66" s="234"/>
    </row>
    <row r="67" spans="1:21">
      <c r="A67" s="234"/>
      <c r="B67" s="234"/>
      <c r="C67" s="234"/>
      <c r="D67" s="234"/>
      <c r="E67" s="234"/>
      <c r="F67" s="234"/>
      <c r="G67" s="234"/>
      <c r="H67" s="234"/>
    </row>
    <row r="68" spans="1:21">
      <c r="A68" s="234"/>
      <c r="B68" s="234"/>
      <c r="C68" s="234"/>
      <c r="D68" s="234"/>
      <c r="E68" s="234"/>
      <c r="F68" s="234"/>
      <c r="G68" s="234"/>
      <c r="H68" s="234"/>
    </row>
    <row r="69" spans="1:21">
      <c r="A69" s="234"/>
      <c r="B69" s="234"/>
      <c r="C69" s="234"/>
      <c r="D69" s="234"/>
      <c r="E69" s="234"/>
      <c r="F69" s="234"/>
      <c r="G69" s="234"/>
      <c r="H69" s="234"/>
    </row>
    <row r="70" spans="1:21">
      <c r="A70" s="234"/>
      <c r="B70" s="234"/>
      <c r="C70" s="234"/>
      <c r="D70" s="234"/>
      <c r="E70" s="234"/>
      <c r="F70" s="234"/>
      <c r="G70" s="234"/>
      <c r="H70" s="234"/>
    </row>
    <row r="71" spans="1:21">
      <c r="A71" s="234"/>
      <c r="B71" s="234"/>
      <c r="C71" s="234"/>
      <c r="D71" s="234"/>
      <c r="E71" s="234"/>
      <c r="F71" s="234"/>
      <c r="G71" s="234"/>
      <c r="H71" s="234"/>
    </row>
    <row r="72" spans="1:21">
      <c r="A72" s="234"/>
      <c r="B72" s="234"/>
      <c r="C72" s="234"/>
      <c r="D72" s="234"/>
      <c r="E72" s="234"/>
      <c r="F72" s="234"/>
      <c r="G72" s="234"/>
      <c r="H72" s="234"/>
    </row>
    <row r="73" spans="1:21">
      <c r="A73" s="234"/>
      <c r="B73" s="234"/>
      <c r="C73" s="234"/>
      <c r="D73" s="234"/>
      <c r="E73" s="234"/>
      <c r="F73" s="234"/>
      <c r="G73" s="234"/>
      <c r="H73" s="234"/>
    </row>
    <row r="74" spans="1:21">
      <c r="A74" s="234"/>
      <c r="B74" s="234"/>
      <c r="C74" s="234"/>
      <c r="D74" s="234"/>
      <c r="E74" s="234"/>
      <c r="F74" s="234"/>
      <c r="G74" s="234"/>
      <c r="H74" s="234"/>
    </row>
    <row r="75" spans="1:21">
      <c r="A75" s="234"/>
      <c r="B75" s="234"/>
      <c r="C75" s="234"/>
      <c r="D75" s="234"/>
      <c r="E75" s="234"/>
      <c r="F75" s="234"/>
      <c r="G75" s="234"/>
      <c r="H75" s="234"/>
    </row>
    <row r="76" spans="1:21">
      <c r="A76" s="234"/>
      <c r="B76" s="234"/>
      <c r="C76" s="234"/>
      <c r="D76" s="234"/>
      <c r="E76" s="234"/>
      <c r="F76" s="234"/>
      <c r="G76" s="234"/>
      <c r="H76" s="234"/>
    </row>
    <row r="77" spans="1:21">
      <c r="A77" s="234"/>
      <c r="B77" s="234"/>
      <c r="C77" s="234"/>
      <c r="D77" s="234"/>
      <c r="E77" s="234"/>
      <c r="F77" s="234"/>
      <c r="G77" s="234"/>
      <c r="H77" s="234"/>
    </row>
    <row r="78" spans="1:21">
      <c r="A78" s="234"/>
      <c r="B78" s="234"/>
      <c r="C78" s="234"/>
      <c r="D78" s="234"/>
      <c r="E78" s="234"/>
      <c r="F78" s="234"/>
      <c r="G78" s="234"/>
      <c r="H78" s="234"/>
    </row>
    <row r="79" spans="1:21">
      <c r="A79" s="234"/>
      <c r="B79" s="234"/>
      <c r="C79" s="234"/>
      <c r="D79" s="234"/>
      <c r="E79" s="234"/>
      <c r="F79" s="234"/>
      <c r="G79" s="234"/>
      <c r="H79" s="234"/>
    </row>
    <row r="80" spans="1:21">
      <c r="A80" s="234"/>
      <c r="B80" s="234"/>
      <c r="C80" s="234"/>
      <c r="D80" s="234"/>
      <c r="E80" s="234"/>
      <c r="F80" s="234"/>
      <c r="G80" s="234"/>
      <c r="H80" s="234"/>
    </row>
    <row r="81" spans="1:8">
      <c r="A81" s="234"/>
      <c r="B81" s="234"/>
      <c r="C81" s="234"/>
      <c r="D81" s="234"/>
      <c r="E81" s="234"/>
      <c r="F81" s="234"/>
      <c r="G81" s="234"/>
      <c r="H81" s="234"/>
    </row>
    <row r="82" spans="1:8">
      <c r="A82" s="234"/>
      <c r="B82" s="234"/>
      <c r="C82" s="234"/>
      <c r="D82" s="234"/>
      <c r="E82" s="234"/>
      <c r="F82" s="234"/>
      <c r="G82" s="234"/>
      <c r="H82" s="234"/>
    </row>
    <row r="83" spans="1:8">
      <c r="A83" s="234"/>
      <c r="B83" s="234"/>
      <c r="C83" s="234"/>
      <c r="D83" s="234"/>
      <c r="E83" s="234"/>
      <c r="F83" s="234"/>
      <c r="G83" s="234"/>
      <c r="H83" s="234"/>
    </row>
    <row r="84" spans="1:8">
      <c r="A84" s="234"/>
      <c r="B84" s="234"/>
      <c r="C84" s="234"/>
      <c r="D84" s="234"/>
      <c r="E84" s="234"/>
      <c r="F84" s="234"/>
      <c r="G84" s="234"/>
      <c r="H84" s="234"/>
    </row>
    <row r="85" spans="1:8">
      <c r="A85" s="234"/>
      <c r="B85" s="234"/>
      <c r="C85" s="234"/>
      <c r="D85" s="234"/>
      <c r="E85" s="234"/>
      <c r="F85" s="234"/>
      <c r="G85" s="234"/>
      <c r="H85" s="234"/>
    </row>
    <row r="86" spans="1:8">
      <c r="A86" s="234"/>
      <c r="B86" s="234"/>
      <c r="C86" s="234"/>
      <c r="D86" s="234"/>
      <c r="E86" s="234"/>
      <c r="F86" s="234"/>
      <c r="G86" s="234"/>
      <c r="H86" s="234"/>
    </row>
    <row r="87" spans="1:8">
      <c r="A87" s="234"/>
      <c r="B87" s="234"/>
      <c r="C87" s="234"/>
      <c r="D87" s="234"/>
      <c r="E87" s="234"/>
      <c r="F87" s="234"/>
      <c r="G87" s="234"/>
      <c r="H87" s="234"/>
    </row>
    <row r="88" spans="1:8">
      <c r="A88" s="234"/>
      <c r="B88" s="234"/>
      <c r="C88" s="234"/>
      <c r="D88" s="234"/>
      <c r="E88" s="234"/>
      <c r="F88" s="234"/>
      <c r="G88" s="234"/>
      <c r="H88" s="234"/>
    </row>
    <row r="89" spans="1:8">
      <c r="A89" s="234"/>
      <c r="B89" s="234"/>
      <c r="C89" s="234"/>
      <c r="D89" s="234"/>
      <c r="E89" s="234"/>
      <c r="F89" s="234"/>
      <c r="G89" s="234"/>
      <c r="H89" s="234"/>
    </row>
    <row r="90" spans="1:8">
      <c r="A90" s="234"/>
      <c r="B90" s="234"/>
      <c r="C90" s="234"/>
      <c r="D90" s="234"/>
      <c r="E90" s="234"/>
      <c r="F90" s="234"/>
      <c r="G90" s="234"/>
      <c r="H90" s="234"/>
    </row>
    <row r="91" spans="1:8">
      <c r="A91" s="234"/>
      <c r="B91" s="234"/>
      <c r="C91" s="234"/>
      <c r="D91" s="234"/>
      <c r="E91" s="234"/>
      <c r="F91" s="234"/>
      <c r="G91" s="234"/>
      <c r="H91" s="234"/>
    </row>
    <row r="92" spans="1:8">
      <c r="A92" s="234"/>
      <c r="B92" s="234"/>
      <c r="C92" s="234"/>
      <c r="D92" s="234"/>
      <c r="E92" s="234"/>
      <c r="F92" s="234"/>
      <c r="G92" s="234"/>
      <c r="H92" s="234"/>
    </row>
    <row r="93" spans="1:8">
      <c r="A93" s="234"/>
      <c r="B93" s="234"/>
      <c r="C93" s="234"/>
      <c r="D93" s="234"/>
      <c r="E93" s="234"/>
      <c r="F93" s="234"/>
      <c r="G93" s="234"/>
      <c r="H93" s="234"/>
    </row>
    <row r="94" spans="1:8">
      <c r="A94" s="234"/>
      <c r="B94" s="234"/>
      <c r="C94" s="234"/>
      <c r="D94" s="234"/>
      <c r="E94" s="234"/>
      <c r="F94" s="234"/>
      <c r="G94" s="234"/>
      <c r="H94" s="234"/>
    </row>
    <row r="95" spans="1:8">
      <c r="A95" s="234"/>
      <c r="B95" s="234"/>
      <c r="C95" s="234"/>
      <c r="D95" s="234"/>
      <c r="E95" s="234"/>
      <c r="F95" s="234"/>
      <c r="G95" s="234"/>
      <c r="H95" s="234"/>
    </row>
    <row r="96" spans="1:8">
      <c r="A96" s="234"/>
      <c r="B96" s="234"/>
      <c r="C96" s="234"/>
      <c r="D96" s="234"/>
      <c r="E96" s="234"/>
      <c r="F96" s="234"/>
      <c r="G96" s="234"/>
      <c r="H96" s="234"/>
    </row>
    <row r="97" spans="1:8">
      <c r="A97" s="234"/>
      <c r="B97" s="234"/>
      <c r="C97" s="234"/>
      <c r="D97" s="234"/>
      <c r="E97" s="234"/>
      <c r="F97" s="234"/>
      <c r="G97" s="234"/>
      <c r="H97" s="234"/>
    </row>
    <row r="98" spans="1:8">
      <c r="A98" s="234"/>
      <c r="B98" s="234"/>
      <c r="C98" s="234"/>
      <c r="D98" s="234"/>
      <c r="E98" s="234"/>
      <c r="F98" s="234"/>
      <c r="G98" s="234"/>
      <c r="H98" s="234"/>
    </row>
    <row r="99" spans="1:8">
      <c r="A99" s="234"/>
      <c r="B99" s="234"/>
      <c r="C99" s="234"/>
      <c r="D99" s="234"/>
      <c r="E99" s="234"/>
      <c r="F99" s="234"/>
      <c r="G99" s="234"/>
      <c r="H99" s="234"/>
    </row>
    <row r="100" spans="1:8">
      <c r="A100" s="234"/>
      <c r="B100" s="234"/>
      <c r="C100" s="234"/>
      <c r="D100" s="234"/>
      <c r="E100" s="234"/>
      <c r="F100" s="234"/>
      <c r="G100" s="234"/>
      <c r="H100" s="234"/>
    </row>
    <row r="101" spans="1:8">
      <c r="A101" s="234"/>
      <c r="B101" s="234"/>
      <c r="C101" s="234"/>
      <c r="D101" s="234"/>
      <c r="E101" s="234"/>
      <c r="F101" s="234"/>
      <c r="G101" s="234"/>
      <c r="H101" s="234"/>
    </row>
    <row r="102" spans="1:8">
      <c r="A102" s="234"/>
      <c r="B102" s="234"/>
      <c r="C102" s="234"/>
      <c r="D102" s="234"/>
      <c r="E102" s="234"/>
      <c r="F102" s="234"/>
      <c r="G102" s="234"/>
      <c r="H102" s="234"/>
    </row>
    <row r="103" spans="1:8">
      <c r="A103" s="234"/>
      <c r="B103" s="234"/>
      <c r="C103" s="234"/>
      <c r="D103" s="234"/>
      <c r="E103" s="234"/>
      <c r="F103" s="234"/>
      <c r="G103" s="234"/>
      <c r="H103" s="234"/>
    </row>
    <row r="104" spans="1:8">
      <c r="A104" s="234"/>
      <c r="B104" s="234"/>
      <c r="C104" s="234"/>
      <c r="D104" s="234"/>
      <c r="E104" s="234"/>
      <c r="F104" s="234"/>
      <c r="G104" s="234"/>
      <c r="H104" s="234"/>
    </row>
    <row r="105" spans="1:8">
      <c r="A105" s="234"/>
      <c r="B105" s="234"/>
      <c r="C105" s="234"/>
      <c r="D105" s="234"/>
      <c r="E105" s="234"/>
      <c r="F105" s="234"/>
      <c r="G105" s="234"/>
      <c r="H105" s="234"/>
    </row>
    <row r="106" spans="1:8">
      <c r="A106" s="234"/>
      <c r="B106" s="234"/>
      <c r="C106" s="234"/>
      <c r="D106" s="234"/>
      <c r="E106" s="234"/>
      <c r="F106" s="234"/>
      <c r="G106" s="234"/>
      <c r="H106" s="234"/>
    </row>
    <row r="107" spans="1:8">
      <c r="A107" s="234"/>
      <c r="B107" s="234"/>
      <c r="C107" s="234"/>
      <c r="D107" s="234"/>
      <c r="E107" s="234"/>
      <c r="F107" s="234"/>
      <c r="G107" s="234"/>
      <c r="H107" s="234"/>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50" zoomScaleNormal="150" workbookViewId="0">
      <selection activeCell="B29" sqref="B29"/>
    </sheetView>
  </sheetViews>
  <sheetFormatPr defaultColWidth="8.85546875" defaultRowHeight="12.75" outlineLevelRow="1" outlineLevelCol="1"/>
  <cols>
    <col min="1" max="1" width="41.42578125" customWidth="1"/>
    <col min="2" max="2" width="15" customWidth="1"/>
    <col min="4" max="4" width="19.42578125" customWidth="1" outlineLevel="1"/>
    <col min="5" max="7" width="9.140625" customWidth="1" outlineLevel="1"/>
    <col min="8" max="8" width="12" customWidth="1" outlineLevel="1"/>
    <col min="9" max="9" width="38.140625" customWidth="1" outlineLevel="1"/>
    <col min="10" max="10" width="38" customWidth="1"/>
  </cols>
  <sheetData>
    <row r="1" spans="1:18" ht="18">
      <c r="A1" s="43" t="str">
        <f>'Title Page'!F3</f>
        <v>OreSat - CS0</v>
      </c>
      <c r="B1" s="765" t="s">
        <v>140</v>
      </c>
      <c r="C1" s="44"/>
      <c r="D1" s="694" t="str">
        <f>'Title Page'!F3</f>
        <v>OreSat - CS0</v>
      </c>
      <c r="E1" s="58" t="s">
        <v>818</v>
      </c>
      <c r="F1" s="58" t="s">
        <v>817</v>
      </c>
      <c r="G1" s="58"/>
      <c r="H1" s="58"/>
      <c r="I1" s="44"/>
      <c r="J1" s="44"/>
      <c r="K1" s="44"/>
      <c r="L1" s="44"/>
      <c r="M1" s="44"/>
      <c r="N1" s="44"/>
      <c r="O1" s="44"/>
      <c r="P1" s="44"/>
      <c r="Q1" s="44"/>
      <c r="R1" s="44"/>
    </row>
    <row r="2" spans="1:18" ht="20.25">
      <c r="A2" s="45" t="s">
        <v>904</v>
      </c>
      <c r="B2" s="44"/>
      <c r="C2" s="44"/>
      <c r="D2" s="58" t="str">
        <f>'Title Page'!G1</f>
        <v xml:space="preserve"> Version: 2.5.5</v>
      </c>
      <c r="E2" s="58"/>
      <c r="F2" s="58" t="str">
        <f>'Title Page'!F23</f>
        <v>2018 October 19</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c r="A4" s="29" t="s">
        <v>819</v>
      </c>
      <c r="B4" s="29" t="s">
        <v>820</v>
      </c>
      <c r="C4" s="29" t="s">
        <v>866</v>
      </c>
      <c r="D4" s="29" t="s">
        <v>867</v>
      </c>
      <c r="E4" s="37"/>
      <c r="F4" s="37"/>
      <c r="G4" s="37"/>
      <c r="H4" s="37"/>
      <c r="I4" s="37"/>
      <c r="J4" s="37"/>
      <c r="K4" s="37"/>
      <c r="L4" s="37"/>
      <c r="M4" s="37"/>
      <c r="N4" s="37"/>
      <c r="O4" s="37"/>
      <c r="P4" s="37"/>
      <c r="Q4" s="37"/>
      <c r="R4" s="37"/>
    </row>
    <row r="5" spans="1:18">
      <c r="A5" s="63" t="s">
        <v>876</v>
      </c>
      <c r="B5" s="23"/>
      <c r="C5" s="23"/>
      <c r="D5" s="23"/>
      <c r="E5" s="23"/>
      <c r="F5" s="23"/>
      <c r="G5" s="23"/>
      <c r="H5" s="23"/>
      <c r="I5" s="23"/>
      <c r="J5" s="23"/>
      <c r="K5" s="23"/>
      <c r="L5" s="23"/>
      <c r="M5" s="23"/>
      <c r="N5" s="23"/>
      <c r="O5" s="23"/>
      <c r="P5" s="23"/>
      <c r="Q5" s="23"/>
      <c r="R5" s="23"/>
    </row>
    <row r="6" spans="1:18">
      <c r="A6" s="91" t="s">
        <v>410</v>
      </c>
      <c r="B6" s="442">
        <f>Transmitters!E16</f>
        <v>5</v>
      </c>
      <c r="C6" s="91" t="s">
        <v>884</v>
      </c>
      <c r="D6" s="434" t="s">
        <v>413</v>
      </c>
      <c r="E6" s="434"/>
      <c r="F6" s="434"/>
      <c r="G6" s="434"/>
      <c r="H6" s="434"/>
      <c r="I6" s="434"/>
      <c r="J6" s="435" t="s">
        <v>442</v>
      </c>
      <c r="K6" s="426"/>
      <c r="L6" s="425"/>
      <c r="M6" s="91"/>
      <c r="N6" s="91"/>
      <c r="O6" s="91"/>
      <c r="P6" s="91"/>
      <c r="Q6" s="91"/>
      <c r="R6" s="91"/>
    </row>
    <row r="7" spans="1:18">
      <c r="A7" s="439" t="s">
        <v>890</v>
      </c>
      <c r="B7" s="132">
        <f>10*LOG10(B6)</f>
        <v>6.9897000433601884</v>
      </c>
      <c r="C7" s="91" t="s">
        <v>885</v>
      </c>
      <c r="D7" s="434" t="s">
        <v>404</v>
      </c>
      <c r="E7" s="434"/>
      <c r="F7" s="434"/>
      <c r="G7" s="434"/>
      <c r="H7" s="434"/>
      <c r="I7" s="434"/>
      <c r="J7" s="91"/>
      <c r="K7" s="91"/>
      <c r="L7" s="91"/>
      <c r="M7" s="91"/>
      <c r="N7" s="91"/>
      <c r="O7" s="91"/>
      <c r="P7" s="91"/>
      <c r="Q7" s="91"/>
      <c r="R7" s="91"/>
    </row>
    <row r="8" spans="1:18">
      <c r="A8" s="439" t="s">
        <v>891</v>
      </c>
      <c r="B8" s="353">
        <f>B7+30</f>
        <v>36.989700043360187</v>
      </c>
      <c r="C8" s="91" t="s">
        <v>886</v>
      </c>
      <c r="D8" s="434" t="s">
        <v>405</v>
      </c>
      <c r="E8" s="434"/>
      <c r="F8" s="434"/>
      <c r="G8" s="434"/>
      <c r="H8" s="434"/>
      <c r="I8" s="434"/>
      <c r="J8" s="91"/>
      <c r="K8" s="91"/>
      <c r="L8" s="91"/>
      <c r="M8" s="91"/>
      <c r="N8" s="91"/>
      <c r="O8" s="91"/>
      <c r="P8" s="91"/>
      <c r="Q8" s="91"/>
      <c r="R8" s="91"/>
    </row>
    <row r="9" spans="1:18">
      <c r="A9" s="91" t="s">
        <v>411</v>
      </c>
      <c r="B9" s="443">
        <f>Transmitters!I40</f>
        <v>1.8299000000000001</v>
      </c>
      <c r="C9" s="91" t="s">
        <v>860</v>
      </c>
      <c r="D9" s="434" t="s">
        <v>406</v>
      </c>
      <c r="E9" s="434"/>
      <c r="F9" s="434"/>
      <c r="G9" s="434"/>
      <c r="H9" s="434"/>
      <c r="I9" s="434"/>
      <c r="J9" s="91"/>
      <c r="K9" s="91"/>
      <c r="L9" s="91"/>
      <c r="M9" s="91"/>
      <c r="N9" s="91"/>
      <c r="O9" s="91"/>
      <c r="P9" s="91"/>
      <c r="Q9" s="91"/>
      <c r="R9" s="91"/>
    </row>
    <row r="10" spans="1:18">
      <c r="A10" s="91" t="s">
        <v>869</v>
      </c>
      <c r="B10" s="443">
        <f>INDEX('Antenna Gain'!N13:N16,'Antenna Gain'!E11,1)</f>
        <v>16</v>
      </c>
      <c r="C10" s="91" t="s">
        <v>36</v>
      </c>
      <c r="D10" s="434" t="s">
        <v>751</v>
      </c>
      <c r="E10" s="434"/>
      <c r="F10" s="434"/>
      <c r="G10" s="434"/>
      <c r="H10" s="434"/>
      <c r="I10" s="434"/>
      <c r="J10" s="91"/>
      <c r="K10" s="91"/>
      <c r="L10" s="91"/>
      <c r="M10" s="91"/>
      <c r="N10" s="91"/>
      <c r="O10" s="91"/>
      <c r="P10" s="91"/>
      <c r="Q10" s="91"/>
      <c r="R10" s="91"/>
    </row>
    <row r="11" spans="1:18">
      <c r="A11" s="91" t="s">
        <v>907</v>
      </c>
      <c r="B11" s="39">
        <f>B7-B9+B10</f>
        <v>21.159800043360189</v>
      </c>
      <c r="C11" s="91" t="s">
        <v>885</v>
      </c>
      <c r="D11" s="434" t="s">
        <v>906</v>
      </c>
      <c r="E11" s="434"/>
      <c r="F11" s="434"/>
      <c r="G11" s="434"/>
      <c r="H11" s="434"/>
      <c r="I11" s="434"/>
      <c r="J11" s="91"/>
      <c r="K11" s="91"/>
      <c r="L11" s="91"/>
      <c r="M11" s="91"/>
      <c r="N11" s="91"/>
      <c r="O11" s="91"/>
      <c r="P11" s="91"/>
      <c r="Q11" s="91"/>
      <c r="R11" s="91"/>
    </row>
    <row r="12" spans="1:18">
      <c r="A12" s="63" t="s">
        <v>905</v>
      </c>
      <c r="B12" s="64"/>
      <c r="C12" s="23"/>
      <c r="D12" s="23"/>
      <c r="E12" s="23"/>
      <c r="F12" s="23"/>
      <c r="G12" s="23"/>
      <c r="H12" s="23"/>
      <c r="I12" s="23"/>
      <c r="J12" s="23"/>
      <c r="K12" s="23"/>
      <c r="L12" s="23"/>
      <c r="M12" s="23"/>
      <c r="N12" s="23"/>
      <c r="O12" s="23"/>
      <c r="P12" s="23"/>
      <c r="Q12" s="23"/>
      <c r="R12" s="23"/>
    </row>
    <row r="13" spans="1:18">
      <c r="A13" s="91" t="s">
        <v>897</v>
      </c>
      <c r="B13" s="443">
        <f>'Antenna Pointing Losses'!K43</f>
        <v>0.36081663808497533</v>
      </c>
      <c r="C13" s="91" t="s">
        <v>860</v>
      </c>
      <c r="D13" s="434" t="s">
        <v>752</v>
      </c>
      <c r="E13" s="434"/>
      <c r="F13" s="434"/>
      <c r="G13" s="434"/>
      <c r="H13" s="434"/>
      <c r="I13" s="434"/>
      <c r="J13" s="91"/>
      <c r="K13" s="91"/>
      <c r="L13" s="91"/>
      <c r="M13" s="91"/>
      <c r="N13" s="91"/>
      <c r="O13" s="91"/>
      <c r="P13" s="91"/>
      <c r="Q13" s="91"/>
      <c r="R13" s="91"/>
    </row>
    <row r="14" spans="1:18">
      <c r="A14" s="91" t="s">
        <v>415</v>
      </c>
      <c r="B14" s="442">
        <f>'Antenna Polarization Loss'!F40</f>
        <v>5.7437907597720189E-2</v>
      </c>
      <c r="C14" s="91" t="s">
        <v>860</v>
      </c>
      <c r="D14" s="434" t="s">
        <v>423</v>
      </c>
      <c r="E14" s="434"/>
      <c r="F14" s="434"/>
      <c r="G14" s="434"/>
      <c r="H14" s="434"/>
      <c r="I14" s="434"/>
      <c r="J14" s="91"/>
      <c r="K14" s="91"/>
      <c r="L14" s="91"/>
      <c r="M14" s="91"/>
      <c r="N14" s="91"/>
      <c r="O14" s="91"/>
      <c r="P14" s="91"/>
      <c r="Q14" s="91"/>
      <c r="R14" s="91"/>
    </row>
    <row r="15" spans="1:18">
      <c r="A15" s="91" t="s">
        <v>859</v>
      </c>
      <c r="B15" s="444">
        <f>Frequency!M12</f>
        <v>157.75905801313266</v>
      </c>
      <c r="C15" s="91" t="s">
        <v>860</v>
      </c>
      <c r="D15" s="434" t="s">
        <v>385</v>
      </c>
      <c r="E15" s="434"/>
      <c r="F15" s="434"/>
      <c r="G15" s="434"/>
      <c r="H15" s="434"/>
      <c r="I15" s="434"/>
      <c r="J15" s="91"/>
      <c r="K15" s="91"/>
      <c r="L15" s="91"/>
      <c r="M15" s="91"/>
      <c r="N15" s="91"/>
      <c r="O15" s="91"/>
      <c r="P15" s="91"/>
      <c r="Q15" s="91"/>
      <c r="R15" s="91"/>
    </row>
    <row r="16" spans="1:18">
      <c r="A16" s="91" t="s">
        <v>872</v>
      </c>
      <c r="B16" s="443">
        <f>'Atmos. &amp; Ionos. Losses'!D23</f>
        <v>1.1000000000000001</v>
      </c>
      <c r="C16" s="91" t="s">
        <v>860</v>
      </c>
      <c r="D16" s="434" t="s">
        <v>307</v>
      </c>
      <c r="E16" s="434"/>
      <c r="F16" s="434"/>
      <c r="G16" s="434"/>
      <c r="H16" s="434"/>
      <c r="I16" s="434"/>
      <c r="J16" s="91"/>
      <c r="K16" s="91"/>
      <c r="L16" s="91"/>
      <c r="M16" s="91"/>
      <c r="N16" s="91"/>
      <c r="O16" s="91"/>
      <c r="P16" s="91"/>
      <c r="Q16" s="91"/>
      <c r="R16" s="91"/>
    </row>
    <row r="17" spans="1:18">
      <c r="A17" s="91" t="s">
        <v>873</v>
      </c>
      <c r="B17" s="443">
        <f>INDEX('Atmos. &amp; Ionos. Losses'!D32:D35,Frequency!L10,1)</f>
        <v>0.2</v>
      </c>
      <c r="C17" s="91" t="s">
        <v>860</v>
      </c>
      <c r="D17" s="434" t="s">
        <v>309</v>
      </c>
      <c r="E17" s="434"/>
      <c r="F17" s="434"/>
      <c r="G17" s="434"/>
      <c r="H17" s="434"/>
      <c r="I17" s="434"/>
      <c r="J17" s="91"/>
      <c r="K17" s="91"/>
      <c r="L17" s="91"/>
      <c r="M17" s="91"/>
      <c r="N17" s="91"/>
      <c r="O17" s="91"/>
      <c r="P17" s="91"/>
      <c r="Q17" s="91"/>
      <c r="R17" s="91"/>
    </row>
    <row r="18" spans="1:18">
      <c r="A18" s="91" t="s">
        <v>874</v>
      </c>
      <c r="B18" s="446">
        <v>0</v>
      </c>
      <c r="C18" s="91" t="s">
        <v>860</v>
      </c>
      <c r="D18" s="434" t="s">
        <v>317</v>
      </c>
      <c r="E18" s="434"/>
      <c r="F18" s="434"/>
      <c r="G18" s="434"/>
      <c r="H18" s="434"/>
      <c r="I18" s="434"/>
      <c r="J18" s="91"/>
      <c r="K18" s="91"/>
      <c r="L18" s="91"/>
      <c r="M18" s="91"/>
      <c r="N18" s="91"/>
      <c r="O18" s="91"/>
      <c r="P18" s="91"/>
      <c r="Q18" s="91"/>
      <c r="R18" s="91"/>
    </row>
    <row r="19" spans="1:18">
      <c r="A19" s="91" t="s">
        <v>569</v>
      </c>
      <c r="B19" s="39">
        <f>B11-SUM(B13:B18)</f>
        <v>-138.31751251545515</v>
      </c>
      <c r="C19" s="91" t="s">
        <v>885</v>
      </c>
      <c r="D19" s="434" t="s">
        <v>570</v>
      </c>
      <c r="E19" s="434"/>
      <c r="F19" s="434"/>
      <c r="G19" s="434"/>
      <c r="H19" s="434"/>
      <c r="I19" s="434"/>
      <c r="J19" s="91"/>
      <c r="K19" s="91"/>
      <c r="L19" s="91"/>
      <c r="M19" s="91"/>
      <c r="N19" s="91"/>
      <c r="O19" s="91"/>
      <c r="P19" s="91"/>
      <c r="Q19" s="91"/>
      <c r="R19" s="91"/>
    </row>
    <row r="20" spans="1:18">
      <c r="A20" s="63" t="s">
        <v>441</v>
      </c>
      <c r="B20" s="23"/>
      <c r="C20" s="23"/>
      <c r="D20" s="23"/>
      <c r="E20" s="23"/>
      <c r="F20" s="23"/>
      <c r="G20" s="23"/>
      <c r="H20" s="23"/>
      <c r="I20" s="23"/>
      <c r="J20" s="36"/>
      <c r="K20" s="42"/>
      <c r="L20" s="42"/>
      <c r="M20" s="42"/>
      <c r="N20" s="46"/>
      <c r="O20" s="47"/>
      <c r="P20" s="47"/>
      <c r="Q20" s="47"/>
      <c r="R20" s="23"/>
    </row>
    <row r="21" spans="1:18" outlineLevel="1">
      <c r="A21" s="63" t="s">
        <v>938</v>
      </c>
      <c r="B21" s="23"/>
      <c r="C21" s="23"/>
      <c r="D21" s="23"/>
      <c r="E21" s="23"/>
      <c r="F21" s="23"/>
      <c r="G21" s="23"/>
      <c r="H21" s="23"/>
      <c r="I21" s="23"/>
      <c r="J21" s="36"/>
      <c r="K21" s="42"/>
      <c r="L21" s="42"/>
      <c r="M21" s="42"/>
      <c r="N21" s="46"/>
      <c r="O21" s="47"/>
      <c r="P21" s="47"/>
      <c r="Q21" s="47"/>
      <c r="R21" s="23"/>
    </row>
    <row r="22" spans="1:18" outlineLevel="1">
      <c r="A22" s="441" t="s">
        <v>908</v>
      </c>
      <c r="B22" s="443">
        <f>'Antenna Pointing Losses'!K63</f>
        <v>0</v>
      </c>
      <c r="C22" s="91" t="s">
        <v>860</v>
      </c>
      <c r="D22" s="434" t="s">
        <v>978</v>
      </c>
      <c r="E22" s="434"/>
      <c r="F22" s="434"/>
      <c r="G22" s="434"/>
      <c r="H22" s="434"/>
      <c r="I22" s="434"/>
      <c r="J22" s="91"/>
      <c r="K22" s="444"/>
      <c r="L22" s="91"/>
      <c r="M22" s="91"/>
      <c r="N22" s="91"/>
      <c r="O22" s="91"/>
      <c r="P22" s="91"/>
      <c r="Q22" s="91"/>
      <c r="R22" s="91"/>
    </row>
    <row r="23" spans="1:18" outlineLevel="1">
      <c r="A23" s="91" t="s">
        <v>916</v>
      </c>
      <c r="B23" s="444">
        <f>INDEX('Antenna Gain'!H26:H32,'Antenna Gain'!E24,1)</f>
        <v>1</v>
      </c>
      <c r="C23" s="91" t="s">
        <v>36</v>
      </c>
      <c r="D23" s="434" t="s">
        <v>750</v>
      </c>
      <c r="E23" s="434"/>
      <c r="F23" s="434"/>
      <c r="G23" s="434"/>
      <c r="H23" s="434"/>
      <c r="I23" s="434"/>
      <c r="J23" s="91"/>
      <c r="K23" s="444"/>
      <c r="L23" s="91"/>
      <c r="M23" s="91"/>
      <c r="N23" s="91"/>
      <c r="O23" s="91"/>
      <c r="P23" s="91"/>
      <c r="Q23" s="91"/>
      <c r="R23" s="91"/>
    </row>
    <row r="24" spans="1:18" outlineLevel="1">
      <c r="A24" s="91" t="s">
        <v>305</v>
      </c>
      <c r="B24" s="443">
        <f>Receivers!J55</f>
        <v>1.2490000000000001</v>
      </c>
      <c r="C24" s="91" t="s">
        <v>860</v>
      </c>
      <c r="D24" s="434" t="s">
        <v>427</v>
      </c>
      <c r="E24" s="434"/>
      <c r="F24" s="434"/>
      <c r="G24" s="434"/>
      <c r="H24" s="434"/>
      <c r="I24" s="434"/>
      <c r="J24" s="91"/>
      <c r="K24" s="91"/>
      <c r="L24" s="91"/>
      <c r="M24" s="91"/>
      <c r="N24" s="91"/>
      <c r="O24" s="91"/>
      <c r="P24" s="91"/>
      <c r="Q24" s="91"/>
      <c r="R24" s="91"/>
    </row>
    <row r="25" spans="1:18" outlineLevel="1">
      <c r="A25" s="91" t="s">
        <v>917</v>
      </c>
      <c r="B25" s="447">
        <f>Receivers!J70</f>
        <v>520.68865961277027</v>
      </c>
      <c r="C25" s="91" t="s">
        <v>888</v>
      </c>
      <c r="D25" s="434" t="s">
        <v>426</v>
      </c>
      <c r="E25" s="434"/>
      <c r="F25" s="434"/>
      <c r="G25" s="434"/>
      <c r="H25" s="434"/>
      <c r="I25" s="434"/>
      <c r="J25" s="91"/>
      <c r="K25" s="447"/>
      <c r="L25" s="91"/>
      <c r="M25" s="91"/>
      <c r="N25" s="91"/>
      <c r="O25" s="91"/>
      <c r="P25" s="91"/>
      <c r="Q25" s="91"/>
      <c r="R25" s="91"/>
    </row>
    <row r="26" spans="1:18" outlineLevel="1">
      <c r="A26" s="91" t="s">
        <v>918</v>
      </c>
      <c r="B26" s="444">
        <f>B23-B24-10*LOG10(B25)</f>
        <v>-27.414781190215166</v>
      </c>
      <c r="C26" s="91" t="s">
        <v>889</v>
      </c>
      <c r="D26" s="141" t="s">
        <v>398</v>
      </c>
      <c r="E26" s="434"/>
      <c r="F26" s="434"/>
      <c r="G26" s="434"/>
      <c r="H26" s="434"/>
      <c r="I26" s="434"/>
      <c r="J26" s="91"/>
      <c r="K26" s="444"/>
      <c r="L26" s="91"/>
      <c r="M26" s="91"/>
      <c r="N26" s="91"/>
      <c r="O26" s="91"/>
      <c r="P26" s="91"/>
      <c r="Q26" s="91"/>
      <c r="R26" s="91"/>
    </row>
    <row r="27" spans="1:18" outlineLevel="1">
      <c r="A27" s="91" t="s">
        <v>919</v>
      </c>
      <c r="B27" s="430">
        <f>B19-B22-F27+B26</f>
        <v>62.867706294329679</v>
      </c>
      <c r="C27" s="91" t="s">
        <v>894</v>
      </c>
      <c r="D27" s="452" t="s">
        <v>892</v>
      </c>
      <c r="E27" s="453"/>
      <c r="F27" s="453">
        <v>-228.6</v>
      </c>
      <c r="G27" s="454" t="s">
        <v>893</v>
      </c>
      <c r="H27" s="434"/>
      <c r="I27" s="434"/>
      <c r="J27" s="91"/>
      <c r="K27" s="302"/>
      <c r="L27" s="91"/>
      <c r="M27" s="91"/>
      <c r="N27" s="91"/>
      <c r="O27" s="91"/>
      <c r="P27" s="91"/>
      <c r="Q27" s="91"/>
      <c r="R27" s="91"/>
    </row>
    <row r="28" spans="1:18" outlineLevel="1">
      <c r="A28" s="91" t="s">
        <v>881</v>
      </c>
      <c r="B28" s="393">
        <v>100000</v>
      </c>
      <c r="C28" s="91" t="s">
        <v>895</v>
      </c>
      <c r="D28" s="434" t="s">
        <v>327</v>
      </c>
      <c r="E28" s="434"/>
      <c r="F28" s="434"/>
      <c r="G28" s="434"/>
      <c r="H28" s="434"/>
      <c r="I28" s="434"/>
      <c r="J28" s="91"/>
      <c r="K28" s="459"/>
      <c r="L28" s="91"/>
      <c r="M28" s="91"/>
      <c r="N28" s="91"/>
      <c r="O28" s="91"/>
      <c r="P28" s="91"/>
      <c r="Q28" s="91"/>
      <c r="R28" s="91"/>
    </row>
    <row r="29" spans="1:18" outlineLevel="1">
      <c r="A29" s="439" t="s">
        <v>896</v>
      </c>
      <c r="B29" s="455">
        <f>10*LOG10(B28)</f>
        <v>50</v>
      </c>
      <c r="C29" s="91" t="s">
        <v>894</v>
      </c>
      <c r="D29" s="434" t="s">
        <v>328</v>
      </c>
      <c r="E29" s="434"/>
      <c r="F29" s="434"/>
      <c r="G29" s="434"/>
      <c r="H29" s="434"/>
      <c r="I29" s="434"/>
      <c r="J29" s="91"/>
      <c r="K29" s="302"/>
      <c r="L29" s="91"/>
      <c r="M29" s="91"/>
      <c r="N29" s="91"/>
      <c r="O29" s="91"/>
      <c r="P29" s="91"/>
      <c r="Q29" s="91"/>
      <c r="R29" s="91"/>
    </row>
    <row r="30" spans="1:18" outlineLevel="1">
      <c r="A30" s="91" t="s">
        <v>443</v>
      </c>
      <c r="B30" s="430">
        <f>B27-B29</f>
        <v>12.867706294329679</v>
      </c>
      <c r="C30" s="91" t="s">
        <v>860</v>
      </c>
      <c r="D30" s="434" t="s">
        <v>818</v>
      </c>
      <c r="E30" s="434"/>
      <c r="F30" s="434"/>
      <c r="G30" s="434"/>
      <c r="H30" s="434"/>
      <c r="I30" s="434"/>
      <c r="J30" s="91"/>
      <c r="K30" s="302"/>
      <c r="L30" s="91"/>
      <c r="M30" s="91"/>
      <c r="N30" s="91"/>
      <c r="O30" s="91"/>
      <c r="P30" s="91"/>
      <c r="Q30" s="91"/>
      <c r="R30" s="91"/>
    </row>
    <row r="31" spans="1:18" outlineLevel="1">
      <c r="A31" s="91"/>
      <c r="B31" s="466"/>
      <c r="C31" s="91"/>
      <c r="D31" s="434"/>
      <c r="E31" s="434"/>
      <c r="F31" s="434"/>
      <c r="G31" s="434"/>
      <c r="H31" s="434"/>
      <c r="I31" s="434"/>
      <c r="J31" s="91"/>
      <c r="K31" s="302"/>
      <c r="L31" s="91"/>
      <c r="M31" s="91"/>
      <c r="N31" s="91"/>
      <c r="O31" s="91"/>
      <c r="P31" s="91"/>
      <c r="Q31" s="91"/>
      <c r="R31" s="91"/>
    </row>
    <row r="32" spans="1:18" outlineLevel="1">
      <c r="A32" s="91" t="s">
        <v>428</v>
      </c>
      <c r="B32" s="462" t="str">
        <f>INDEX('Modulation-Demodulation Method'!C6:C23,'Modulation-Demodulation Method'!E3,1)</f>
        <v>BPSK</v>
      </c>
      <c r="C32" s="440" t="s">
        <v>818</v>
      </c>
      <c r="D32" s="465" t="s">
        <v>431</v>
      </c>
      <c r="E32" s="434"/>
      <c r="F32" s="434"/>
      <c r="G32" s="434"/>
      <c r="H32" s="434"/>
      <c r="I32" s="434"/>
      <c r="J32" s="91"/>
      <c r="K32" s="302"/>
      <c r="L32" s="91"/>
      <c r="M32" s="91"/>
      <c r="N32" s="91"/>
      <c r="O32" s="91"/>
      <c r="P32" s="91"/>
      <c r="Q32" s="91"/>
      <c r="R32" s="91"/>
    </row>
    <row r="33" spans="1:18" outlineLevel="1">
      <c r="A33" s="91" t="s">
        <v>425</v>
      </c>
      <c r="B33" s="464" t="str">
        <f>INDEX('Modulation-Demodulation Method'!D6:D23,'Modulation-Demodulation Method'!E3,1)</f>
        <v>Convolutional R=1/2, K=7</v>
      </c>
      <c r="C33" s="463"/>
      <c r="D33" s="438" t="s">
        <v>432</v>
      </c>
      <c r="E33" s="434"/>
      <c r="F33" s="434"/>
      <c r="G33" s="434"/>
      <c r="H33" s="434"/>
      <c r="I33" s="434"/>
      <c r="J33" s="91"/>
      <c r="K33" s="302"/>
      <c r="L33" s="91"/>
      <c r="M33" s="91"/>
      <c r="N33" s="91"/>
      <c r="O33" s="91"/>
      <c r="P33" s="91"/>
      <c r="Q33" s="91"/>
      <c r="R33" s="91"/>
    </row>
    <row r="34" spans="1:18" outlineLevel="1">
      <c r="A34" s="91"/>
      <c r="B34" s="466"/>
      <c r="C34" s="91"/>
      <c r="D34" s="434"/>
      <c r="E34" s="434"/>
      <c r="F34" s="434"/>
      <c r="G34" s="434"/>
      <c r="H34" s="434"/>
      <c r="I34" s="434"/>
      <c r="J34" s="91"/>
      <c r="K34" s="302"/>
      <c r="L34" s="91"/>
      <c r="M34" s="91"/>
      <c r="N34" s="91"/>
      <c r="O34" s="91"/>
      <c r="P34" s="91"/>
      <c r="Q34" s="91"/>
      <c r="R34" s="91"/>
    </row>
    <row r="35" spans="1:18" outlineLevel="1">
      <c r="A35" s="91" t="s">
        <v>330</v>
      </c>
      <c r="B35" s="431">
        <f>INDEX('Modulation-Demodulation Method'!E6:E23,'Modulation-Demodulation Method'!E3,1)</f>
        <v>9.9999999999999995E-7</v>
      </c>
      <c r="C35" s="440"/>
      <c r="D35" s="438" t="s">
        <v>433</v>
      </c>
      <c r="E35" s="434"/>
      <c r="F35" s="434"/>
      <c r="G35" s="434"/>
      <c r="H35" s="434"/>
      <c r="I35" s="434"/>
      <c r="J35" s="91"/>
      <c r="K35" s="91"/>
      <c r="L35" s="91"/>
      <c r="M35" s="91"/>
      <c r="N35" s="91"/>
      <c r="O35" s="91"/>
      <c r="P35" s="91"/>
      <c r="Q35" s="91"/>
      <c r="R35" s="91"/>
    </row>
    <row r="36" spans="1:18" outlineLevel="1">
      <c r="A36" s="91"/>
      <c r="B36" s="467"/>
      <c r="C36" s="440"/>
      <c r="D36" s="438"/>
      <c r="E36" s="434"/>
      <c r="F36" s="434"/>
      <c r="G36" s="434"/>
      <c r="H36" s="434"/>
      <c r="I36" s="434"/>
      <c r="J36" s="91"/>
      <c r="K36" s="91"/>
      <c r="L36" s="91"/>
      <c r="M36" s="91"/>
      <c r="N36" s="91"/>
      <c r="O36" s="91"/>
      <c r="P36" s="91"/>
      <c r="Q36" s="91"/>
      <c r="R36" s="91"/>
    </row>
    <row r="37" spans="1:18" outlineLevel="1">
      <c r="A37" s="91" t="s">
        <v>361</v>
      </c>
      <c r="B37" s="468">
        <f>'Modulation-Demodulation Method'!E25</f>
        <v>0.5</v>
      </c>
      <c r="C37" s="91" t="s">
        <v>860</v>
      </c>
      <c r="D37" s="434" t="s">
        <v>435</v>
      </c>
      <c r="E37" s="434"/>
      <c r="F37" s="434"/>
      <c r="G37" s="434"/>
      <c r="H37" s="434"/>
      <c r="I37" s="434"/>
      <c r="J37" s="91"/>
      <c r="K37" s="91"/>
      <c r="L37" s="91"/>
      <c r="M37" s="91"/>
      <c r="N37" s="91"/>
      <c r="O37" s="91"/>
      <c r="P37" s="91"/>
      <c r="Q37" s="91"/>
      <c r="R37" s="91"/>
    </row>
    <row r="38" spans="1:18" outlineLevel="1">
      <c r="A38" s="91"/>
      <c r="B38" s="468"/>
      <c r="C38" s="91"/>
      <c r="D38" s="434"/>
      <c r="E38" s="434"/>
      <c r="F38" s="434"/>
      <c r="G38" s="434"/>
      <c r="H38" s="434"/>
      <c r="I38" s="434"/>
      <c r="J38" s="91"/>
      <c r="K38" s="91"/>
      <c r="L38" s="91"/>
      <c r="M38" s="91"/>
      <c r="N38" s="91"/>
      <c r="O38" s="91"/>
      <c r="P38" s="91"/>
      <c r="Q38" s="91"/>
      <c r="R38" s="91"/>
    </row>
    <row r="39" spans="1:18" outlineLevel="1">
      <c r="A39" s="91" t="s">
        <v>882</v>
      </c>
      <c r="B39" s="469">
        <f>INDEX('Modulation-Demodulation Method'!F6:F23,'Modulation-Demodulation Method'!E3,1)</f>
        <v>4.8</v>
      </c>
      <c r="C39" s="91" t="s">
        <v>860</v>
      </c>
      <c r="D39" s="434" t="s">
        <v>436</v>
      </c>
      <c r="E39" s="434"/>
      <c r="F39" s="434"/>
      <c r="G39" s="434"/>
      <c r="H39" s="434"/>
      <c r="I39" s="434"/>
      <c r="J39" s="91"/>
      <c r="K39" s="444"/>
      <c r="L39" s="91"/>
      <c r="M39" s="91"/>
      <c r="N39" s="91"/>
      <c r="O39" s="91"/>
      <c r="P39" s="91"/>
      <c r="Q39" s="91"/>
      <c r="R39" s="91"/>
    </row>
    <row r="40" spans="1:18" outlineLevel="1">
      <c r="A40" s="91"/>
      <c r="B40" s="469"/>
      <c r="C40" s="91"/>
      <c r="D40" s="434"/>
      <c r="E40" s="434"/>
      <c r="F40" s="434"/>
      <c r="G40" s="434"/>
      <c r="H40" s="434"/>
      <c r="I40" s="434"/>
      <c r="J40" s="91"/>
      <c r="K40" s="444"/>
      <c r="L40" s="91"/>
      <c r="M40" s="91"/>
      <c r="N40" s="91"/>
      <c r="O40" s="91"/>
      <c r="P40" s="91"/>
      <c r="Q40" s="91"/>
      <c r="R40" s="91"/>
    </row>
    <row r="41" spans="1:18" outlineLevel="1">
      <c r="A41" s="91" t="s">
        <v>362</v>
      </c>
      <c r="B41" s="432">
        <f>'Modulation-Demodulation Method'!H5</f>
        <v>5.3</v>
      </c>
      <c r="C41" s="91" t="s">
        <v>860</v>
      </c>
      <c r="D41" s="434" t="s">
        <v>374</v>
      </c>
      <c r="E41" s="434"/>
      <c r="F41" s="434"/>
      <c r="G41" s="434"/>
      <c r="H41" s="434"/>
      <c r="I41" s="434"/>
      <c r="J41" s="91"/>
      <c r="K41" s="444"/>
      <c r="L41" s="91"/>
      <c r="M41" s="91"/>
      <c r="N41" s="91"/>
      <c r="O41" s="91"/>
      <c r="P41" s="91"/>
      <c r="Q41" s="91"/>
      <c r="R41" s="91"/>
    </row>
    <row r="42" spans="1:18" ht="13.5" outlineLevel="1" thickBot="1">
      <c r="A42" s="91"/>
      <c r="B42" s="469"/>
      <c r="C42" s="91"/>
      <c r="D42" s="434"/>
      <c r="E42" s="434"/>
      <c r="F42" s="434"/>
      <c r="G42" s="434"/>
      <c r="H42" s="434"/>
      <c r="I42" s="434"/>
      <c r="J42" s="91"/>
      <c r="K42" s="444"/>
      <c r="L42" s="91"/>
      <c r="M42" s="91"/>
      <c r="N42" s="91"/>
      <c r="O42" s="91"/>
      <c r="P42" s="91"/>
      <c r="Q42" s="91"/>
      <c r="R42" s="91"/>
    </row>
    <row r="43" spans="1:18" ht="13.5" outlineLevel="1" thickBot="1">
      <c r="A43" s="120" t="s">
        <v>883</v>
      </c>
      <c r="B43" s="40">
        <f>B30-B41</f>
        <v>7.5677062943296791</v>
      </c>
      <c r="C43" s="91" t="s">
        <v>860</v>
      </c>
      <c r="D43" s="434"/>
      <c r="E43" s="434"/>
      <c r="F43" s="434"/>
      <c r="G43" s="434"/>
      <c r="H43" s="434"/>
      <c r="I43" s="434"/>
      <c r="J43" s="91"/>
      <c r="K43" s="444"/>
      <c r="L43" s="91"/>
      <c r="M43" s="91"/>
      <c r="N43" s="91"/>
      <c r="O43" s="91"/>
      <c r="P43" s="91"/>
      <c r="Q43" s="91"/>
      <c r="R43" s="91"/>
    </row>
    <row r="44" spans="1:18" outlineLevel="1">
      <c r="A44" s="91"/>
      <c r="B44" s="91"/>
      <c r="C44" s="91"/>
      <c r="D44" s="434"/>
      <c r="E44" s="434"/>
      <c r="F44" s="434"/>
      <c r="G44" s="434"/>
      <c r="H44" s="434"/>
      <c r="I44" s="434"/>
      <c r="J44" s="91"/>
      <c r="K44" s="460"/>
      <c r="L44" s="91"/>
      <c r="M44" s="91"/>
      <c r="N44" s="91"/>
      <c r="O44" s="91"/>
      <c r="P44" s="91"/>
      <c r="Q44" s="91"/>
      <c r="R44" s="91"/>
    </row>
    <row r="45" spans="1:18" outlineLevel="1">
      <c r="A45" s="91"/>
      <c r="B45" s="91"/>
      <c r="C45" s="91"/>
      <c r="D45" s="434"/>
      <c r="E45" s="434"/>
      <c r="F45" s="434"/>
      <c r="G45" s="434"/>
      <c r="H45" s="434"/>
      <c r="I45" s="434"/>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c r="A47" s="458" t="s">
        <v>920</v>
      </c>
      <c r="B47" s="42"/>
      <c r="C47" s="42"/>
      <c r="D47" s="42"/>
      <c r="E47" s="400" t="s">
        <v>439</v>
      </c>
      <c r="F47" s="47"/>
      <c r="G47" s="47"/>
      <c r="H47" s="47"/>
      <c r="I47" s="23"/>
      <c r="J47" s="23"/>
      <c r="K47" s="23"/>
      <c r="L47" s="23"/>
      <c r="M47" s="23"/>
      <c r="N47" s="23"/>
      <c r="O47" s="23"/>
      <c r="P47" s="23"/>
      <c r="Q47" s="23"/>
      <c r="R47" s="23"/>
    </row>
    <row r="48" spans="1:18" outlineLevel="1">
      <c r="A48" s="36" t="s">
        <v>939</v>
      </c>
      <c r="B48" s="42"/>
      <c r="C48" s="42"/>
      <c r="D48" s="42"/>
      <c r="E48" s="46"/>
      <c r="F48" s="47"/>
      <c r="G48" s="47"/>
      <c r="H48" s="47"/>
      <c r="I48" s="23"/>
      <c r="J48" s="23"/>
      <c r="K48" s="23"/>
      <c r="L48" s="23"/>
      <c r="M48" s="23"/>
      <c r="N48" s="23"/>
      <c r="O48" s="23"/>
      <c r="P48" s="23"/>
      <c r="Q48" s="23"/>
      <c r="R48" s="23"/>
    </row>
    <row r="49" spans="1:18" outlineLevel="1">
      <c r="A49" s="91" t="s">
        <v>908</v>
      </c>
      <c r="B49" s="444">
        <f>'Antenna Pointing Losses'!K63</f>
        <v>0</v>
      </c>
      <c r="C49" s="91" t="s">
        <v>860</v>
      </c>
      <c r="D49" s="434" t="s">
        <v>978</v>
      </c>
      <c r="E49" s="434"/>
      <c r="F49" s="434"/>
      <c r="G49" s="434"/>
      <c r="H49" s="434"/>
      <c r="I49" s="434"/>
      <c r="J49" s="91"/>
      <c r="K49" s="91"/>
      <c r="L49" s="91"/>
      <c r="M49" s="91"/>
      <c r="N49" s="91"/>
      <c r="O49" s="91"/>
      <c r="P49" s="91"/>
      <c r="Q49" s="91"/>
      <c r="R49" s="91"/>
    </row>
    <row r="50" spans="1:18" outlineLevel="1">
      <c r="A50" s="91" t="s">
        <v>916</v>
      </c>
      <c r="B50" s="444">
        <f>INDEX('Antenna Gain'!H26:H32,'Antenna Gain'!E24,1)</f>
        <v>1</v>
      </c>
      <c r="C50" s="91" t="s">
        <v>36</v>
      </c>
      <c r="D50" s="434" t="s">
        <v>750</v>
      </c>
      <c r="E50" s="434"/>
      <c r="F50" s="434"/>
      <c r="G50" s="434"/>
      <c r="H50" s="434"/>
      <c r="I50" s="434"/>
      <c r="J50" s="91"/>
      <c r="K50" s="91"/>
      <c r="L50" s="91"/>
      <c r="M50" s="91"/>
      <c r="N50" s="91"/>
      <c r="O50" s="91"/>
      <c r="P50" s="91"/>
      <c r="Q50" s="91"/>
      <c r="R50" s="91"/>
    </row>
    <row r="51" spans="1:18" outlineLevel="1">
      <c r="A51" s="91" t="s">
        <v>305</v>
      </c>
      <c r="B51" s="444">
        <f>Receivers!J55</f>
        <v>1.2490000000000001</v>
      </c>
      <c r="C51" s="91" t="s">
        <v>860</v>
      </c>
      <c r="D51" s="434" t="s">
        <v>427</v>
      </c>
      <c r="E51" s="434"/>
      <c r="F51" s="434"/>
      <c r="G51" s="434"/>
      <c r="H51" s="434"/>
      <c r="I51" s="434"/>
      <c r="J51" s="91"/>
      <c r="K51" s="91"/>
      <c r="L51" s="91"/>
      <c r="M51" s="91"/>
      <c r="N51" s="91"/>
      <c r="O51" s="91"/>
      <c r="P51" s="91"/>
      <c r="Q51" s="91"/>
      <c r="R51" s="91"/>
    </row>
    <row r="52" spans="1:18" outlineLevel="1">
      <c r="A52" s="91" t="s">
        <v>917</v>
      </c>
      <c r="B52" s="447">
        <f>Receivers!J70</f>
        <v>520.68865961277027</v>
      </c>
      <c r="C52" s="91" t="s">
        <v>888</v>
      </c>
      <c r="D52" s="434" t="s">
        <v>426</v>
      </c>
      <c r="E52" s="434"/>
      <c r="F52" s="434"/>
      <c r="G52" s="434"/>
      <c r="H52" s="434"/>
      <c r="I52" s="434"/>
      <c r="J52" s="91"/>
      <c r="K52" s="91"/>
      <c r="L52" s="91"/>
      <c r="M52" s="91"/>
      <c r="N52" s="91"/>
      <c r="O52" s="91"/>
      <c r="P52" s="91"/>
      <c r="Q52" s="91"/>
      <c r="R52" s="91"/>
    </row>
    <row r="53" spans="1:18" outlineLevel="1">
      <c r="A53" s="91" t="s">
        <v>918</v>
      </c>
      <c r="B53" s="444">
        <f>B50-B51-10*LOG10(B52)</f>
        <v>-27.414781190215166</v>
      </c>
      <c r="C53" s="91" t="s">
        <v>889</v>
      </c>
      <c r="D53" s="434" t="s">
        <v>399</v>
      </c>
      <c r="E53" s="434"/>
      <c r="F53" s="434"/>
      <c r="G53" s="434"/>
      <c r="H53" s="434"/>
      <c r="I53" s="434"/>
      <c r="J53" s="91"/>
      <c r="K53" s="91"/>
      <c r="L53" s="91"/>
      <c r="M53" s="91"/>
      <c r="N53" s="91"/>
      <c r="O53" s="91"/>
      <c r="P53" s="91"/>
      <c r="Q53" s="91"/>
      <c r="R53" s="91"/>
    </row>
    <row r="54" spans="1:18" outlineLevel="1">
      <c r="A54" s="91"/>
      <c r="B54" s="444"/>
      <c r="C54" s="91"/>
      <c r="D54" s="434"/>
      <c r="E54" s="434"/>
      <c r="F54" s="434"/>
      <c r="G54" s="434"/>
      <c r="H54" s="434"/>
      <c r="I54" s="434"/>
      <c r="J54" s="91"/>
      <c r="K54" s="91"/>
      <c r="L54" s="91"/>
      <c r="M54" s="91"/>
      <c r="N54" s="91"/>
      <c r="O54" s="91"/>
      <c r="P54" s="91"/>
      <c r="Q54" s="91"/>
      <c r="R54" s="91"/>
    </row>
    <row r="55" spans="1:18" outlineLevel="1">
      <c r="A55" s="91" t="s">
        <v>921</v>
      </c>
      <c r="B55" s="353">
        <f>B19-B49+B50-B51</f>
        <v>-138.56651251545514</v>
      </c>
      <c r="C55" s="91" t="s">
        <v>885</v>
      </c>
      <c r="D55" s="434" t="s">
        <v>400</v>
      </c>
      <c r="E55" s="434"/>
      <c r="F55" s="434"/>
      <c r="G55" s="434"/>
      <c r="H55" s="434"/>
      <c r="I55" s="434"/>
      <c r="J55" s="91"/>
      <c r="K55" s="91"/>
      <c r="L55" s="91"/>
      <c r="M55" s="91"/>
      <c r="N55" s="91"/>
      <c r="O55" s="91"/>
      <c r="P55" s="91"/>
      <c r="Q55" s="91"/>
      <c r="R55" s="91"/>
    </row>
    <row r="56" spans="1:18" outlineLevel="1">
      <c r="A56" s="91"/>
      <c r="B56" s="302"/>
      <c r="C56" s="91"/>
      <c r="D56" s="434"/>
      <c r="E56" s="434"/>
      <c r="F56" s="434"/>
      <c r="G56" s="434"/>
      <c r="H56" s="434"/>
      <c r="I56" s="434"/>
      <c r="J56" s="91"/>
      <c r="K56" s="91"/>
      <c r="L56" s="91"/>
      <c r="M56" s="91"/>
      <c r="N56" s="91"/>
      <c r="O56" s="91"/>
      <c r="P56" s="91"/>
      <c r="Q56" s="91"/>
      <c r="R56" s="91"/>
    </row>
    <row r="57" spans="1:18" outlineLevel="1">
      <c r="A57" s="91" t="s">
        <v>922</v>
      </c>
      <c r="B57" s="393">
        <v>100000</v>
      </c>
      <c r="C57" s="91" t="s">
        <v>900</v>
      </c>
      <c r="D57" s="434" t="s">
        <v>437</v>
      </c>
      <c r="E57" s="434"/>
      <c r="F57" s="434"/>
      <c r="G57" s="434"/>
      <c r="H57" s="400" t="s">
        <v>140</v>
      </c>
      <c r="I57" s="434"/>
      <c r="J57" s="91"/>
      <c r="K57" s="91"/>
      <c r="L57" s="91"/>
      <c r="M57" s="91"/>
      <c r="N57" s="91"/>
      <c r="O57" s="91"/>
      <c r="P57" s="91"/>
      <c r="Q57" s="91"/>
      <c r="R57" s="91"/>
    </row>
    <row r="58" spans="1:18" outlineLevel="1">
      <c r="A58" s="91"/>
      <c r="B58" s="456"/>
      <c r="C58" s="91"/>
      <c r="D58" s="434"/>
      <c r="E58" s="434"/>
      <c r="F58" s="434"/>
      <c r="G58" s="434"/>
      <c r="H58" s="434"/>
      <c r="I58" s="434"/>
      <c r="J58" s="91"/>
      <c r="K58" s="91"/>
      <c r="L58" s="91"/>
      <c r="M58" s="91"/>
      <c r="N58" s="91"/>
      <c r="O58" s="91"/>
      <c r="P58" s="91"/>
      <c r="Q58" s="91"/>
      <c r="R58" s="91"/>
    </row>
    <row r="59" spans="1:18" outlineLevel="1">
      <c r="A59" s="91" t="s">
        <v>438</v>
      </c>
      <c r="B59" s="353">
        <f>F27+10*LOG10(B52)+10*LOG10(B57)</f>
        <v>-151.43421880978482</v>
      </c>
      <c r="C59" s="91" t="s">
        <v>885</v>
      </c>
      <c r="D59" s="434" t="s">
        <v>440</v>
      </c>
      <c r="E59" s="434"/>
      <c r="F59" s="434"/>
      <c r="G59" s="434"/>
      <c r="H59" s="434"/>
      <c r="I59" s="434"/>
      <c r="J59" s="91"/>
      <c r="K59" s="91"/>
      <c r="L59" s="91"/>
      <c r="M59" s="91"/>
      <c r="N59" s="91"/>
      <c r="O59" s="91"/>
      <c r="P59" s="91"/>
      <c r="Q59" s="91"/>
      <c r="R59" s="91"/>
    </row>
    <row r="60" spans="1:18" outlineLevel="1">
      <c r="A60" s="91"/>
      <c r="B60" s="457"/>
      <c r="C60" s="91"/>
      <c r="D60" s="434"/>
      <c r="E60" s="434"/>
      <c r="F60" s="434"/>
      <c r="G60" s="434"/>
      <c r="H60" s="434"/>
      <c r="I60" s="434"/>
      <c r="J60" s="91"/>
      <c r="K60" s="91"/>
      <c r="L60" s="91"/>
      <c r="M60" s="91"/>
      <c r="N60" s="91"/>
      <c r="O60" s="91"/>
      <c r="P60" s="91"/>
      <c r="Q60" s="91"/>
      <c r="R60" s="91"/>
    </row>
    <row r="61" spans="1:18" outlineLevel="1">
      <c r="A61" s="91" t="s">
        <v>902</v>
      </c>
      <c r="B61" s="430">
        <f>B55-B59</f>
        <v>12.867706294329679</v>
      </c>
      <c r="C61" s="91" t="s">
        <v>860</v>
      </c>
      <c r="D61" s="434" t="s">
        <v>402</v>
      </c>
      <c r="E61" s="434"/>
      <c r="F61" s="434"/>
      <c r="G61" s="434"/>
      <c r="H61" s="434"/>
      <c r="I61" s="434"/>
      <c r="J61" s="91"/>
      <c r="K61" s="91"/>
      <c r="L61" s="91"/>
      <c r="M61" s="91"/>
      <c r="N61" s="91"/>
      <c r="O61" s="91"/>
      <c r="P61" s="91"/>
      <c r="Q61" s="91"/>
      <c r="R61" s="91"/>
    </row>
    <row r="62" spans="1:18" outlineLevel="1">
      <c r="A62" s="91"/>
      <c r="B62" s="302"/>
      <c r="C62" s="91"/>
      <c r="D62" s="434"/>
      <c r="E62" s="434"/>
      <c r="F62" s="434"/>
      <c r="G62" s="434"/>
      <c r="H62" s="434"/>
      <c r="I62" s="434"/>
      <c r="J62" s="91"/>
      <c r="K62" s="91"/>
      <c r="L62" s="91"/>
      <c r="M62" s="91"/>
      <c r="N62" s="91"/>
      <c r="O62" s="91"/>
      <c r="P62" s="91"/>
      <c r="Q62" s="91"/>
      <c r="R62" s="91"/>
    </row>
    <row r="63" spans="1:18" outlineLevel="1">
      <c r="A63" s="91" t="s">
        <v>376</v>
      </c>
      <c r="B63" s="348">
        <v>4.8</v>
      </c>
      <c r="C63" s="91" t="s">
        <v>860</v>
      </c>
      <c r="D63" s="434" t="s">
        <v>403</v>
      </c>
      <c r="E63" s="434"/>
      <c r="F63" s="434"/>
      <c r="G63" s="434"/>
      <c r="H63" s="434"/>
      <c r="I63" s="434"/>
      <c r="J63" s="91"/>
      <c r="K63" s="91"/>
      <c r="L63" s="91"/>
      <c r="M63" s="91"/>
      <c r="N63" s="91"/>
      <c r="O63" s="91"/>
      <c r="P63" s="91"/>
      <c r="Q63" s="91"/>
      <c r="R63" s="91"/>
    </row>
    <row r="64" spans="1:18" ht="13.5" outlineLevel="1" thickBot="1">
      <c r="A64" s="91"/>
      <c r="B64" s="302"/>
      <c r="C64" s="91"/>
      <c r="D64" s="434"/>
      <c r="E64" s="434"/>
      <c r="F64" s="434"/>
      <c r="G64" s="434"/>
      <c r="H64" s="434"/>
      <c r="I64" s="434"/>
      <c r="J64" s="91"/>
      <c r="K64" s="91"/>
      <c r="L64" s="91"/>
      <c r="M64" s="91"/>
      <c r="N64" s="91"/>
      <c r="O64" s="91"/>
      <c r="P64" s="91"/>
      <c r="Q64" s="91"/>
      <c r="R64" s="91"/>
    </row>
    <row r="65" spans="1:18" ht="13.5" outlineLevel="1" thickBot="1">
      <c r="A65" s="91" t="s">
        <v>397</v>
      </c>
      <c r="B65" s="40">
        <f>B61-B63</f>
        <v>8.0677062943296782</v>
      </c>
      <c r="C65" s="91" t="s">
        <v>860</v>
      </c>
      <c r="D65" s="434"/>
      <c r="E65" s="434"/>
      <c r="F65" s="434"/>
      <c r="G65" s="434"/>
      <c r="H65" s="434"/>
      <c r="I65" s="434"/>
      <c r="J65" s="91"/>
      <c r="K65" s="91"/>
      <c r="L65" s="91"/>
      <c r="M65" s="91"/>
      <c r="N65" s="91"/>
      <c r="O65" s="91"/>
      <c r="P65" s="91"/>
      <c r="Q65" s="91"/>
      <c r="R65" s="91"/>
    </row>
    <row r="66" spans="1:18" outlineLevel="1">
      <c r="A66" s="98"/>
      <c r="B66" s="98"/>
      <c r="C66" s="98"/>
      <c r="D66" s="434"/>
      <c r="E66" s="434"/>
      <c r="F66" s="434"/>
      <c r="G66" s="434"/>
      <c r="H66" s="434"/>
      <c r="I66" s="434"/>
      <c r="J66" s="91"/>
      <c r="K66" s="91"/>
      <c r="L66" s="91"/>
      <c r="M66" s="91"/>
      <c r="N66" s="91"/>
      <c r="O66" s="91"/>
      <c r="P66" s="91"/>
      <c r="Q66" s="91"/>
      <c r="R66" s="91"/>
    </row>
    <row r="67" spans="1:18" outlineLevel="1">
      <c r="A67" s="91"/>
      <c r="B67" s="91"/>
      <c r="C67" s="91"/>
      <c r="D67" s="434"/>
      <c r="E67" s="434"/>
      <c r="F67" s="434"/>
      <c r="G67" s="434"/>
      <c r="H67" s="434"/>
      <c r="I67" s="434"/>
      <c r="J67" s="91"/>
      <c r="K67" s="91"/>
      <c r="L67" s="91"/>
      <c r="M67" s="91"/>
      <c r="N67" s="91"/>
      <c r="O67" s="91"/>
      <c r="P67" s="91"/>
      <c r="Q67" s="91"/>
      <c r="R67" s="91"/>
    </row>
    <row r="68" spans="1:18" outlineLevel="1">
      <c r="A68" s="91"/>
      <c r="B68" s="91"/>
      <c r="C68" s="91"/>
      <c r="D68" s="434"/>
      <c r="E68" s="434"/>
      <c r="F68" s="434"/>
      <c r="G68" s="434"/>
      <c r="H68" s="434"/>
      <c r="I68" s="434"/>
      <c r="J68" s="91"/>
      <c r="K68" s="91"/>
      <c r="L68" s="91"/>
      <c r="M68" s="91"/>
      <c r="N68" s="91"/>
      <c r="O68" s="91"/>
      <c r="P68" s="91"/>
      <c r="Q68" s="91"/>
      <c r="R68" s="91"/>
    </row>
    <row r="69" spans="1:18">
      <c r="B69" s="38" t="s">
        <v>818</v>
      </c>
      <c r="C69" t="s">
        <v>818</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50" zoomScaleNormal="150" workbookViewId="0">
      <selection activeCell="B9" sqref="B9"/>
    </sheetView>
  </sheetViews>
  <sheetFormatPr defaultColWidth="8.85546875" defaultRowHeight="12.75" outlineLevelRow="1" outlineLevelCol="1"/>
  <cols>
    <col min="1" max="1" width="40" customWidth="1"/>
    <col min="2" max="2" width="15.140625" customWidth="1"/>
    <col min="3" max="3" width="12.42578125" customWidth="1"/>
    <col min="4" max="4" width="25.42578125" customWidth="1" outlineLevel="1"/>
    <col min="5" max="6" width="9.140625" customWidth="1" outlineLevel="1"/>
    <col min="7" max="7" width="9.42578125" customWidth="1" outlineLevel="1"/>
    <col min="8" max="8" width="9.140625" customWidth="1" outlineLevel="1"/>
    <col min="9" max="9" width="14.42578125" customWidth="1" outlineLevel="1"/>
    <col min="10" max="10" width="22.42578125" customWidth="1" outlineLevel="1"/>
  </cols>
  <sheetData>
    <row r="1" spans="1:18" ht="18">
      <c r="A1" s="43" t="str">
        <f>'Title Page'!F3</f>
        <v>OreSat - CS0</v>
      </c>
      <c r="B1" s="765" t="s">
        <v>140</v>
      </c>
      <c r="C1" s="44" t="s">
        <v>818</v>
      </c>
      <c r="D1" s="694" t="str">
        <f>'Title Page'!F3</f>
        <v>OreSat - CS0</v>
      </c>
      <c r="E1" s="58" t="s">
        <v>818</v>
      </c>
      <c r="F1" s="58" t="str">
        <f>'Title Page'!D23</f>
        <v>Date Data Last Modified:</v>
      </c>
      <c r="G1" s="58"/>
      <c r="H1" s="44"/>
      <c r="I1" s="44"/>
      <c r="J1" s="44"/>
      <c r="K1" s="44"/>
      <c r="L1" s="44"/>
      <c r="M1" s="44"/>
      <c r="N1" s="44"/>
      <c r="O1" s="44"/>
      <c r="P1" s="44"/>
      <c r="Q1" s="44"/>
      <c r="R1" s="44"/>
    </row>
    <row r="2" spans="1:18" ht="20.25">
      <c r="A2" s="45" t="s">
        <v>865</v>
      </c>
      <c r="B2" s="44"/>
      <c r="C2" s="44"/>
      <c r="D2" s="58" t="str">
        <f>'Title Page'!G1</f>
        <v xml:space="preserve"> Version: 2.5.5</v>
      </c>
      <c r="E2" s="58"/>
      <c r="F2" s="59" t="str">
        <f>'Title Page'!F23</f>
        <v>2018 October 19</v>
      </c>
      <c r="G2" s="58"/>
      <c r="H2" s="44"/>
      <c r="I2" s="44"/>
      <c r="J2" s="44"/>
      <c r="K2" s="44"/>
      <c r="L2" s="44"/>
      <c r="M2" s="44"/>
      <c r="N2" s="44"/>
      <c r="O2" s="44"/>
      <c r="P2" s="44"/>
      <c r="Q2" s="44"/>
      <c r="R2" s="44"/>
    </row>
    <row r="3" spans="1:18">
      <c r="A3" s="44"/>
      <c r="B3" s="44"/>
      <c r="C3" s="44"/>
      <c r="D3" s="58"/>
      <c r="E3" s="58"/>
      <c r="F3" s="58"/>
      <c r="G3" s="58"/>
      <c r="H3" s="44"/>
      <c r="I3" s="44"/>
      <c r="J3" s="44"/>
      <c r="K3" s="44"/>
      <c r="L3" s="44"/>
      <c r="M3" s="44"/>
      <c r="N3" s="44"/>
      <c r="O3" s="44"/>
      <c r="P3" s="44"/>
      <c r="Q3" s="44"/>
      <c r="R3" s="44"/>
    </row>
    <row r="4" spans="1:18">
      <c r="A4" s="29" t="s">
        <v>819</v>
      </c>
      <c r="B4" s="29" t="s">
        <v>820</v>
      </c>
      <c r="C4" s="29" t="s">
        <v>866</v>
      </c>
      <c r="D4" s="29" t="s">
        <v>867</v>
      </c>
      <c r="E4" s="37"/>
      <c r="F4" s="37"/>
      <c r="G4" s="37"/>
      <c r="H4" s="37"/>
      <c r="I4" s="37"/>
      <c r="J4" s="37"/>
      <c r="K4" s="37"/>
      <c r="L4" s="37"/>
      <c r="M4" s="37"/>
      <c r="N4" s="37"/>
      <c r="O4" s="37"/>
      <c r="P4" s="37"/>
      <c r="Q4" s="37"/>
      <c r="R4" s="37"/>
    </row>
    <row r="5" spans="1:18">
      <c r="A5" s="63" t="s">
        <v>868</v>
      </c>
      <c r="B5" s="23"/>
      <c r="C5" s="23"/>
      <c r="D5" s="23"/>
      <c r="E5" s="23"/>
      <c r="F5" s="23"/>
      <c r="G5" s="23"/>
      <c r="H5" s="23"/>
      <c r="I5" s="23"/>
      <c r="J5" s="23"/>
      <c r="K5" s="23"/>
      <c r="L5" s="23"/>
      <c r="M5" s="23"/>
      <c r="N5" s="23"/>
      <c r="O5" s="23"/>
      <c r="P5" s="23"/>
      <c r="Q5" s="23"/>
      <c r="R5" s="23"/>
    </row>
    <row r="6" spans="1:18">
      <c r="A6" s="91" t="s">
        <v>928</v>
      </c>
      <c r="B6" s="442">
        <f>Transmitters!E57</f>
        <v>2</v>
      </c>
      <c r="C6" s="91" t="s">
        <v>884</v>
      </c>
      <c r="D6" s="434" t="s">
        <v>412</v>
      </c>
      <c r="E6" s="434"/>
      <c r="F6" s="434"/>
      <c r="G6" s="434"/>
      <c r="H6" s="434"/>
      <c r="I6" s="434"/>
      <c r="J6" s="434"/>
      <c r="K6" s="91"/>
      <c r="L6" s="435" t="s">
        <v>408</v>
      </c>
      <c r="M6" s="426"/>
      <c r="N6" s="426"/>
      <c r="O6" s="426"/>
      <c r="P6" s="426"/>
      <c r="Q6" s="425"/>
      <c r="R6" s="91"/>
    </row>
    <row r="7" spans="1:18">
      <c r="A7" s="439" t="s">
        <v>890</v>
      </c>
      <c r="B7" s="132">
        <f>10*LOG10(B6)</f>
        <v>3.0102999566398121</v>
      </c>
      <c r="C7" s="91" t="s">
        <v>885</v>
      </c>
      <c r="D7" s="434" t="s">
        <v>404</v>
      </c>
      <c r="E7" s="434"/>
      <c r="F7" s="434"/>
      <c r="G7" s="434"/>
      <c r="H7" s="434"/>
      <c r="I7" s="434"/>
      <c r="J7" s="434"/>
      <c r="K7" s="91"/>
      <c r="L7" s="91"/>
      <c r="M7" s="91"/>
      <c r="N7" s="91"/>
      <c r="O7" s="91"/>
      <c r="P7" s="91"/>
      <c r="Q7" s="91"/>
      <c r="R7" s="91"/>
    </row>
    <row r="8" spans="1:18">
      <c r="A8" s="439" t="s">
        <v>891</v>
      </c>
      <c r="B8" s="353">
        <f>B7+30</f>
        <v>33.010299956639813</v>
      </c>
      <c r="C8" s="91" t="s">
        <v>886</v>
      </c>
      <c r="D8" s="434" t="s">
        <v>405</v>
      </c>
      <c r="E8" s="434"/>
      <c r="F8" s="434"/>
      <c r="G8" s="434"/>
      <c r="H8" s="434"/>
      <c r="I8" s="434"/>
      <c r="J8" s="434"/>
      <c r="K8" s="91"/>
      <c r="L8" s="91"/>
      <c r="M8" s="91"/>
      <c r="N8" s="91"/>
      <c r="O8" s="91"/>
      <c r="P8" s="91"/>
      <c r="Q8" s="91"/>
      <c r="R8" s="91"/>
    </row>
    <row r="9" spans="1:18">
      <c r="A9" s="91" t="s">
        <v>305</v>
      </c>
      <c r="B9" s="443">
        <f>Transmitters!I82</f>
        <v>1.643</v>
      </c>
      <c r="C9" s="91" t="s">
        <v>860</v>
      </c>
      <c r="D9" s="434" t="s">
        <v>414</v>
      </c>
      <c r="E9" s="434"/>
      <c r="F9" s="434"/>
      <c r="G9" s="434"/>
      <c r="H9" s="434"/>
      <c r="I9" s="434"/>
      <c r="J9" s="434"/>
      <c r="K9" s="91"/>
      <c r="L9" s="91"/>
      <c r="M9" s="91"/>
      <c r="N9" s="91"/>
      <c r="O9" s="91"/>
      <c r="P9" s="91"/>
      <c r="Q9" s="91"/>
      <c r="R9" s="91"/>
    </row>
    <row r="10" spans="1:18">
      <c r="A10" s="91" t="s">
        <v>916</v>
      </c>
      <c r="B10" s="442">
        <f>INDEX('Antenna Gain'!H43:H49,'Antenna Gain'!E41,1)</f>
        <v>1</v>
      </c>
      <c r="C10" s="91" t="s">
        <v>36</v>
      </c>
      <c r="D10" s="434" t="s">
        <v>753</v>
      </c>
      <c r="E10" s="434"/>
      <c r="F10" s="434"/>
      <c r="G10" s="434"/>
      <c r="H10" s="434"/>
      <c r="I10" s="434"/>
      <c r="J10" s="434"/>
      <c r="K10" s="91"/>
      <c r="L10" s="91"/>
      <c r="M10" s="91"/>
      <c r="N10" s="91"/>
      <c r="O10" s="91"/>
      <c r="P10" s="91"/>
      <c r="Q10" s="91"/>
      <c r="R10" s="91"/>
    </row>
    <row r="11" spans="1:18">
      <c r="A11" s="91" t="s">
        <v>870</v>
      </c>
      <c r="B11" s="132">
        <f>B7-B9+B10</f>
        <v>2.3672999566398119</v>
      </c>
      <c r="C11" s="91" t="s">
        <v>885</v>
      </c>
      <c r="D11" s="434" t="s">
        <v>903</v>
      </c>
      <c r="E11" s="434"/>
      <c r="F11" s="434"/>
      <c r="G11" s="434"/>
      <c r="H11" s="434"/>
      <c r="I11" s="434"/>
      <c r="J11" s="434"/>
      <c r="K11" s="91"/>
      <c r="L11" s="91"/>
      <c r="M11" s="91"/>
      <c r="N11" s="91"/>
      <c r="O11" s="91"/>
      <c r="P11" s="91"/>
      <c r="Q11" s="91"/>
      <c r="R11" s="91"/>
    </row>
    <row r="12" spans="1:18">
      <c r="A12" s="63" t="s">
        <v>871</v>
      </c>
      <c r="B12" s="64"/>
      <c r="C12" s="23"/>
      <c r="D12" s="23"/>
      <c r="E12" s="23"/>
      <c r="F12" s="23"/>
      <c r="G12" s="23"/>
      <c r="H12" s="23"/>
      <c r="I12" s="23"/>
      <c r="J12" s="23"/>
      <c r="K12" s="23"/>
      <c r="L12" s="23"/>
      <c r="M12" s="23"/>
      <c r="N12" s="23"/>
      <c r="O12" s="23"/>
      <c r="P12" s="23"/>
      <c r="Q12" s="23"/>
      <c r="R12" s="23"/>
    </row>
    <row r="13" spans="1:18">
      <c r="A13" s="91" t="s">
        <v>908</v>
      </c>
      <c r="B13" s="443">
        <f>'Antenna Pointing Losses'!K85</f>
        <v>0</v>
      </c>
      <c r="C13" s="91" t="s">
        <v>860</v>
      </c>
      <c r="D13" s="434" t="s">
        <v>754</v>
      </c>
      <c r="E13" s="434"/>
      <c r="F13" s="434"/>
      <c r="G13" s="434"/>
      <c r="H13" s="434"/>
      <c r="I13" s="434"/>
      <c r="J13" s="434"/>
      <c r="K13" s="91"/>
      <c r="L13" s="91"/>
      <c r="M13" s="91"/>
      <c r="N13" s="91"/>
      <c r="O13" s="91"/>
      <c r="P13" s="91"/>
      <c r="Q13" s="91"/>
      <c r="R13" s="91"/>
    </row>
    <row r="14" spans="1:18">
      <c r="A14" s="91" t="s">
        <v>306</v>
      </c>
      <c r="B14" s="442">
        <f>'Antenna Polarization Loss'!F60</f>
        <v>5.7437907597720189E-2</v>
      </c>
      <c r="C14" s="91" t="s">
        <v>860</v>
      </c>
      <c r="D14" s="434" t="s">
        <v>409</v>
      </c>
      <c r="E14" s="434"/>
      <c r="F14" s="434"/>
      <c r="G14" s="434"/>
      <c r="H14" s="434"/>
      <c r="I14" s="434"/>
      <c r="J14" s="434"/>
      <c r="K14" s="91"/>
      <c r="L14" s="91"/>
      <c r="M14" s="91"/>
      <c r="N14" s="91"/>
      <c r="O14" s="91"/>
      <c r="P14" s="91"/>
      <c r="Q14" s="91"/>
      <c r="R14" s="91"/>
    </row>
    <row r="15" spans="1:18">
      <c r="A15" s="91" t="s">
        <v>859</v>
      </c>
      <c r="B15" s="444">
        <f>Frequency!M18</f>
        <v>148.5169324637277</v>
      </c>
      <c r="C15" s="91" t="s">
        <v>860</v>
      </c>
      <c r="D15" s="434" t="s">
        <v>385</v>
      </c>
      <c r="E15" s="434"/>
      <c r="F15" s="434"/>
      <c r="G15" s="434"/>
      <c r="H15" s="434"/>
      <c r="I15" s="434"/>
      <c r="J15" s="434"/>
      <c r="K15" s="91"/>
      <c r="L15" s="91"/>
      <c r="M15" s="91"/>
      <c r="N15" s="91"/>
      <c r="O15" s="91"/>
      <c r="P15" s="91"/>
      <c r="Q15" s="91"/>
      <c r="R15" s="91"/>
    </row>
    <row r="16" spans="1:18">
      <c r="A16" s="91" t="s">
        <v>914</v>
      </c>
      <c r="B16" s="445">
        <f>'Atmos. &amp; Ionos. Losses'!D23</f>
        <v>1.1000000000000001</v>
      </c>
      <c r="C16" s="91" t="s">
        <v>860</v>
      </c>
      <c r="D16" s="434" t="s">
        <v>307</v>
      </c>
      <c r="E16" s="434"/>
      <c r="F16" s="434"/>
      <c r="G16" s="434"/>
      <c r="H16" s="434"/>
      <c r="I16" s="434"/>
      <c r="J16" s="434"/>
      <c r="K16" s="91"/>
      <c r="L16" s="91"/>
      <c r="M16" s="91"/>
      <c r="N16" s="91"/>
      <c r="O16" s="91"/>
      <c r="P16" s="91"/>
      <c r="Q16" s="91"/>
      <c r="R16" s="91"/>
    </row>
    <row r="17" spans="1:19">
      <c r="A17" s="91" t="s">
        <v>915</v>
      </c>
      <c r="B17" s="443">
        <f>INDEX('Atmos. &amp; Ionos. Losses'!D45:D48,Frequency!L16,1)</f>
        <v>0.4</v>
      </c>
      <c r="C17" s="91" t="s">
        <v>860</v>
      </c>
      <c r="D17" s="434" t="s">
        <v>309</v>
      </c>
      <c r="E17" s="434"/>
      <c r="F17" s="434"/>
      <c r="G17" s="434"/>
      <c r="H17" s="434"/>
      <c r="I17" s="434"/>
      <c r="J17" s="434"/>
      <c r="K17" s="91"/>
      <c r="L17" s="91"/>
      <c r="M17" s="91"/>
      <c r="N17" s="91"/>
      <c r="O17" s="91"/>
      <c r="P17" s="91"/>
      <c r="Q17" s="91"/>
      <c r="R17" s="91"/>
    </row>
    <row r="18" spans="1:19">
      <c r="A18" s="91" t="s">
        <v>909</v>
      </c>
      <c r="B18" s="446">
        <v>0</v>
      </c>
      <c r="C18" s="91" t="s">
        <v>860</v>
      </c>
      <c r="D18" s="434" t="s">
        <v>317</v>
      </c>
      <c r="E18" s="434"/>
      <c r="F18" s="434"/>
      <c r="G18" s="434"/>
      <c r="H18" s="434"/>
      <c r="I18" s="434"/>
      <c r="J18" s="434" t="s">
        <v>818</v>
      </c>
      <c r="K18" s="91"/>
      <c r="L18" s="91"/>
      <c r="M18" s="91"/>
      <c r="N18" s="91"/>
      <c r="O18" s="91"/>
      <c r="P18" s="91"/>
      <c r="Q18" s="91"/>
      <c r="R18" s="91"/>
    </row>
    <row r="19" spans="1:19">
      <c r="A19" s="91" t="s">
        <v>875</v>
      </c>
      <c r="B19" s="430">
        <f>B11-SUM(B13:B18)</f>
        <v>-147.7070704146856</v>
      </c>
      <c r="C19" s="91" t="s">
        <v>885</v>
      </c>
      <c r="D19" s="434" t="s">
        <v>424</v>
      </c>
      <c r="E19" s="434"/>
      <c r="F19" s="434"/>
      <c r="G19" s="434"/>
      <c r="H19" s="434"/>
      <c r="I19" s="434"/>
      <c r="J19" s="434"/>
      <c r="K19" s="91"/>
      <c r="L19" s="91"/>
      <c r="M19" s="91"/>
      <c r="N19" s="91"/>
      <c r="O19" s="91"/>
      <c r="P19" s="91"/>
      <c r="Q19" s="91"/>
      <c r="R19" s="91"/>
    </row>
    <row r="20" spans="1:19">
      <c r="A20" s="63" t="s">
        <v>407</v>
      </c>
      <c r="B20" s="23"/>
      <c r="C20" s="23"/>
      <c r="D20" s="23"/>
      <c r="E20" s="23"/>
      <c r="F20" s="23"/>
      <c r="G20" s="23"/>
      <c r="H20" s="23"/>
      <c r="I20" s="23"/>
      <c r="J20" s="36" t="s">
        <v>818</v>
      </c>
      <c r="K20" s="42"/>
      <c r="L20" s="42"/>
      <c r="M20" s="42"/>
      <c r="N20" s="42"/>
      <c r="O20" s="23"/>
      <c r="P20" s="23"/>
      <c r="Q20" s="23"/>
      <c r="R20" s="23"/>
      <c r="S20" s="135"/>
    </row>
    <row r="21" spans="1:19" outlineLevel="1">
      <c r="A21" s="63" t="s">
        <v>938</v>
      </c>
      <c r="B21" s="23"/>
      <c r="C21" s="23"/>
      <c r="D21" s="23"/>
      <c r="E21" s="23"/>
      <c r="F21" s="23"/>
      <c r="G21" s="23"/>
      <c r="H21" s="23"/>
      <c r="I21" s="23"/>
      <c r="J21" s="36" t="s">
        <v>818</v>
      </c>
      <c r="K21" s="42"/>
      <c r="L21" s="42"/>
      <c r="M21" s="42"/>
      <c r="N21" s="42"/>
      <c r="O21" s="23"/>
      <c r="P21" s="23"/>
      <c r="Q21" s="23"/>
      <c r="R21" s="23"/>
      <c r="S21" s="135"/>
    </row>
    <row r="22" spans="1:19" outlineLevel="1">
      <c r="A22" s="441" t="s">
        <v>897</v>
      </c>
      <c r="B22" s="443">
        <f>'Antenna Pointing Losses'!K102</f>
        <v>0.31396976431536944</v>
      </c>
      <c r="C22" s="91" t="s">
        <v>860</v>
      </c>
      <c r="D22" s="434" t="s">
        <v>758</v>
      </c>
      <c r="E22" s="434"/>
      <c r="F22" s="434"/>
      <c r="G22" s="434"/>
      <c r="H22" s="434"/>
      <c r="I22" s="434"/>
      <c r="J22" s="434"/>
      <c r="K22" s="444"/>
      <c r="L22" s="91"/>
      <c r="M22" s="91"/>
      <c r="N22" s="91"/>
      <c r="O22" s="91"/>
      <c r="P22" s="91"/>
      <c r="Q22" s="91"/>
      <c r="R22" s="91"/>
    </row>
    <row r="23" spans="1:19" outlineLevel="1">
      <c r="A23" s="91" t="s">
        <v>877</v>
      </c>
      <c r="B23" s="442">
        <f>INDEX('Antenna Gain'!N60:N63,'Antenna Gain'!E58,1)</f>
        <v>15.5</v>
      </c>
      <c r="C23" s="91" t="s">
        <v>36</v>
      </c>
      <c r="D23" s="434" t="s">
        <v>759</v>
      </c>
      <c r="E23" s="434"/>
      <c r="F23" s="434"/>
      <c r="G23" s="434"/>
      <c r="H23" s="434"/>
      <c r="I23" s="434"/>
      <c r="J23" s="434"/>
      <c r="K23" s="444"/>
      <c r="L23" s="91"/>
      <c r="M23" s="91"/>
      <c r="N23" s="91"/>
      <c r="O23" s="91"/>
      <c r="P23" s="91"/>
      <c r="Q23" s="91"/>
      <c r="R23" s="91"/>
    </row>
    <row r="24" spans="1:19" outlineLevel="1">
      <c r="A24" s="91" t="s">
        <v>324</v>
      </c>
      <c r="B24" s="443">
        <f>Receivers!J128</f>
        <v>0.27590000000000003</v>
      </c>
      <c r="C24" s="91" t="s">
        <v>860</v>
      </c>
      <c r="D24" s="434" t="s">
        <v>325</v>
      </c>
      <c r="E24" s="434"/>
      <c r="F24" s="434"/>
      <c r="G24" s="434"/>
      <c r="H24" s="434"/>
      <c r="I24" s="434"/>
      <c r="J24" s="434"/>
      <c r="K24" s="91"/>
      <c r="L24" s="91"/>
      <c r="M24" s="91"/>
      <c r="N24" s="91"/>
      <c r="O24" s="91"/>
      <c r="P24" s="91"/>
      <c r="Q24" s="91"/>
      <c r="R24" s="91"/>
    </row>
    <row r="25" spans="1:19" outlineLevel="1">
      <c r="A25" s="91" t="s">
        <v>878</v>
      </c>
      <c r="B25" s="447">
        <f>Receivers!J151</f>
        <v>548.07536791030327</v>
      </c>
      <c r="C25" s="91" t="s">
        <v>888</v>
      </c>
      <c r="D25" s="434" t="s">
        <v>323</v>
      </c>
      <c r="E25" s="434"/>
      <c r="F25" s="434"/>
      <c r="G25" s="434"/>
      <c r="H25" s="434"/>
      <c r="I25" s="434"/>
      <c r="J25" s="434"/>
      <c r="K25" s="447"/>
      <c r="L25" s="91"/>
      <c r="M25" s="91"/>
      <c r="N25" s="91"/>
      <c r="O25" s="91"/>
      <c r="P25" s="91"/>
      <c r="Q25" s="91"/>
      <c r="R25" s="91"/>
    </row>
    <row r="26" spans="1:19" outlineLevel="1">
      <c r="A26" s="91" t="s">
        <v>879</v>
      </c>
      <c r="B26" s="444">
        <f>B23-B24-10*LOG10(B25)</f>
        <v>-12.164302840626771</v>
      </c>
      <c r="C26" s="91" t="s">
        <v>889</v>
      </c>
      <c r="D26" s="434" t="s">
        <v>398</v>
      </c>
      <c r="E26" s="434"/>
      <c r="F26" s="434"/>
      <c r="G26" s="434"/>
      <c r="H26" s="434"/>
      <c r="I26" s="434"/>
      <c r="J26" s="434"/>
      <c r="K26" s="444"/>
      <c r="L26" s="91"/>
      <c r="M26" s="91"/>
      <c r="N26" s="91"/>
      <c r="O26" s="91"/>
      <c r="P26" s="91"/>
      <c r="Q26" s="91"/>
      <c r="R26" s="91"/>
    </row>
    <row r="27" spans="1:19" outlineLevel="1">
      <c r="A27" s="91" t="s">
        <v>880</v>
      </c>
      <c r="B27" s="430">
        <f>B19-B22-F27+B26</f>
        <v>68.414656980372243</v>
      </c>
      <c r="C27" s="91" t="s">
        <v>894</v>
      </c>
      <c r="D27" s="452" t="s">
        <v>892</v>
      </c>
      <c r="E27" s="453"/>
      <c r="F27" s="453">
        <v>-228.6</v>
      </c>
      <c r="G27" s="454" t="s">
        <v>893</v>
      </c>
      <c r="H27" s="192"/>
      <c r="I27" s="434"/>
      <c r="J27" s="434"/>
      <c r="K27" s="302"/>
      <c r="L27" s="91"/>
      <c r="M27" s="91"/>
      <c r="N27" s="91"/>
      <c r="O27" s="91"/>
      <c r="P27" s="91"/>
      <c r="Q27" s="91"/>
      <c r="R27" s="91"/>
    </row>
    <row r="28" spans="1:19" outlineLevel="1">
      <c r="A28" s="91" t="s">
        <v>881</v>
      </c>
      <c r="B28" s="393">
        <v>1000</v>
      </c>
      <c r="C28" s="91" t="s">
        <v>895</v>
      </c>
      <c r="D28" s="434" t="s">
        <v>327</v>
      </c>
      <c r="E28" s="434"/>
      <c r="F28" s="434"/>
      <c r="G28" s="434"/>
      <c r="H28" s="434"/>
      <c r="I28" s="434"/>
      <c r="J28" s="434"/>
      <c r="K28" s="459"/>
      <c r="L28" s="91"/>
      <c r="M28" s="91"/>
      <c r="N28" s="91"/>
      <c r="O28" s="91"/>
      <c r="P28" s="91"/>
      <c r="Q28" s="91"/>
      <c r="R28" s="91"/>
    </row>
    <row r="29" spans="1:19" outlineLevel="1">
      <c r="A29" s="439" t="s">
        <v>896</v>
      </c>
      <c r="B29" s="455">
        <f>10*LOG10(B28)</f>
        <v>30</v>
      </c>
      <c r="C29" s="91" t="s">
        <v>894</v>
      </c>
      <c r="D29" s="434" t="s">
        <v>328</v>
      </c>
      <c r="E29" s="434"/>
      <c r="F29" s="434"/>
      <c r="G29" s="434"/>
      <c r="H29" s="434"/>
      <c r="I29" s="434"/>
      <c r="J29" s="434"/>
      <c r="K29" s="302"/>
      <c r="L29" s="91"/>
      <c r="M29" s="91"/>
      <c r="N29" s="91"/>
      <c r="O29" s="91"/>
      <c r="P29" s="91"/>
      <c r="Q29" s="91"/>
      <c r="R29" s="91"/>
    </row>
    <row r="30" spans="1:19" outlineLevel="1">
      <c r="A30" s="91" t="s">
        <v>326</v>
      </c>
      <c r="B30" s="430">
        <f>B27-B29</f>
        <v>38.414656980372243</v>
      </c>
      <c r="C30" s="91" t="s">
        <v>860</v>
      </c>
      <c r="D30" s="434" t="s">
        <v>818</v>
      </c>
      <c r="E30" s="434"/>
      <c r="F30" s="434"/>
      <c r="G30" s="434"/>
      <c r="H30" s="434"/>
      <c r="I30" s="434"/>
      <c r="J30" s="434"/>
      <c r="K30" s="302"/>
      <c r="L30" s="91"/>
      <c r="M30" s="91"/>
      <c r="N30" s="91"/>
      <c r="O30" s="91"/>
      <c r="P30" s="91"/>
      <c r="Q30" s="91"/>
      <c r="R30" s="91"/>
    </row>
    <row r="31" spans="1:19" outlineLevel="1">
      <c r="A31" s="91"/>
      <c r="B31" s="448"/>
      <c r="C31" s="91"/>
      <c r="D31" s="434"/>
      <c r="E31" s="434"/>
      <c r="F31" s="434"/>
      <c r="G31" s="434"/>
      <c r="H31" s="434"/>
      <c r="I31" s="434"/>
      <c r="J31" s="434"/>
      <c r="K31" s="302"/>
      <c r="L31" s="91"/>
      <c r="M31" s="91"/>
      <c r="N31" s="91"/>
      <c r="O31" s="91"/>
      <c r="P31" s="91"/>
      <c r="Q31" s="91"/>
      <c r="R31" s="91"/>
    </row>
    <row r="32" spans="1:19" outlineLevel="1">
      <c r="A32" s="91" t="s">
        <v>428</v>
      </c>
      <c r="B32" s="462" t="str">
        <f>INDEX('Modulation-Demodulation Method'!C33:C51,'Modulation-Demodulation Method'!E30,1)</f>
        <v>BPSK</v>
      </c>
      <c r="C32" s="440" t="s">
        <v>818</v>
      </c>
      <c r="D32" s="465" t="s">
        <v>430</v>
      </c>
      <c r="E32" s="434"/>
      <c r="F32" s="434"/>
      <c r="G32" s="434"/>
      <c r="H32" s="434"/>
      <c r="I32" s="434"/>
      <c r="J32" s="303"/>
      <c r="K32" s="91"/>
      <c r="L32" s="91"/>
      <c r="M32" s="91"/>
      <c r="N32" s="91"/>
      <c r="O32" s="91"/>
      <c r="P32" s="91"/>
      <c r="Q32" s="91"/>
      <c r="R32" s="91"/>
    </row>
    <row r="33" spans="1:19" outlineLevel="1">
      <c r="A33" s="91" t="s">
        <v>425</v>
      </c>
      <c r="B33" s="464" t="str">
        <f>INDEX('Modulation-Demodulation Method'!D33:D51,'Modulation-Demodulation Method'!E30,1)</f>
        <v>Convolutional R=1/2, K=7</v>
      </c>
      <c r="C33" s="463"/>
      <c r="D33" s="438" t="s">
        <v>429</v>
      </c>
      <c r="E33" s="436"/>
      <c r="F33" s="434"/>
      <c r="G33" s="434"/>
      <c r="H33" s="434"/>
      <c r="I33" s="434"/>
      <c r="J33" s="434"/>
      <c r="K33" s="302"/>
      <c r="L33" s="91"/>
      <c r="M33" s="91"/>
      <c r="N33" s="91"/>
      <c r="O33" s="91"/>
      <c r="P33" s="91"/>
      <c r="Q33" s="91"/>
      <c r="R33" s="91"/>
    </row>
    <row r="34" spans="1:19" outlineLevel="1">
      <c r="A34" s="91"/>
      <c r="B34" s="449"/>
      <c r="C34" s="440"/>
      <c r="D34" s="437"/>
      <c r="E34" s="436"/>
      <c r="F34" s="434"/>
      <c r="G34" s="434"/>
      <c r="H34" s="434"/>
      <c r="I34" s="434"/>
      <c r="J34" s="434"/>
      <c r="K34" s="302"/>
      <c r="L34" s="91"/>
      <c r="M34" s="91"/>
      <c r="N34" s="91"/>
      <c r="O34" s="91"/>
      <c r="P34" s="91"/>
      <c r="Q34" s="91"/>
      <c r="R34" s="91"/>
    </row>
    <row r="35" spans="1:19" outlineLevel="1">
      <c r="A35" s="91" t="s">
        <v>330</v>
      </c>
      <c r="B35" s="431">
        <f>INDEX('Modulation-Demodulation Method'!E33:E51,'Modulation-Demodulation Method'!E30,1)</f>
        <v>9.9999999999999995E-7</v>
      </c>
      <c r="C35" s="440"/>
      <c r="D35" s="438" t="s">
        <v>373</v>
      </c>
      <c r="E35" s="436"/>
      <c r="F35" s="434"/>
      <c r="G35" s="434"/>
      <c r="H35" s="434"/>
      <c r="I35" s="434"/>
      <c r="J35" s="434"/>
      <c r="K35" s="302"/>
      <c r="L35" s="91"/>
      <c r="M35" s="91"/>
      <c r="N35" s="91"/>
      <c r="O35" s="91"/>
      <c r="P35" s="91"/>
      <c r="Q35" s="91"/>
      <c r="R35" s="91"/>
    </row>
    <row r="36" spans="1:19" outlineLevel="1">
      <c r="A36" s="91"/>
      <c r="B36" s="449"/>
      <c r="C36" s="440"/>
      <c r="D36" s="437"/>
      <c r="E36" s="436"/>
      <c r="F36" s="434"/>
      <c r="G36" s="434"/>
      <c r="H36" s="434"/>
      <c r="I36" s="434"/>
      <c r="J36" s="434"/>
      <c r="K36" s="302"/>
      <c r="L36" s="91"/>
      <c r="M36" s="91"/>
      <c r="N36" s="91"/>
      <c r="O36" s="91"/>
      <c r="P36" s="91"/>
      <c r="Q36" s="91"/>
      <c r="R36" s="91"/>
    </row>
    <row r="37" spans="1:19" outlineLevel="1">
      <c r="A37" s="91" t="s">
        <v>361</v>
      </c>
      <c r="B37" s="450">
        <f>'Modulation-Demodulation Method'!E53</f>
        <v>1</v>
      </c>
      <c r="C37" s="91" t="s">
        <v>860</v>
      </c>
      <c r="D37" s="434" t="s">
        <v>434</v>
      </c>
      <c r="E37" s="434"/>
      <c r="F37" s="434"/>
      <c r="G37" s="434"/>
      <c r="H37" s="434"/>
      <c r="I37" s="434"/>
      <c r="J37" s="434"/>
      <c r="K37" s="91"/>
      <c r="L37" s="91"/>
      <c r="M37" s="91"/>
      <c r="N37" s="91"/>
      <c r="O37" s="91"/>
      <c r="P37" s="91"/>
      <c r="Q37" s="91"/>
      <c r="R37" s="91"/>
    </row>
    <row r="38" spans="1:19" outlineLevel="1">
      <c r="A38" s="91"/>
      <c r="B38" s="451"/>
      <c r="C38" s="91"/>
      <c r="D38" s="434"/>
      <c r="E38" s="434"/>
      <c r="F38" s="434"/>
      <c r="G38" s="434"/>
      <c r="H38" s="434"/>
      <c r="I38" s="434"/>
      <c r="J38" s="434"/>
      <c r="K38" s="91"/>
      <c r="L38" s="91"/>
      <c r="M38" s="91"/>
      <c r="N38" s="91"/>
      <c r="O38" s="91"/>
      <c r="P38" s="91"/>
      <c r="Q38" s="91"/>
      <c r="R38" s="91"/>
    </row>
    <row r="39" spans="1:19" outlineLevel="1">
      <c r="A39" s="91" t="s">
        <v>882</v>
      </c>
      <c r="B39" s="469">
        <f>INDEX('Modulation-Demodulation Method'!F33:F51,'Modulation-Demodulation Method'!E30,1)</f>
        <v>4.8</v>
      </c>
      <c r="C39" s="91" t="s">
        <v>860</v>
      </c>
      <c r="D39" s="434" t="s">
        <v>329</v>
      </c>
      <c r="E39" s="434"/>
      <c r="F39" s="434"/>
      <c r="G39" s="434"/>
      <c r="H39" s="434"/>
      <c r="I39" s="434"/>
      <c r="J39" s="434"/>
      <c r="K39" s="444"/>
      <c r="L39" s="91"/>
      <c r="M39" s="91"/>
      <c r="N39" s="91"/>
      <c r="O39" s="91"/>
      <c r="P39" s="91"/>
      <c r="Q39" s="91"/>
      <c r="R39" s="91"/>
    </row>
    <row r="40" spans="1:19" outlineLevel="1">
      <c r="A40" s="91"/>
      <c r="B40" s="445"/>
      <c r="C40" s="91"/>
      <c r="D40" s="434"/>
      <c r="E40" s="434"/>
      <c r="F40" s="434"/>
      <c r="G40" s="434"/>
      <c r="H40" s="434"/>
      <c r="I40" s="434"/>
      <c r="J40" s="434"/>
      <c r="K40" s="444"/>
      <c r="L40" s="91"/>
      <c r="M40" s="91"/>
      <c r="N40" s="91"/>
      <c r="O40" s="91"/>
      <c r="P40" s="91"/>
      <c r="Q40" s="91"/>
      <c r="R40" s="91"/>
    </row>
    <row r="41" spans="1:19" outlineLevel="1">
      <c r="A41" s="91" t="s">
        <v>362</v>
      </c>
      <c r="B41" s="432">
        <f>'Modulation-Demodulation Method'!H32</f>
        <v>5.8</v>
      </c>
      <c r="C41" s="91" t="s">
        <v>860</v>
      </c>
      <c r="D41" s="434" t="s">
        <v>374</v>
      </c>
      <c r="E41" s="434"/>
      <c r="F41" s="434"/>
      <c r="G41" s="434"/>
      <c r="H41" s="434"/>
      <c r="I41" s="434"/>
      <c r="J41" s="434"/>
      <c r="K41" s="444"/>
      <c r="L41" s="91"/>
      <c r="M41" s="91"/>
      <c r="N41" s="91"/>
      <c r="O41" s="91"/>
      <c r="P41" s="91"/>
      <c r="Q41" s="91"/>
      <c r="R41" s="91"/>
    </row>
    <row r="42" spans="1:19" ht="13.5" outlineLevel="1" thickBot="1">
      <c r="A42" s="91"/>
      <c r="B42" s="445"/>
      <c r="C42" s="91"/>
      <c r="D42" s="434"/>
      <c r="E42" s="434"/>
      <c r="F42" s="434"/>
      <c r="G42" s="434"/>
      <c r="H42" s="434"/>
      <c r="I42" s="434"/>
      <c r="J42" s="434"/>
      <c r="K42" s="444"/>
      <c r="L42" s="91"/>
      <c r="M42" s="91"/>
      <c r="N42" s="91"/>
      <c r="O42" s="91"/>
      <c r="P42" s="91"/>
      <c r="Q42" s="91"/>
      <c r="R42" s="91"/>
    </row>
    <row r="43" spans="1:19" ht="13.5" outlineLevel="1" thickBot="1">
      <c r="A43" s="120" t="s">
        <v>883</v>
      </c>
      <c r="B43" s="40">
        <f>B30-B41</f>
        <v>32.614656980372246</v>
      </c>
      <c r="C43" s="91" t="s">
        <v>860</v>
      </c>
      <c r="D43" s="434"/>
      <c r="E43" s="434"/>
      <c r="F43" s="434"/>
      <c r="G43" s="434"/>
      <c r="H43" s="434"/>
      <c r="I43" s="434"/>
      <c r="J43" s="434"/>
      <c r="K43" s="91"/>
      <c r="L43" s="91"/>
      <c r="M43" s="91"/>
      <c r="N43" s="91"/>
      <c r="O43" s="91"/>
      <c r="P43" s="91"/>
      <c r="Q43" s="91"/>
      <c r="R43" s="91"/>
    </row>
    <row r="44" spans="1:19" outlineLevel="1">
      <c r="A44" s="91"/>
      <c r="B44" s="91"/>
      <c r="C44" s="91"/>
      <c r="D44" s="434"/>
      <c r="E44" s="434"/>
      <c r="F44" s="434"/>
      <c r="G44" s="434"/>
      <c r="H44" s="434"/>
      <c r="I44" s="434"/>
      <c r="J44" s="434"/>
      <c r="K44" s="460"/>
      <c r="L44" s="91"/>
      <c r="M44" s="91"/>
      <c r="N44" s="91"/>
      <c r="O44" s="91"/>
      <c r="P44" s="91"/>
      <c r="Q44" s="91"/>
      <c r="R44" s="91"/>
    </row>
    <row r="45" spans="1:19" outlineLevel="1">
      <c r="A45" s="98"/>
      <c r="B45" s="98"/>
      <c r="C45" s="98"/>
      <c r="D45" s="141" t="s">
        <v>818</v>
      </c>
      <c r="E45" s="141"/>
      <c r="F45" s="141"/>
      <c r="G45" s="141"/>
      <c r="H45" s="141"/>
      <c r="I45" s="141"/>
      <c r="J45" s="141"/>
      <c r="K45" s="98"/>
      <c r="L45" s="98"/>
      <c r="M45" s="98"/>
      <c r="N45" s="98"/>
      <c r="O45" s="98"/>
      <c r="P45" s="98"/>
      <c r="Q45" s="98"/>
      <c r="R45" s="98"/>
      <c r="S45" s="433"/>
    </row>
    <row r="46" spans="1:19">
      <c r="A46" s="458" t="s">
        <v>898</v>
      </c>
      <c r="B46" s="42"/>
      <c r="C46" s="42"/>
      <c r="D46" s="42"/>
      <c r="E46" s="42"/>
      <c r="F46" s="23"/>
      <c r="G46" s="23"/>
      <c r="H46" s="23"/>
      <c r="I46" s="23"/>
      <c r="J46" s="23"/>
      <c r="K46" s="23"/>
      <c r="L46" s="23"/>
      <c r="M46" s="23"/>
      <c r="N46" s="23"/>
      <c r="O46" s="23"/>
      <c r="P46" s="23"/>
      <c r="Q46" s="23"/>
      <c r="R46" s="23"/>
    </row>
    <row r="47" spans="1:19" outlineLevel="1">
      <c r="A47" s="36" t="s">
        <v>939</v>
      </c>
      <c r="B47" s="42"/>
      <c r="C47" s="42"/>
      <c r="D47" s="42"/>
      <c r="E47" s="42"/>
      <c r="F47" s="23"/>
      <c r="G47" s="23"/>
      <c r="H47" s="23"/>
      <c r="I47" s="23"/>
      <c r="J47" s="23"/>
      <c r="K47" s="23"/>
      <c r="L47" s="23"/>
      <c r="M47" s="23"/>
      <c r="N47" s="23"/>
      <c r="O47" s="23"/>
      <c r="P47" s="23"/>
      <c r="Q47" s="23"/>
      <c r="R47" s="23"/>
    </row>
    <row r="48" spans="1:19" outlineLevel="1">
      <c r="A48" s="91" t="s">
        <v>897</v>
      </c>
      <c r="B48" s="444">
        <f>'Antenna Pointing Losses'!K102</f>
        <v>0.31396976431536944</v>
      </c>
      <c r="C48" s="91" t="s">
        <v>860</v>
      </c>
      <c r="D48" s="434" t="s">
        <v>758</v>
      </c>
      <c r="E48" s="434"/>
      <c r="F48" s="434"/>
      <c r="G48" s="434"/>
      <c r="H48" s="434"/>
      <c r="I48" s="434"/>
      <c r="J48" s="434"/>
      <c r="K48" s="91"/>
      <c r="L48" s="91"/>
      <c r="M48" s="91"/>
      <c r="N48" s="91"/>
      <c r="O48" s="91"/>
      <c r="P48" s="91"/>
      <c r="Q48" s="91"/>
      <c r="R48" s="91"/>
    </row>
    <row r="49" spans="1:18" outlineLevel="1">
      <c r="A49" s="91" t="s">
        <v>877</v>
      </c>
      <c r="B49" s="444">
        <f>INDEX('Antenna Gain'!N60:N63,'Antenna Gain'!E58,1)</f>
        <v>15.5</v>
      </c>
      <c r="C49" s="91" t="s">
        <v>36</v>
      </c>
      <c r="D49" s="434" t="s">
        <v>759</v>
      </c>
      <c r="E49" s="434"/>
      <c r="F49" s="434"/>
      <c r="G49" s="434"/>
      <c r="H49" s="434"/>
      <c r="I49" s="434"/>
      <c r="J49" s="434"/>
      <c r="K49" s="91"/>
      <c r="L49" s="91"/>
      <c r="M49" s="91"/>
      <c r="N49" s="91"/>
      <c r="O49" s="91"/>
      <c r="P49" s="91"/>
      <c r="Q49" s="91"/>
      <c r="R49" s="91"/>
    </row>
    <row r="50" spans="1:18" outlineLevel="1">
      <c r="A50" s="91" t="s">
        <v>324</v>
      </c>
      <c r="B50" s="444">
        <f>Receivers!J128</f>
        <v>0.27590000000000003</v>
      </c>
      <c r="C50" s="91" t="s">
        <v>860</v>
      </c>
      <c r="D50" s="434" t="s">
        <v>325</v>
      </c>
      <c r="E50" s="434"/>
      <c r="F50" s="434"/>
      <c r="G50" s="434"/>
      <c r="H50" s="434"/>
      <c r="I50" s="434"/>
      <c r="J50" s="434"/>
      <c r="K50" s="91"/>
      <c r="L50" s="91"/>
      <c r="M50" s="91"/>
      <c r="N50" s="91"/>
      <c r="O50" s="91"/>
      <c r="P50" s="91"/>
      <c r="Q50" s="91"/>
      <c r="R50" s="91"/>
    </row>
    <row r="51" spans="1:18" outlineLevel="1">
      <c r="A51" s="91" t="s">
        <v>878</v>
      </c>
      <c r="B51" s="447">
        <f>Receivers!J151</f>
        <v>548.07536791030327</v>
      </c>
      <c r="C51" s="91" t="s">
        <v>888</v>
      </c>
      <c r="D51" s="434" t="s">
        <v>323</v>
      </c>
      <c r="E51" s="434"/>
      <c r="F51" s="434"/>
      <c r="G51" s="434"/>
      <c r="H51" s="434"/>
      <c r="I51" s="434"/>
      <c r="J51" s="434"/>
      <c r="K51" s="91"/>
      <c r="L51" s="91"/>
      <c r="M51" s="91"/>
      <c r="N51" s="91"/>
      <c r="O51" s="91"/>
      <c r="P51" s="91"/>
      <c r="Q51" s="91"/>
      <c r="R51" s="91"/>
    </row>
    <row r="52" spans="1:18" outlineLevel="1">
      <c r="A52" s="91" t="s">
        <v>879</v>
      </c>
      <c r="B52" s="444">
        <f>B49-B50-10*LOG10(B51)</f>
        <v>-12.164302840626771</v>
      </c>
      <c r="C52" s="91" t="s">
        <v>889</v>
      </c>
      <c r="D52" s="434" t="s">
        <v>399</v>
      </c>
      <c r="E52" s="434"/>
      <c r="F52" s="434"/>
      <c r="G52" s="434"/>
      <c r="H52" s="434"/>
      <c r="I52" s="434"/>
      <c r="J52" s="434"/>
      <c r="K52" s="91"/>
      <c r="L52" s="91"/>
      <c r="M52" s="91"/>
      <c r="N52" s="91"/>
      <c r="O52" s="91"/>
      <c r="P52" s="91"/>
      <c r="Q52" s="91"/>
      <c r="R52" s="91"/>
    </row>
    <row r="53" spans="1:18" outlineLevel="1">
      <c r="A53" s="91"/>
      <c r="B53" s="444"/>
      <c r="C53" s="91"/>
      <c r="D53" s="434"/>
      <c r="E53" s="434"/>
      <c r="F53" s="434"/>
      <c r="G53" s="434"/>
      <c r="H53" s="434"/>
      <c r="I53" s="434"/>
      <c r="J53" s="434"/>
      <c r="K53" s="91"/>
      <c r="L53" s="91"/>
      <c r="M53" s="91"/>
      <c r="N53" s="91"/>
      <c r="O53" s="91"/>
      <c r="P53" s="91"/>
      <c r="Q53" s="91"/>
      <c r="R53" s="91"/>
    </row>
    <row r="54" spans="1:18" outlineLevel="1">
      <c r="A54" s="91" t="s">
        <v>899</v>
      </c>
      <c r="B54" s="353">
        <f>B19+B49-B48-B50</f>
        <v>-132.79694017900098</v>
      </c>
      <c r="C54" s="91" t="s">
        <v>885</v>
      </c>
      <c r="D54" s="434" t="s">
        <v>400</v>
      </c>
      <c r="E54" s="434"/>
      <c r="F54" s="434"/>
      <c r="G54" s="434"/>
      <c r="H54" s="434"/>
      <c r="I54" s="434"/>
      <c r="J54" s="434"/>
      <c r="K54" s="91"/>
      <c r="L54" s="91"/>
      <c r="M54" s="91"/>
      <c r="N54" s="91"/>
      <c r="O54" s="91"/>
      <c r="P54" s="91"/>
      <c r="Q54" s="91"/>
      <c r="R54" s="91"/>
    </row>
    <row r="55" spans="1:18" outlineLevel="1">
      <c r="A55" s="91"/>
      <c r="B55" s="457"/>
      <c r="C55" s="91"/>
      <c r="D55" s="434"/>
      <c r="E55" s="434"/>
      <c r="F55" s="434"/>
      <c r="G55" s="434"/>
      <c r="H55" s="434"/>
      <c r="I55" s="434"/>
      <c r="J55" s="434"/>
      <c r="K55" s="91"/>
      <c r="L55" s="91"/>
      <c r="M55" s="91"/>
      <c r="N55" s="91"/>
      <c r="O55" s="91"/>
      <c r="P55" s="91"/>
      <c r="Q55" s="91"/>
      <c r="R55" s="91"/>
    </row>
    <row r="56" spans="1:18" outlineLevel="1">
      <c r="A56" s="91" t="s">
        <v>401</v>
      </c>
      <c r="B56" s="393">
        <v>1000</v>
      </c>
      <c r="C56" s="91" t="s">
        <v>900</v>
      </c>
      <c r="D56" s="434" t="s">
        <v>375</v>
      </c>
      <c r="E56" s="434"/>
      <c r="F56" s="434"/>
      <c r="G56" s="434"/>
      <c r="H56" s="400" t="s">
        <v>140</v>
      </c>
      <c r="I56" s="434"/>
      <c r="J56" s="434"/>
      <c r="K56" s="91"/>
      <c r="L56" s="91"/>
      <c r="M56" s="91"/>
      <c r="N56" s="91"/>
      <c r="O56" s="91"/>
      <c r="P56" s="91"/>
      <c r="Q56" s="91"/>
      <c r="R56" s="91"/>
    </row>
    <row r="57" spans="1:18" outlineLevel="1">
      <c r="A57" s="91"/>
      <c r="B57" s="456"/>
      <c r="C57" s="91"/>
      <c r="D57" s="434"/>
      <c r="E57" s="434"/>
      <c r="F57" s="434"/>
      <c r="G57" s="434"/>
      <c r="H57" s="434"/>
      <c r="I57" s="434"/>
      <c r="J57" s="434"/>
      <c r="K57" s="91"/>
      <c r="L57" s="91"/>
      <c r="M57" s="91"/>
      <c r="N57" s="91"/>
      <c r="O57" s="91"/>
      <c r="P57" s="91"/>
      <c r="Q57" s="91"/>
      <c r="R57" s="91"/>
    </row>
    <row r="58" spans="1:18" outlineLevel="1">
      <c r="A58" s="91" t="s">
        <v>901</v>
      </c>
      <c r="B58" s="353">
        <f>F27+10*LOG10(B51)+10*LOG10(B56)</f>
        <v>-171.21159715937321</v>
      </c>
      <c r="C58" s="91" t="s">
        <v>885</v>
      </c>
      <c r="D58" s="434" t="s">
        <v>440</v>
      </c>
      <c r="E58" s="434"/>
      <c r="F58" s="434"/>
      <c r="G58" s="434"/>
      <c r="H58" s="434"/>
      <c r="I58" s="434"/>
      <c r="J58" s="434"/>
      <c r="K58" s="91"/>
      <c r="L58" s="91"/>
      <c r="M58" s="91"/>
      <c r="N58" s="91"/>
      <c r="O58" s="91"/>
      <c r="P58" s="91"/>
      <c r="Q58" s="91"/>
      <c r="R58" s="91"/>
    </row>
    <row r="59" spans="1:18" outlineLevel="1">
      <c r="A59" s="91"/>
      <c r="B59" s="457"/>
      <c r="C59" s="91"/>
      <c r="D59" s="434"/>
      <c r="E59" s="434"/>
      <c r="F59" s="434"/>
      <c r="G59" s="434"/>
      <c r="H59" s="434"/>
      <c r="I59" s="434"/>
      <c r="J59" s="434"/>
      <c r="K59" s="91"/>
      <c r="L59" s="91"/>
      <c r="M59" s="91"/>
      <c r="N59" s="91"/>
      <c r="O59" s="91"/>
      <c r="P59" s="91"/>
      <c r="Q59" s="91"/>
      <c r="R59" s="91"/>
    </row>
    <row r="60" spans="1:18" outlineLevel="1">
      <c r="A60" s="91" t="s">
        <v>902</v>
      </c>
      <c r="B60" s="430">
        <f>B54-B58</f>
        <v>38.414656980372229</v>
      </c>
      <c r="C60" s="91" t="s">
        <v>860</v>
      </c>
      <c r="D60" s="434" t="s">
        <v>402</v>
      </c>
      <c r="E60" s="434"/>
      <c r="F60" s="434"/>
      <c r="G60" s="434"/>
      <c r="H60" s="434"/>
      <c r="I60" s="434"/>
      <c r="J60" s="434"/>
      <c r="K60" s="91"/>
      <c r="L60" s="91"/>
      <c r="M60" s="91"/>
      <c r="N60" s="91"/>
      <c r="O60" s="91"/>
      <c r="P60" s="91"/>
      <c r="Q60" s="91"/>
      <c r="R60" s="91"/>
    </row>
    <row r="61" spans="1:18" outlineLevel="1">
      <c r="A61" s="91"/>
      <c r="B61" s="302"/>
      <c r="C61" s="91"/>
      <c r="D61" s="434"/>
      <c r="E61" s="434"/>
      <c r="F61" s="434"/>
      <c r="G61" s="434"/>
      <c r="H61" s="434"/>
      <c r="I61" s="434"/>
      <c r="J61" s="434"/>
      <c r="K61" s="91"/>
      <c r="L61" s="91"/>
      <c r="M61" s="91"/>
      <c r="N61" s="91"/>
      <c r="O61" s="91"/>
      <c r="P61" s="91"/>
      <c r="Q61" s="91"/>
      <c r="R61" s="91"/>
    </row>
    <row r="62" spans="1:18" outlineLevel="1">
      <c r="A62" s="91" t="s">
        <v>376</v>
      </c>
      <c r="B62" s="348">
        <v>4.8</v>
      </c>
      <c r="C62" s="91" t="s">
        <v>860</v>
      </c>
      <c r="D62" s="434" t="s">
        <v>403</v>
      </c>
      <c r="E62" s="434"/>
      <c r="F62" s="434"/>
      <c r="G62" s="434"/>
      <c r="H62" s="434"/>
      <c r="I62" s="434"/>
      <c r="J62" s="434"/>
      <c r="K62" s="91"/>
      <c r="L62" s="91"/>
      <c r="M62" s="91"/>
      <c r="N62" s="91"/>
      <c r="O62" s="91"/>
      <c r="P62" s="91"/>
      <c r="Q62" s="91"/>
      <c r="R62" s="91"/>
    </row>
    <row r="63" spans="1:18" ht="13.5" outlineLevel="1" thickBot="1">
      <c r="A63" s="91"/>
      <c r="B63" s="302"/>
      <c r="C63" s="91"/>
      <c r="D63" s="434"/>
      <c r="E63" s="434"/>
      <c r="F63" s="434"/>
      <c r="G63" s="434"/>
      <c r="H63" s="434"/>
      <c r="I63" s="434"/>
      <c r="J63" s="434"/>
      <c r="K63" s="91"/>
      <c r="L63" s="91"/>
      <c r="M63" s="91"/>
      <c r="N63" s="91"/>
      <c r="O63" s="91"/>
      <c r="P63" s="91"/>
      <c r="Q63" s="91"/>
      <c r="R63" s="91"/>
    </row>
    <row r="64" spans="1:18" ht="13.5" outlineLevel="1" thickBot="1">
      <c r="A64" s="91" t="s">
        <v>397</v>
      </c>
      <c r="B64" s="40">
        <f>B60-B62</f>
        <v>33.614656980372231</v>
      </c>
      <c r="C64" s="91" t="s">
        <v>860</v>
      </c>
      <c r="D64" s="434"/>
      <c r="E64" s="434"/>
      <c r="F64" s="434"/>
      <c r="G64" s="434"/>
      <c r="H64" s="434"/>
      <c r="I64" s="434"/>
      <c r="J64" s="434"/>
      <c r="K64" s="91"/>
      <c r="L64" s="91"/>
      <c r="M64" s="91"/>
      <c r="N64" s="91"/>
      <c r="O64" s="91"/>
      <c r="P64" s="91"/>
      <c r="Q64" s="91"/>
      <c r="R64" s="91"/>
    </row>
    <row r="65" spans="1:18" outlineLevel="1">
      <c r="A65" s="98"/>
      <c r="B65" s="98"/>
      <c r="C65" s="98"/>
      <c r="D65" s="434"/>
      <c r="E65" s="434"/>
      <c r="F65" s="434"/>
      <c r="G65" s="434"/>
      <c r="H65" s="434"/>
      <c r="I65" s="434"/>
      <c r="J65" s="434"/>
      <c r="K65" s="91"/>
      <c r="L65" s="91"/>
      <c r="M65" s="91"/>
      <c r="N65" s="91"/>
      <c r="O65" s="91"/>
      <c r="P65" s="91"/>
      <c r="Q65" s="91"/>
      <c r="R65" s="91"/>
    </row>
    <row r="66" spans="1:18" outlineLevel="1">
      <c r="A66" s="91"/>
      <c r="B66" s="91"/>
      <c r="C66" s="91"/>
      <c r="D66" s="434"/>
      <c r="E66" s="434"/>
      <c r="F66" s="434"/>
      <c r="G66" s="434"/>
      <c r="H66" s="434"/>
      <c r="I66" s="434"/>
      <c r="J66" s="434"/>
      <c r="K66" s="91"/>
      <c r="L66" s="91"/>
      <c r="M66" s="91"/>
      <c r="N66" s="91"/>
      <c r="O66" s="91"/>
      <c r="P66" s="91"/>
      <c r="Q66" s="91"/>
      <c r="R66" s="91"/>
    </row>
    <row r="67" spans="1:18">
      <c r="D67" t="s">
        <v>818</v>
      </c>
    </row>
    <row r="69" spans="1:18">
      <c r="D69" s="433"/>
      <c r="E69" s="433"/>
      <c r="F69" s="433"/>
    </row>
    <row r="78" spans="1:18">
      <c r="G78" s="433"/>
      <c r="H78" s="433"/>
      <c r="I78" s="433"/>
    </row>
    <row r="92" spans="2:2">
      <c r="B92" t="s">
        <v>818</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R115"/>
  <sheetViews>
    <sheetView zoomScale="150" zoomScaleNormal="150" workbookViewId="0">
      <selection activeCell="F10" sqref="F10"/>
    </sheetView>
  </sheetViews>
  <sheetFormatPr defaultColWidth="8.85546875" defaultRowHeight="12.75"/>
  <cols>
    <col min="1" max="1" width="12.5703125" customWidth="1"/>
    <col min="3" max="3" width="9.42578125" customWidth="1"/>
    <col min="4" max="4" width="11.42578125" customWidth="1"/>
    <col min="5" max="5" width="10.140625" customWidth="1"/>
    <col min="6" max="6" width="12.42578125" customWidth="1"/>
    <col min="7" max="7" width="10.42578125" customWidth="1"/>
    <col min="8" max="8" width="3.5703125" customWidth="1"/>
    <col min="9" max="9" width="3.85546875" customWidth="1"/>
    <col min="10" max="10" width="9.42578125" customWidth="1"/>
    <col min="11" max="11" width="10.42578125" customWidth="1"/>
    <col min="12" max="12" width="9.5703125" bestFit="1" customWidth="1"/>
    <col min="13" max="13" width="10.42578125" customWidth="1"/>
    <col min="14" max="14" width="12.140625" customWidth="1"/>
    <col min="15" max="15" width="10.42578125" customWidth="1"/>
    <col min="18" max="18" width="14" customWidth="1"/>
  </cols>
  <sheetData>
    <row r="1" spans="1:18" ht="18.75" thickBot="1">
      <c r="A1" s="125" t="s">
        <v>444</v>
      </c>
      <c r="B1" s="127"/>
      <c r="C1" s="127"/>
      <c r="D1" s="127"/>
      <c r="E1" s="127"/>
      <c r="F1" s="127"/>
      <c r="G1" s="690" t="str">
        <f>'Title Page'!F3</f>
        <v>OreSat - CS0</v>
      </c>
      <c r="H1" s="127"/>
      <c r="I1" s="397"/>
      <c r="J1" s="397"/>
      <c r="K1" s="397"/>
      <c r="L1" s="695" t="str">
        <f>'Title Page'!F23</f>
        <v>2018 October 19</v>
      </c>
      <c r="M1" s="397"/>
      <c r="N1" s="397"/>
      <c r="O1" s="397"/>
      <c r="P1" s="397"/>
      <c r="Q1" s="397"/>
      <c r="R1" s="397"/>
    </row>
    <row r="2" spans="1:18">
      <c r="A2" s="470"/>
      <c r="B2" s="644" t="s">
        <v>696</v>
      </c>
      <c r="C2" s="471"/>
      <c r="D2" s="471"/>
      <c r="E2" s="471"/>
      <c r="F2" s="471"/>
      <c r="G2" s="471" t="s">
        <v>818</v>
      </c>
      <c r="H2" s="472"/>
      <c r="I2" s="506"/>
      <c r="J2" s="644" t="s">
        <v>697</v>
      </c>
      <c r="K2" s="471"/>
      <c r="L2" s="471"/>
      <c r="M2" s="471"/>
      <c r="N2" s="471"/>
      <c r="O2" s="471"/>
      <c r="P2" s="471"/>
      <c r="Q2" s="471"/>
      <c r="R2" s="472"/>
    </row>
    <row r="3" spans="1:18" ht="15" customHeight="1">
      <c r="A3" s="100"/>
      <c r="B3" s="273" t="s">
        <v>479</v>
      </c>
      <c r="C3" s="502"/>
      <c r="D3" s="101"/>
      <c r="E3" s="481" t="s">
        <v>856</v>
      </c>
      <c r="F3" s="497">
        <f>Frequency!M10</f>
        <v>1265</v>
      </c>
      <c r="G3" s="101"/>
      <c r="H3" s="105"/>
      <c r="I3" s="100"/>
      <c r="J3" s="248" t="s">
        <v>481</v>
      </c>
      <c r="K3" s="249"/>
      <c r="L3" s="101"/>
      <c r="M3" s="481" t="s">
        <v>856</v>
      </c>
      <c r="N3" s="520">
        <f>Frequency!M16</f>
        <v>436.5</v>
      </c>
      <c r="O3" s="101"/>
      <c r="P3" s="101"/>
      <c r="Q3" s="101"/>
      <c r="R3" s="105"/>
    </row>
    <row r="4" spans="1:18" ht="13.5" thickBot="1">
      <c r="A4" s="100"/>
      <c r="B4" s="101"/>
      <c r="C4" s="101"/>
      <c r="D4" s="101"/>
      <c r="E4" s="101"/>
      <c r="F4" s="101"/>
      <c r="G4" s="101"/>
      <c r="H4" s="105"/>
      <c r="I4" s="100"/>
      <c r="J4" s="101"/>
      <c r="K4" s="101"/>
      <c r="L4" s="101"/>
      <c r="M4" s="101"/>
      <c r="N4" s="101"/>
      <c r="O4" s="101"/>
      <c r="P4" s="101"/>
      <c r="Q4" s="101"/>
      <c r="R4" s="105"/>
    </row>
    <row r="5" spans="1:18" ht="13.5" thickBot="1">
      <c r="A5" s="100" t="s">
        <v>477</v>
      </c>
      <c r="B5" s="435" t="s">
        <v>465</v>
      </c>
      <c r="C5" s="490">
        <f>'Uplink Budget'!B30</f>
        <v>12.867706294329679</v>
      </c>
      <c r="D5" s="101"/>
      <c r="E5" s="480" t="s">
        <v>464</v>
      </c>
      <c r="F5" s="605">
        <f>'Uplink Budget'!B43</f>
        <v>7.5677062943296791</v>
      </c>
      <c r="G5" s="606" t="str">
        <f>IF(F5&lt;0,"NO LINK !",IF(F5&lt;6,"MARGINAL LINK",IF(F5&gt;6,"LINK CLOSES")))</f>
        <v>LINK CLOSES</v>
      </c>
      <c r="H5" s="105"/>
      <c r="I5" s="100"/>
      <c r="J5" s="101"/>
      <c r="K5" s="435" t="s">
        <v>480</v>
      </c>
      <c r="L5" s="505">
        <f>'Downlink Budget'!B28</f>
        <v>1000</v>
      </c>
      <c r="M5" s="101"/>
      <c r="N5" s="101"/>
      <c r="O5" s="101"/>
      <c r="P5" s="101"/>
      <c r="Q5" s="101"/>
      <c r="R5" s="105"/>
    </row>
    <row r="6" spans="1:18" ht="13.5" thickBot="1">
      <c r="A6" s="100"/>
      <c r="B6" s="101"/>
      <c r="C6" s="101"/>
      <c r="D6" s="101"/>
      <c r="E6" s="101"/>
      <c r="F6" s="101"/>
      <c r="G6" s="31" t="s">
        <v>818</v>
      </c>
      <c r="H6" s="105"/>
      <c r="I6" s="100"/>
      <c r="J6" s="101"/>
      <c r="K6" s="101"/>
      <c r="L6" s="101"/>
      <c r="M6" s="101"/>
      <c r="N6" s="478" t="s">
        <v>489</v>
      </c>
      <c r="O6" s="475"/>
      <c r="P6" s="101"/>
      <c r="Q6" s="101"/>
      <c r="R6" s="105"/>
    </row>
    <row r="7" spans="1:18" ht="13.5" thickBot="1">
      <c r="A7" s="100" t="s">
        <v>476</v>
      </c>
      <c r="B7" s="435" t="s">
        <v>466</v>
      </c>
      <c r="C7" s="490">
        <f>'Uplink Budget'!B61</f>
        <v>12.867706294329679</v>
      </c>
      <c r="D7" s="101"/>
      <c r="E7" s="480" t="s">
        <v>464</v>
      </c>
      <c r="F7" s="605">
        <f>'Uplink Budget'!B65</f>
        <v>8.0677062943296782</v>
      </c>
      <c r="G7" s="606" t="str">
        <f>IF(F7&lt;0,"NO LINK !",IF(F7&lt;6,"MARGINAL LINK",IF(F7&gt;6,"LINK CLOSES")))</f>
        <v>LINK CLOSES</v>
      </c>
      <c r="H7" s="105"/>
      <c r="I7" s="100"/>
      <c r="J7" s="101"/>
      <c r="K7" s="507"/>
      <c r="L7" s="101"/>
      <c r="M7" s="101"/>
      <c r="N7" s="476" t="str">
        <f>'Downlink Budget'!B32</f>
        <v>BPSK</v>
      </c>
      <c r="O7" s="477"/>
      <c r="P7" s="101"/>
      <c r="Q7" s="101"/>
      <c r="R7" s="105"/>
    </row>
    <row r="8" spans="1:18">
      <c r="A8" s="100"/>
      <c r="B8" s="101"/>
      <c r="C8" s="503"/>
      <c r="D8" s="101"/>
      <c r="E8" s="101"/>
      <c r="F8" s="504"/>
      <c r="G8" s="101"/>
      <c r="H8" s="105"/>
      <c r="I8" s="100"/>
      <c r="J8" s="101"/>
      <c r="K8" s="507"/>
      <c r="L8" s="101"/>
      <c r="M8" s="101"/>
      <c r="N8" s="101"/>
      <c r="O8" s="101"/>
      <c r="P8" s="101"/>
      <c r="Q8" s="101"/>
      <c r="R8" s="105"/>
    </row>
    <row r="9" spans="1:18">
      <c r="A9" s="765" t="s">
        <v>140</v>
      </c>
      <c r="B9" s="101"/>
      <c r="C9" s="503"/>
      <c r="D9" s="101"/>
      <c r="E9" s="101"/>
      <c r="F9" s="504"/>
      <c r="G9" s="101"/>
      <c r="H9" s="105"/>
      <c r="I9" s="100"/>
      <c r="J9" s="101"/>
      <c r="K9" s="507"/>
      <c r="L9" s="101"/>
      <c r="M9" s="101"/>
      <c r="N9" s="474" t="s">
        <v>515</v>
      </c>
      <c r="O9" s="475"/>
      <c r="P9" s="101"/>
      <c r="Q9" s="101"/>
      <c r="R9" s="105"/>
    </row>
    <row r="10" spans="1:18">
      <c r="A10" s="100"/>
      <c r="B10" s="101"/>
      <c r="C10" s="435" t="s">
        <v>480</v>
      </c>
      <c r="D10" s="505">
        <f>'Uplink Budget'!B28</f>
        <v>100000</v>
      </c>
      <c r="E10" s="101"/>
      <c r="F10" s="101"/>
      <c r="G10" s="101"/>
      <c r="H10" s="105"/>
      <c r="I10" s="100"/>
      <c r="J10" s="101"/>
      <c r="K10" s="101"/>
      <c r="L10" s="101"/>
      <c r="M10" s="101"/>
      <c r="N10" s="476" t="str">
        <f>'Downlink Budget'!B33</f>
        <v>Convolutional R=1/2, K=7</v>
      </c>
      <c r="O10" s="477"/>
      <c r="P10" s="101"/>
      <c r="Q10" s="101"/>
      <c r="R10" s="105"/>
    </row>
    <row r="11" spans="1:18">
      <c r="A11" s="100"/>
      <c r="B11" s="101"/>
      <c r="C11" s="101"/>
      <c r="D11" s="101"/>
      <c r="E11" s="101"/>
      <c r="F11" s="101"/>
      <c r="G11" s="101"/>
      <c r="H11" s="105"/>
      <c r="I11" s="100"/>
      <c r="J11" s="101"/>
      <c r="K11" s="101"/>
      <c r="L11" s="101"/>
      <c r="M11" s="101"/>
      <c r="N11" s="101"/>
      <c r="O11" s="101"/>
      <c r="P11" s="101"/>
      <c r="Q11" s="101"/>
      <c r="R11" s="105"/>
    </row>
    <row r="12" spans="1:18" ht="15.75">
      <c r="A12" s="100"/>
      <c r="B12" s="101"/>
      <c r="C12" s="101"/>
      <c r="D12" s="101"/>
      <c r="E12" s="101"/>
      <c r="F12" s="101"/>
      <c r="G12" s="101"/>
      <c r="H12" s="105"/>
      <c r="I12" s="100"/>
      <c r="J12" s="101"/>
      <c r="K12" s="101"/>
      <c r="L12" s="101"/>
      <c r="M12" s="101"/>
      <c r="N12" s="509" t="s">
        <v>486</v>
      </c>
      <c r="O12" s="514">
        <v>0.4</v>
      </c>
      <c r="P12" s="101"/>
      <c r="Q12" s="101"/>
      <c r="R12" s="105"/>
    </row>
    <row r="13" spans="1:18">
      <c r="A13" s="100"/>
      <c r="B13" s="101"/>
      <c r="C13" s="101"/>
      <c r="D13" s="101" t="s">
        <v>818</v>
      </c>
      <c r="E13" s="101"/>
      <c r="F13" s="474" t="s">
        <v>514</v>
      </c>
      <c r="G13" s="475"/>
      <c r="H13" s="105"/>
      <c r="I13" s="100"/>
      <c r="J13" s="101"/>
      <c r="K13" s="101"/>
      <c r="L13" s="101"/>
      <c r="M13" s="101"/>
      <c r="N13" s="101"/>
      <c r="O13" s="101"/>
      <c r="P13" s="101"/>
      <c r="Q13" s="101"/>
      <c r="R13" s="105"/>
    </row>
    <row r="14" spans="1:18">
      <c r="A14" s="100"/>
      <c r="B14" s="101"/>
      <c r="C14" s="101"/>
      <c r="D14" s="101"/>
      <c r="E14" s="101"/>
      <c r="F14" s="476" t="str">
        <f>'Uplink Budget'!B33</f>
        <v>Convolutional R=1/2, K=7</v>
      </c>
      <c r="G14" s="477"/>
      <c r="H14" s="105"/>
      <c r="I14" s="100"/>
      <c r="J14" s="101"/>
      <c r="K14" s="101"/>
      <c r="L14" s="101"/>
      <c r="M14" s="101"/>
      <c r="N14" s="193" t="s">
        <v>487</v>
      </c>
      <c r="O14" s="513">
        <f>O18/O12</f>
        <v>5</v>
      </c>
      <c r="P14" s="101"/>
      <c r="Q14" s="101"/>
      <c r="R14" s="105"/>
    </row>
    <row r="15" spans="1:18">
      <c r="A15" s="100"/>
      <c r="B15" s="101"/>
      <c r="C15" s="101"/>
      <c r="D15" s="101"/>
      <c r="E15" s="101"/>
      <c r="F15" s="101"/>
      <c r="G15" s="101"/>
      <c r="H15" s="105"/>
      <c r="I15" s="100"/>
      <c r="J15" s="101"/>
      <c r="K15" s="101"/>
      <c r="L15" s="101"/>
      <c r="M15" s="101"/>
      <c r="N15" s="101"/>
      <c r="O15" s="101"/>
      <c r="P15" s="101"/>
      <c r="Q15" s="101"/>
      <c r="R15" s="105"/>
    </row>
    <row r="16" spans="1:18">
      <c r="A16" s="100"/>
      <c r="B16" s="101"/>
      <c r="C16" s="101"/>
      <c r="D16" s="101"/>
      <c r="E16" s="101"/>
      <c r="F16" s="101"/>
      <c r="G16" s="101"/>
      <c r="H16" s="105"/>
      <c r="I16" s="100"/>
      <c r="J16" s="101"/>
      <c r="K16" s="101"/>
      <c r="L16" s="101"/>
      <c r="M16" s="101"/>
      <c r="N16" s="511" t="s">
        <v>488</v>
      </c>
      <c r="O16" s="513">
        <f>O14-O18</f>
        <v>3</v>
      </c>
      <c r="P16" s="101"/>
      <c r="Q16" s="101"/>
      <c r="R16" s="105"/>
    </row>
    <row r="17" spans="1:18">
      <c r="A17" s="100"/>
      <c r="B17" s="101"/>
      <c r="C17" s="101"/>
      <c r="D17" s="101"/>
      <c r="E17" s="101"/>
      <c r="F17" s="101"/>
      <c r="G17" s="101"/>
      <c r="H17" s="105"/>
      <c r="I17" s="100"/>
      <c r="J17" s="102" t="s">
        <v>818</v>
      </c>
      <c r="K17" s="101"/>
      <c r="L17" s="101" t="s">
        <v>525</v>
      </c>
      <c r="M17" s="101"/>
      <c r="N17" s="101"/>
      <c r="O17" s="512"/>
      <c r="P17" s="101"/>
      <c r="Q17" s="101"/>
      <c r="R17" s="105"/>
    </row>
    <row r="18" spans="1:18">
      <c r="A18" s="100"/>
      <c r="B18" s="101"/>
      <c r="C18" s="101"/>
      <c r="D18" s="101"/>
      <c r="E18" s="101"/>
      <c r="F18" s="500" t="s">
        <v>478</v>
      </c>
      <c r="G18" s="501">
        <f>'Uplink Budget'!B35</f>
        <v>9.9999999999999995E-7</v>
      </c>
      <c r="H18" s="105"/>
      <c r="I18" s="100"/>
      <c r="J18" s="101"/>
      <c r="K18" s="101"/>
      <c r="L18" s="101"/>
      <c r="M18" s="101"/>
      <c r="N18" s="435" t="s">
        <v>485</v>
      </c>
      <c r="O18" s="510">
        <f>Transmitters!E57</f>
        <v>2</v>
      </c>
      <c r="P18" s="101"/>
      <c r="Q18" s="101"/>
      <c r="R18" s="105"/>
    </row>
    <row r="19" spans="1:18">
      <c r="A19" s="100"/>
      <c r="B19" s="101"/>
      <c r="C19" s="101"/>
      <c r="D19" s="101"/>
      <c r="E19" s="101"/>
      <c r="F19" s="474" t="s">
        <v>463</v>
      </c>
      <c r="G19" s="475"/>
      <c r="H19" s="105"/>
      <c r="I19" s="100"/>
      <c r="J19" s="101"/>
      <c r="K19" s="101"/>
      <c r="L19" s="101"/>
      <c r="M19" s="101"/>
      <c r="N19" s="101"/>
      <c r="O19" s="101"/>
      <c r="P19" s="101"/>
      <c r="Q19" s="101"/>
      <c r="R19" s="105"/>
    </row>
    <row r="20" spans="1:18">
      <c r="A20" s="100"/>
      <c r="B20" s="101"/>
      <c r="C20" s="101"/>
      <c r="D20" s="101"/>
      <c r="E20" s="101"/>
      <c r="F20" s="476" t="str">
        <f>'Uplink Budget'!B32</f>
        <v>BPSK</v>
      </c>
      <c r="G20" s="477"/>
      <c r="H20" s="105"/>
      <c r="I20" s="100"/>
      <c r="J20" s="101"/>
      <c r="K20" s="101"/>
      <c r="L20" s="101"/>
      <c r="M20" s="101"/>
      <c r="N20" s="435" t="s">
        <v>456</v>
      </c>
      <c r="O20" s="490">
        <f>Transmitters!E67*Transmitters!I60</f>
        <v>1.6500000000000001E-2</v>
      </c>
      <c r="P20" s="101"/>
      <c r="Q20" s="101"/>
      <c r="R20" s="105"/>
    </row>
    <row r="21" spans="1:18">
      <c r="A21" s="100"/>
      <c r="B21" s="101"/>
      <c r="C21" s="101"/>
      <c r="D21" s="101"/>
      <c r="E21" s="101"/>
      <c r="F21" s="498" t="s">
        <v>362</v>
      </c>
      <c r="G21" s="499">
        <f>'Uplink Budget'!B41</f>
        <v>5.3</v>
      </c>
      <c r="H21" s="105"/>
      <c r="I21" s="100"/>
      <c r="J21" s="101"/>
      <c r="K21" s="101"/>
      <c r="L21" s="101"/>
      <c r="M21" s="101"/>
      <c r="N21" s="101"/>
      <c r="O21" s="101"/>
      <c r="P21" s="101"/>
      <c r="Q21" s="101"/>
      <c r="R21" s="105"/>
    </row>
    <row r="22" spans="1:18">
      <c r="A22" s="100"/>
      <c r="B22" s="101"/>
      <c r="C22" s="101"/>
      <c r="D22" s="101"/>
      <c r="E22" s="101"/>
      <c r="F22" s="101"/>
      <c r="G22" s="101"/>
      <c r="H22" s="105"/>
      <c r="I22" s="100"/>
      <c r="J22" s="101"/>
      <c r="K22" s="101"/>
      <c r="L22" s="101"/>
      <c r="M22" s="101"/>
      <c r="N22" s="435" t="s">
        <v>490</v>
      </c>
      <c r="O22" s="490">
        <f>Transmitters!I76</f>
        <v>0.5</v>
      </c>
      <c r="P22" s="101"/>
      <c r="Q22" s="101"/>
      <c r="R22" s="105"/>
    </row>
    <row r="23" spans="1:18">
      <c r="A23" s="100"/>
      <c r="B23" s="101"/>
      <c r="C23" s="101"/>
      <c r="D23" s="101"/>
      <c r="E23" s="101"/>
      <c r="F23" s="101"/>
      <c r="G23" s="101"/>
      <c r="H23" s="105"/>
      <c r="I23" s="100"/>
      <c r="J23" s="102" t="s">
        <v>818</v>
      </c>
      <c r="K23" s="101"/>
      <c r="L23" s="101" t="s">
        <v>526</v>
      </c>
      <c r="M23" s="101"/>
      <c r="N23" s="101"/>
      <c r="O23" s="101"/>
      <c r="P23" s="101"/>
      <c r="Q23" s="101"/>
      <c r="R23" s="105"/>
    </row>
    <row r="24" spans="1:18">
      <c r="A24" s="100"/>
      <c r="B24" s="101"/>
      <c r="C24" s="101"/>
      <c r="D24" s="101"/>
      <c r="E24" s="101"/>
      <c r="F24" s="101"/>
      <c r="G24" s="101"/>
      <c r="H24" s="105"/>
      <c r="I24" s="100"/>
      <c r="J24" s="101"/>
      <c r="K24" s="101"/>
      <c r="L24" s="101"/>
      <c r="M24" s="101"/>
      <c r="N24" s="435" t="s">
        <v>491</v>
      </c>
      <c r="O24" s="490">
        <f>Transmitters!I61*Transmitters!E67</f>
        <v>1.6500000000000001E-2</v>
      </c>
      <c r="P24" s="101"/>
      <c r="Q24" s="101"/>
      <c r="R24" s="105"/>
    </row>
    <row r="25" spans="1:18">
      <c r="A25" s="100"/>
      <c r="B25" s="101"/>
      <c r="C25" s="101"/>
      <c r="D25" s="101"/>
      <c r="E25" s="101"/>
      <c r="F25" s="435" t="s">
        <v>474</v>
      </c>
      <c r="G25" s="495">
        <f>'Uplink Budget'!B57</f>
        <v>100000</v>
      </c>
      <c r="H25" s="105"/>
      <c r="I25" s="100"/>
      <c r="J25" s="101"/>
      <c r="K25" s="101"/>
      <c r="L25" s="101"/>
      <c r="M25" s="101"/>
      <c r="N25" s="101"/>
      <c r="O25" s="101"/>
      <c r="P25" s="101"/>
      <c r="Q25" s="101"/>
      <c r="R25" s="105"/>
    </row>
    <row r="26" spans="1:18">
      <c r="A26" s="100"/>
      <c r="B26" s="101"/>
      <c r="C26" s="101"/>
      <c r="D26" s="101"/>
      <c r="E26" s="101"/>
      <c r="F26" s="101" t="s">
        <v>475</v>
      </c>
      <c r="G26" s="101"/>
      <c r="H26" s="105"/>
      <c r="I26" s="100"/>
      <c r="J26" s="101"/>
      <c r="K26" s="101"/>
      <c r="L26" s="101"/>
      <c r="M26" s="101"/>
      <c r="N26" s="435" t="s">
        <v>496</v>
      </c>
      <c r="O26" s="490">
        <f>Transmitters!I77</f>
        <v>0.18</v>
      </c>
      <c r="P26" s="101"/>
      <c r="Q26" s="101"/>
      <c r="R26" s="105"/>
    </row>
    <row r="27" spans="1:18">
      <c r="A27" s="100"/>
      <c r="B27" s="101"/>
      <c r="C27" s="101"/>
      <c r="D27" s="101"/>
      <c r="E27" s="101"/>
      <c r="F27" s="101"/>
      <c r="G27" s="101"/>
      <c r="H27" s="105"/>
      <c r="I27" s="100"/>
      <c r="J27" s="101"/>
      <c r="K27" s="101"/>
      <c r="L27" s="101"/>
      <c r="M27" s="101"/>
      <c r="N27" s="521" t="str">
        <f>Transmitters!F77</f>
        <v>Dir. Coupler</v>
      </c>
      <c r="O27" s="487"/>
      <c r="P27" s="101"/>
      <c r="Q27" s="101"/>
      <c r="R27" s="105"/>
    </row>
    <row r="28" spans="1:18">
      <c r="A28" s="100"/>
      <c r="B28" s="101"/>
      <c r="C28" s="101"/>
      <c r="D28" s="101"/>
      <c r="E28" s="101"/>
      <c r="F28" s="101"/>
      <c r="G28" s="101"/>
      <c r="H28" s="105"/>
      <c r="I28" s="100"/>
      <c r="J28" s="101"/>
      <c r="K28" s="101"/>
      <c r="L28" s="101"/>
      <c r="M28" s="101"/>
      <c r="N28" s="101" t="s">
        <v>818</v>
      </c>
      <c r="O28" s="101"/>
      <c r="P28" s="101"/>
      <c r="Q28" s="101"/>
      <c r="R28" s="105"/>
    </row>
    <row r="29" spans="1:18">
      <c r="A29" s="100"/>
      <c r="B29" s="101"/>
      <c r="C29" s="101"/>
      <c r="D29" s="101"/>
      <c r="E29" s="101"/>
      <c r="F29" s="101"/>
      <c r="G29" s="101"/>
      <c r="H29" s="105"/>
      <c r="I29" s="100"/>
      <c r="J29" s="101"/>
      <c r="K29" s="101"/>
      <c r="L29" s="101"/>
      <c r="M29" s="101"/>
      <c r="N29" s="435" t="s">
        <v>492</v>
      </c>
      <c r="O29" s="490">
        <f>Transmitters!E67*Transmitters!I62</f>
        <v>0</v>
      </c>
      <c r="P29" s="101"/>
      <c r="Q29" s="101"/>
      <c r="R29" s="105"/>
    </row>
    <row r="30" spans="1:18">
      <c r="A30" s="100"/>
      <c r="B30" s="101"/>
      <c r="C30" s="101"/>
      <c r="D30" s="101"/>
      <c r="E30" s="101"/>
      <c r="F30" s="101"/>
      <c r="G30" s="101"/>
      <c r="H30" s="105"/>
      <c r="I30" s="100"/>
      <c r="J30" s="102" t="s">
        <v>818</v>
      </c>
      <c r="K30" s="101"/>
      <c r="L30" s="101" t="s">
        <v>524</v>
      </c>
      <c r="M30" s="101"/>
      <c r="N30" s="101"/>
      <c r="O30" s="101"/>
      <c r="P30" s="101"/>
      <c r="Q30" s="101"/>
      <c r="R30" s="105"/>
    </row>
    <row r="31" spans="1:18">
      <c r="A31" s="100"/>
      <c r="B31" s="101"/>
      <c r="C31" s="101"/>
      <c r="D31" s="101"/>
      <c r="E31" s="101"/>
      <c r="F31" s="101"/>
      <c r="G31" s="101"/>
      <c r="H31" s="105"/>
      <c r="I31" s="100"/>
      <c r="J31" s="101"/>
      <c r="K31" s="101"/>
      <c r="L31" s="101"/>
      <c r="M31" s="101"/>
      <c r="N31" s="435" t="s">
        <v>493</v>
      </c>
      <c r="O31" s="490">
        <f>Transmitters!I82</f>
        <v>1.643</v>
      </c>
      <c r="P31" s="101"/>
      <c r="Q31" s="101"/>
      <c r="R31" s="105"/>
    </row>
    <row r="32" spans="1:18">
      <c r="A32" s="100"/>
      <c r="B32" s="101"/>
      <c r="C32" s="101"/>
      <c r="D32" s="101"/>
      <c r="E32" s="101"/>
      <c r="F32" s="101"/>
      <c r="G32" s="101"/>
      <c r="H32" s="105"/>
      <c r="I32" s="100"/>
      <c r="J32" s="101"/>
      <c r="K32" s="101"/>
      <c r="L32" s="101"/>
      <c r="M32" s="101"/>
      <c r="N32" s="101"/>
      <c r="O32" s="101"/>
      <c r="P32" s="101"/>
      <c r="Q32" s="101"/>
      <c r="R32" s="105"/>
    </row>
    <row r="33" spans="1:18">
      <c r="A33" s="100"/>
      <c r="B33" s="101"/>
      <c r="C33" s="101"/>
      <c r="D33" s="101"/>
      <c r="E33" s="101"/>
      <c r="F33" s="101"/>
      <c r="G33" s="101"/>
      <c r="H33" s="105"/>
      <c r="I33" s="100"/>
      <c r="J33" s="101"/>
      <c r="K33" s="101"/>
      <c r="L33" s="101"/>
      <c r="M33" s="473" t="s">
        <v>981</v>
      </c>
      <c r="N33" s="101"/>
      <c r="O33" s="101"/>
      <c r="P33" s="101"/>
      <c r="Q33" s="101"/>
      <c r="R33" s="105"/>
    </row>
    <row r="34" spans="1:18">
      <c r="A34" s="100"/>
      <c r="B34" s="101"/>
      <c r="C34" s="101"/>
      <c r="D34" s="101"/>
      <c r="E34" s="101"/>
      <c r="F34" s="435" t="s">
        <v>468</v>
      </c>
      <c r="G34" s="494">
        <f>'Uplink Budget'!B26</f>
        <v>-27.414781190215166</v>
      </c>
      <c r="H34" s="105"/>
      <c r="I34" s="100"/>
      <c r="J34" s="101"/>
      <c r="K34" s="101"/>
      <c r="L34" s="101"/>
      <c r="M34" s="101"/>
      <c r="N34" s="101"/>
      <c r="O34" s="101"/>
      <c r="P34" s="101"/>
      <c r="Q34" s="101"/>
      <c r="R34" s="105"/>
    </row>
    <row r="35" spans="1:18">
      <c r="A35" s="100"/>
      <c r="B35" s="101"/>
      <c r="C35" s="101"/>
      <c r="D35" s="101"/>
      <c r="E35" s="101"/>
      <c r="F35" s="101"/>
      <c r="G35" s="101"/>
      <c r="H35" s="105"/>
      <c r="I35" s="100"/>
      <c r="J35" s="101"/>
      <c r="K35" s="101"/>
      <c r="L35" s="101"/>
      <c r="M35" s="101"/>
      <c r="N35" s="474" t="s">
        <v>494</v>
      </c>
      <c r="O35" s="523">
        <f>'Downlink Budget'!B10</f>
        <v>1</v>
      </c>
      <c r="P35" s="101"/>
      <c r="Q35" s="101"/>
      <c r="R35" s="105"/>
    </row>
    <row r="36" spans="1:18">
      <c r="A36" s="100"/>
      <c r="B36" s="101"/>
      <c r="C36" s="101"/>
      <c r="D36" s="101"/>
      <c r="E36" s="101"/>
      <c r="F36" s="435" t="s">
        <v>467</v>
      </c>
      <c r="G36" s="493">
        <f>'Uplink Budget'!B25</f>
        <v>520.68865961277027</v>
      </c>
      <c r="H36" s="105"/>
      <c r="I36" s="100"/>
      <c r="J36" s="101"/>
      <c r="K36" s="101"/>
      <c r="L36" s="101"/>
      <c r="M36" s="101"/>
      <c r="N36" s="500" t="s">
        <v>60</v>
      </c>
      <c r="O36" s="384" t="str">
        <f>'Antenna Gain'!K41</f>
        <v>RHCP</v>
      </c>
      <c r="P36" s="101"/>
      <c r="Q36" s="101"/>
      <c r="R36" s="105"/>
    </row>
    <row r="37" spans="1:18">
      <c r="A37" s="100"/>
      <c r="B37" s="101"/>
      <c r="C37" s="101"/>
      <c r="D37" s="101"/>
      <c r="E37" s="101"/>
      <c r="F37" s="101"/>
      <c r="G37" s="101"/>
      <c r="H37" s="105"/>
      <c r="I37" s="100"/>
      <c r="J37" s="101"/>
      <c r="K37" s="101"/>
      <c r="L37" s="101"/>
      <c r="M37" s="101"/>
      <c r="N37" s="101"/>
      <c r="O37" s="101"/>
      <c r="P37" s="101"/>
      <c r="Q37" s="101"/>
      <c r="R37" s="105"/>
    </row>
    <row r="38" spans="1:18">
      <c r="A38" s="100"/>
      <c r="B38" s="101"/>
      <c r="C38" s="101"/>
      <c r="D38" s="101"/>
      <c r="E38" s="101"/>
      <c r="F38" s="101"/>
      <c r="G38" s="101"/>
      <c r="H38" s="105"/>
      <c r="I38" s="100"/>
      <c r="J38" s="630" t="str">
        <f>'Antenna Gain'!F41</f>
        <v>Canted Turnstyle</v>
      </c>
      <c r="K38" s="101"/>
      <c r="L38" s="101"/>
      <c r="M38" s="101"/>
      <c r="N38" s="193" t="s">
        <v>495</v>
      </c>
      <c r="O38" s="524">
        <f>'Downlink Budget'!B11</f>
        <v>2.3672999566398119</v>
      </c>
      <c r="P38" s="101"/>
      <c r="Q38" s="101"/>
      <c r="R38" s="105"/>
    </row>
    <row r="39" spans="1:18">
      <c r="A39" s="100"/>
      <c r="B39" s="101"/>
      <c r="C39" s="101"/>
      <c r="D39" s="101"/>
      <c r="E39" s="101"/>
      <c r="F39" s="435" t="s">
        <v>462</v>
      </c>
      <c r="G39" s="493">
        <f>Receivers!J67</f>
        <v>15647</v>
      </c>
      <c r="H39" s="105"/>
      <c r="I39" s="100"/>
      <c r="J39" s="101"/>
      <c r="K39" s="101"/>
      <c r="L39" s="101"/>
      <c r="M39" s="101"/>
      <c r="N39" s="101"/>
      <c r="O39" s="101"/>
      <c r="P39" s="101"/>
      <c r="Q39" s="101"/>
      <c r="R39" s="105"/>
    </row>
    <row r="40" spans="1:18">
      <c r="A40" s="100"/>
      <c r="B40" s="101"/>
      <c r="C40" s="101"/>
      <c r="D40" s="101"/>
      <c r="E40" s="101"/>
      <c r="F40" s="101"/>
      <c r="G40" s="101"/>
      <c r="H40" s="105"/>
      <c r="I40" s="100"/>
      <c r="J40" s="101"/>
      <c r="K40" s="101"/>
      <c r="L40" s="101"/>
      <c r="M40" s="101"/>
      <c r="N40" s="515" t="s">
        <v>497</v>
      </c>
      <c r="O40" s="516"/>
      <c r="P40" s="101"/>
      <c r="Q40" s="101"/>
      <c r="R40" s="105"/>
    </row>
    <row r="41" spans="1:18">
      <c r="A41" s="100"/>
      <c r="B41" s="101"/>
      <c r="C41" s="101"/>
      <c r="D41" s="101"/>
      <c r="E41" s="101"/>
      <c r="F41" s="101"/>
      <c r="G41" s="101"/>
      <c r="H41" s="105"/>
      <c r="I41" s="100"/>
      <c r="J41" s="101"/>
      <c r="K41" s="101"/>
      <c r="L41" s="101"/>
      <c r="M41" s="101"/>
      <c r="N41" s="528">
        <f>'Downlink Budget'!B13+'Downlink Budget'!B14+'Downlink Budget'!B15+'Downlink Budget'!B16+'Downlink Budget'!B17+'Downlink Budget'!B18+'Downlink Budget'!B22</f>
        <v>150.38834013564079</v>
      </c>
      <c r="O41" s="529" t="s">
        <v>860</v>
      </c>
      <c r="P41" s="101"/>
      <c r="Q41" s="101"/>
      <c r="R41" s="105"/>
    </row>
    <row r="42" spans="1:18">
      <c r="A42" s="100"/>
      <c r="B42" s="101"/>
      <c r="C42" s="101"/>
      <c r="D42" s="101"/>
      <c r="E42" s="101"/>
      <c r="F42" s="101"/>
      <c r="G42" s="101"/>
      <c r="H42" s="105"/>
      <c r="I42" s="100"/>
      <c r="J42" s="101"/>
      <c r="K42" s="101"/>
      <c r="L42" s="101"/>
      <c r="M42" s="101"/>
      <c r="N42" s="101"/>
      <c r="O42" s="101"/>
      <c r="P42" s="101"/>
      <c r="Q42" s="101"/>
      <c r="R42" s="105"/>
    </row>
    <row r="43" spans="1:18">
      <c r="A43" s="100"/>
      <c r="B43" s="101"/>
      <c r="C43" s="101"/>
      <c r="D43" s="101"/>
      <c r="E43" s="101"/>
      <c r="F43" s="101"/>
      <c r="G43" s="101"/>
      <c r="H43" s="105"/>
      <c r="I43" s="100"/>
      <c r="J43" s="101"/>
      <c r="K43" s="101"/>
      <c r="L43" s="101"/>
      <c r="M43" s="101"/>
      <c r="N43" s="435" t="s">
        <v>498</v>
      </c>
      <c r="O43" s="490">
        <f>'Downlink Budget'!B15</f>
        <v>148.5169324637277</v>
      </c>
      <c r="P43" s="101"/>
      <c r="Q43" s="101"/>
      <c r="R43" s="105"/>
    </row>
    <row r="44" spans="1:18">
      <c r="A44" s="100"/>
      <c r="B44" s="101"/>
      <c r="C44" s="101"/>
      <c r="D44" s="101"/>
      <c r="E44" s="101"/>
      <c r="F44" s="101"/>
      <c r="G44" s="101"/>
      <c r="H44" s="105"/>
      <c r="I44" s="100"/>
      <c r="J44" s="101"/>
      <c r="K44" s="101"/>
      <c r="L44" s="101"/>
      <c r="M44" s="101"/>
      <c r="N44" s="101"/>
      <c r="O44" s="101"/>
      <c r="P44" s="101"/>
      <c r="Q44" s="101"/>
      <c r="R44" s="105"/>
    </row>
    <row r="45" spans="1:18">
      <c r="A45" s="100"/>
      <c r="B45" s="101"/>
      <c r="C45" s="101"/>
      <c r="D45" s="101"/>
      <c r="E45" s="101"/>
      <c r="F45" s="435" t="s">
        <v>459</v>
      </c>
      <c r="G45" s="490">
        <f>Receivers!F65</f>
        <v>17</v>
      </c>
      <c r="H45" s="105"/>
      <c r="I45" s="100"/>
      <c r="J45" s="101" t="str">
        <f>'Antenna Gain'!F58</f>
        <v>Crossed Yagi</v>
      </c>
      <c r="K45" s="101"/>
      <c r="L45" s="101"/>
      <c r="M45" s="101"/>
      <c r="N45" s="101"/>
      <c r="O45" s="101"/>
      <c r="P45" s="101"/>
      <c r="Q45" s="101"/>
      <c r="R45" s="105"/>
    </row>
    <row r="46" spans="1:18">
      <c r="A46" s="100"/>
      <c r="B46" s="101"/>
      <c r="C46" s="101"/>
      <c r="D46" s="101"/>
      <c r="E46" s="101"/>
      <c r="F46" s="101"/>
      <c r="G46" s="101"/>
      <c r="H46" s="105"/>
      <c r="I46" s="100"/>
      <c r="J46" s="101"/>
      <c r="K46" s="101"/>
      <c r="L46" s="101"/>
      <c r="M46" s="101"/>
      <c r="N46" s="101"/>
      <c r="O46" s="101"/>
      <c r="P46" s="101"/>
      <c r="Q46" s="101"/>
      <c r="R46" s="105"/>
    </row>
    <row r="47" spans="1:18">
      <c r="A47" s="100"/>
      <c r="B47" s="101"/>
      <c r="C47" s="101"/>
      <c r="D47" s="101"/>
      <c r="E47" s="101"/>
      <c r="F47" s="435" t="s">
        <v>458</v>
      </c>
      <c r="G47" s="493">
        <f>Receivers!J63</f>
        <v>31</v>
      </c>
      <c r="H47" s="105"/>
      <c r="I47" s="100"/>
      <c r="J47" s="101"/>
      <c r="K47" s="101"/>
      <c r="L47" s="101"/>
      <c r="M47" s="101"/>
      <c r="N47" s="435" t="s">
        <v>499</v>
      </c>
      <c r="O47" s="488">
        <f>'Downlink Budget'!B23</f>
        <v>15.5</v>
      </c>
      <c r="P47" s="101"/>
      <c r="Q47" s="101"/>
      <c r="R47" s="105"/>
    </row>
    <row r="48" spans="1:18">
      <c r="A48" s="100"/>
      <c r="B48" s="101"/>
      <c r="C48" s="101"/>
      <c r="D48" s="101"/>
      <c r="E48" s="101"/>
      <c r="F48" s="101"/>
      <c r="G48" s="101"/>
      <c r="H48" s="105"/>
      <c r="I48" s="100"/>
      <c r="J48" s="101"/>
      <c r="K48" s="101"/>
      <c r="L48" s="101"/>
      <c r="M48" s="101"/>
      <c r="N48" s="500" t="s">
        <v>60</v>
      </c>
      <c r="O48" s="384" t="str">
        <f>'Antenna Gain'!K58</f>
        <v>RHCP</v>
      </c>
      <c r="P48" s="101"/>
      <c r="Q48" s="101"/>
      <c r="R48" s="105"/>
    </row>
    <row r="49" spans="1:18">
      <c r="A49" s="100"/>
      <c r="B49" s="101"/>
      <c r="C49" s="101"/>
      <c r="D49" s="101"/>
      <c r="E49" s="101"/>
      <c r="F49" s="435" t="s">
        <v>460</v>
      </c>
      <c r="G49" s="492">
        <f>Receivers!J55</f>
        <v>1.2490000000000001</v>
      </c>
      <c r="H49" s="105"/>
      <c r="I49" s="100"/>
      <c r="J49" s="101"/>
      <c r="K49" s="101"/>
      <c r="L49" s="101"/>
      <c r="M49" s="101"/>
      <c r="N49" s="101"/>
      <c r="O49" s="101"/>
      <c r="P49" s="101"/>
      <c r="Q49" s="101"/>
      <c r="R49" s="105"/>
    </row>
    <row r="50" spans="1:18">
      <c r="A50" s="100"/>
      <c r="B50" s="101"/>
      <c r="C50" s="101"/>
      <c r="D50" s="101"/>
      <c r="E50" s="101"/>
      <c r="F50" s="101"/>
      <c r="G50" s="101"/>
      <c r="H50" s="105"/>
      <c r="I50" s="100"/>
      <c r="J50" s="101"/>
      <c r="K50" s="101"/>
      <c r="L50" s="101"/>
      <c r="M50" s="473" t="s">
        <v>986</v>
      </c>
      <c r="N50" s="101"/>
      <c r="O50" s="101"/>
      <c r="P50" s="101"/>
      <c r="Q50" s="101"/>
      <c r="R50" s="105"/>
    </row>
    <row r="51" spans="1:18">
      <c r="A51" s="100"/>
      <c r="B51" s="101"/>
      <c r="C51" s="101"/>
      <c r="D51" s="101"/>
      <c r="E51" s="101" t="s">
        <v>445</v>
      </c>
      <c r="F51" s="435" t="s">
        <v>456</v>
      </c>
      <c r="G51" s="491">
        <f>Receivers!J47</f>
        <v>2.4500000000000001E-2</v>
      </c>
      <c r="H51" s="105"/>
      <c r="I51" s="100"/>
      <c r="J51" s="101"/>
      <c r="K51" s="101"/>
      <c r="L51" s="101"/>
      <c r="M51" s="101"/>
      <c r="N51" s="101"/>
      <c r="O51" s="101"/>
      <c r="P51" s="101"/>
      <c r="Q51" s="101"/>
      <c r="R51" s="105"/>
    </row>
    <row r="52" spans="1:18">
      <c r="A52" s="100"/>
      <c r="B52" s="101"/>
      <c r="C52" s="101"/>
      <c r="D52" s="101"/>
      <c r="E52" s="101"/>
      <c r="F52" s="101"/>
      <c r="G52" s="101"/>
      <c r="H52" s="105"/>
      <c r="I52" s="100"/>
      <c r="J52" s="101"/>
      <c r="K52" s="101"/>
      <c r="L52" s="101"/>
      <c r="M52" s="101"/>
      <c r="N52" s="101" t="s">
        <v>818</v>
      </c>
      <c r="O52" s="101"/>
      <c r="P52" s="101"/>
      <c r="Q52" s="101"/>
      <c r="R52" s="105"/>
    </row>
    <row r="53" spans="1:18">
      <c r="A53" s="100"/>
      <c r="B53" s="101"/>
      <c r="C53" s="101"/>
      <c r="D53" s="101"/>
      <c r="E53" s="101"/>
      <c r="F53" s="435" t="s">
        <v>470</v>
      </c>
      <c r="G53" s="484">
        <f>Receivers!J50</f>
        <v>0.85</v>
      </c>
      <c r="H53" s="105"/>
      <c r="I53" s="100"/>
      <c r="J53" s="101"/>
      <c r="K53" s="101"/>
      <c r="L53" s="101"/>
      <c r="M53" s="101"/>
      <c r="N53" s="101"/>
      <c r="O53" s="101"/>
      <c r="P53" s="101"/>
      <c r="Q53" s="101"/>
      <c r="R53" s="105"/>
    </row>
    <row r="54" spans="1:18">
      <c r="A54" s="100"/>
      <c r="B54" s="101"/>
      <c r="C54" s="101"/>
      <c r="D54" s="101"/>
      <c r="E54" s="101"/>
      <c r="F54" s="101"/>
      <c r="G54" s="101"/>
      <c r="H54" s="105"/>
      <c r="I54" s="100"/>
      <c r="J54" s="101"/>
      <c r="K54" s="101"/>
      <c r="L54" s="101"/>
      <c r="M54" s="101" t="s">
        <v>446</v>
      </c>
      <c r="N54" s="435" t="s">
        <v>500</v>
      </c>
      <c r="O54" s="525">
        <f>Receivers!J122</f>
        <v>0</v>
      </c>
      <c r="P54" s="101"/>
      <c r="Q54" s="101"/>
      <c r="R54" s="105"/>
    </row>
    <row r="55" spans="1:18">
      <c r="A55" s="100"/>
      <c r="B55" s="101"/>
      <c r="C55" s="101"/>
      <c r="D55" s="101"/>
      <c r="E55" s="101" t="s">
        <v>185</v>
      </c>
      <c r="F55" s="435" t="s">
        <v>455</v>
      </c>
      <c r="G55" s="491">
        <f>Receivers!J48</f>
        <v>7.4499999999999997E-2</v>
      </c>
      <c r="H55" s="105"/>
      <c r="I55" s="100"/>
      <c r="J55" s="101"/>
      <c r="K55" s="101"/>
      <c r="L55" s="101"/>
      <c r="M55" s="101"/>
      <c r="N55" s="101"/>
      <c r="O55" s="101"/>
      <c r="P55" s="101"/>
      <c r="Q55" s="101"/>
      <c r="R55" s="105"/>
    </row>
    <row r="56" spans="1:18">
      <c r="A56" s="100"/>
      <c r="B56" s="101"/>
      <c r="C56" s="101"/>
      <c r="D56" s="101"/>
      <c r="E56" s="101"/>
      <c r="F56" s="101"/>
      <c r="G56" s="101"/>
      <c r="H56" s="105"/>
      <c r="I56" s="100"/>
      <c r="J56" s="101"/>
      <c r="K56" s="101"/>
      <c r="L56" s="101"/>
      <c r="M56" s="101"/>
      <c r="N56" s="435" t="s">
        <v>565</v>
      </c>
      <c r="O56" s="490">
        <f>Receivers!J124</f>
        <v>0</v>
      </c>
      <c r="P56" s="101"/>
      <c r="Q56" s="101"/>
      <c r="R56" s="105"/>
    </row>
    <row r="57" spans="1:18">
      <c r="A57" s="100"/>
      <c r="B57" s="101"/>
      <c r="C57" s="101"/>
      <c r="D57" s="101"/>
      <c r="E57" s="101"/>
      <c r="F57" s="101"/>
      <c r="G57" s="101"/>
      <c r="H57" s="105"/>
      <c r="I57" s="100"/>
      <c r="J57" s="101"/>
      <c r="K57" s="101"/>
      <c r="L57" s="101"/>
      <c r="M57" s="101"/>
      <c r="N57" s="486" t="str">
        <f>Receivers!J126</f>
        <v>none</v>
      </c>
      <c r="O57" s="487"/>
      <c r="P57" s="101"/>
      <c r="Q57" s="101"/>
      <c r="R57" s="105"/>
    </row>
    <row r="58" spans="1:18">
      <c r="A58" s="100"/>
      <c r="B58" s="101"/>
      <c r="C58" s="101"/>
      <c r="D58" s="101"/>
      <c r="E58" s="101"/>
      <c r="F58" s="435" t="s">
        <v>566</v>
      </c>
      <c r="G58" s="484">
        <f>Receivers!J51</f>
        <v>0</v>
      </c>
      <c r="H58" s="105"/>
      <c r="I58" s="100"/>
      <c r="J58" s="101"/>
      <c r="K58" s="101"/>
      <c r="L58" s="101"/>
      <c r="M58" s="101"/>
      <c r="N58" s="101"/>
      <c r="O58" s="101"/>
      <c r="P58" s="101"/>
      <c r="Q58" s="101"/>
      <c r="R58" s="105"/>
    </row>
    <row r="59" spans="1:18">
      <c r="A59" s="100"/>
      <c r="B59" s="101"/>
      <c r="C59" s="101"/>
      <c r="D59" s="101"/>
      <c r="E59" s="101"/>
      <c r="F59" s="486" t="str">
        <f>Receivers!J53</f>
        <v>none</v>
      </c>
      <c r="G59" s="487"/>
      <c r="H59" s="105"/>
      <c r="I59" s="100"/>
      <c r="J59" s="101"/>
      <c r="K59" s="101"/>
      <c r="L59" s="101"/>
      <c r="M59" s="101" t="s">
        <v>185</v>
      </c>
      <c r="N59" s="435" t="s">
        <v>504</v>
      </c>
      <c r="O59" s="491">
        <f>Receivers!J121</f>
        <v>0</v>
      </c>
      <c r="P59" s="101"/>
      <c r="Q59" s="101"/>
      <c r="R59" s="105"/>
    </row>
    <row r="60" spans="1:18">
      <c r="A60" s="100"/>
      <c r="B60" s="101"/>
      <c r="C60" s="101"/>
      <c r="D60" s="101"/>
      <c r="E60" s="101"/>
      <c r="F60" s="101"/>
      <c r="G60" s="101"/>
      <c r="H60" s="105"/>
      <c r="I60" s="100"/>
      <c r="J60" s="101"/>
      <c r="K60" s="101"/>
      <c r="L60" s="101"/>
      <c r="M60" s="101"/>
      <c r="N60" s="101"/>
      <c r="O60" s="101"/>
      <c r="P60" s="101"/>
      <c r="Q60" s="101"/>
      <c r="R60" s="105"/>
    </row>
    <row r="61" spans="1:18">
      <c r="A61" s="100"/>
      <c r="B61" s="101"/>
      <c r="C61" s="101"/>
      <c r="D61" s="101"/>
      <c r="E61" s="101" t="s">
        <v>446</v>
      </c>
      <c r="F61" s="435" t="s">
        <v>454</v>
      </c>
      <c r="G61" s="491">
        <f>Receivers!J49</f>
        <v>0</v>
      </c>
      <c r="H61" s="105"/>
      <c r="I61" s="100"/>
      <c r="J61" s="101"/>
      <c r="K61" s="101"/>
      <c r="L61" s="101"/>
      <c r="M61" s="101"/>
      <c r="N61" s="101"/>
      <c r="O61" s="101"/>
      <c r="P61" s="101"/>
      <c r="Q61" s="101"/>
      <c r="R61" s="105"/>
    </row>
    <row r="62" spans="1:18">
      <c r="A62" s="100"/>
      <c r="B62" s="101"/>
      <c r="C62" s="101"/>
      <c r="D62" s="101"/>
      <c r="E62" s="101"/>
      <c r="F62" s="101"/>
      <c r="G62" s="101"/>
      <c r="H62" s="105"/>
      <c r="I62" s="100"/>
      <c r="J62" s="101"/>
      <c r="K62" s="101"/>
      <c r="L62" s="101"/>
      <c r="M62" s="101"/>
      <c r="N62" s="435" t="s">
        <v>506</v>
      </c>
      <c r="O62" s="490">
        <f>Receivers!J123</f>
        <v>0</v>
      </c>
      <c r="P62" s="101"/>
      <c r="Q62" s="101"/>
      <c r="R62" s="105"/>
    </row>
    <row r="63" spans="1:18">
      <c r="A63" s="100"/>
      <c r="B63" s="101"/>
      <c r="C63" s="101"/>
      <c r="D63" s="101"/>
      <c r="E63" s="101"/>
      <c r="F63" s="101"/>
      <c r="G63" s="101"/>
      <c r="H63" s="105"/>
      <c r="I63" s="100"/>
      <c r="J63" s="101"/>
      <c r="K63" s="101"/>
      <c r="L63" s="101"/>
      <c r="M63" s="101"/>
      <c r="N63" s="101"/>
      <c r="O63" s="101"/>
      <c r="P63" s="101"/>
      <c r="Q63" s="101"/>
      <c r="R63" s="105"/>
    </row>
    <row r="64" spans="1:18">
      <c r="A64" s="100"/>
      <c r="B64" s="101"/>
      <c r="C64" s="101"/>
      <c r="D64" s="101"/>
      <c r="E64" s="473" t="s">
        <v>986</v>
      </c>
      <c r="F64" s="101"/>
      <c r="G64" s="101"/>
      <c r="H64" s="105"/>
      <c r="I64" s="100"/>
      <c r="J64" s="101"/>
      <c r="K64" s="101"/>
      <c r="L64" s="101"/>
      <c r="M64" s="101"/>
      <c r="N64" s="101"/>
      <c r="O64" s="101"/>
      <c r="P64" s="101"/>
      <c r="Q64" s="101"/>
      <c r="R64" s="105"/>
    </row>
    <row r="65" spans="1:18">
      <c r="A65" s="100"/>
      <c r="B65" s="101"/>
      <c r="C65" s="101"/>
      <c r="D65" s="101"/>
      <c r="E65" s="101"/>
      <c r="F65" s="101"/>
      <c r="G65" s="101"/>
      <c r="H65" s="105"/>
      <c r="I65" s="100"/>
      <c r="J65" s="101"/>
      <c r="K65" s="101"/>
      <c r="L65" s="101"/>
      <c r="M65" s="101" t="s">
        <v>445</v>
      </c>
      <c r="N65" s="435" t="s">
        <v>505</v>
      </c>
      <c r="O65" s="490">
        <f>Receivers!J120</f>
        <v>7.5899999999999995E-2</v>
      </c>
      <c r="P65" s="101"/>
      <c r="Q65" s="101"/>
      <c r="R65" s="105"/>
    </row>
    <row r="66" spans="1:18">
      <c r="A66" s="100"/>
      <c r="B66" s="101"/>
      <c r="C66" s="101"/>
      <c r="D66" s="101"/>
      <c r="E66" s="101"/>
      <c r="F66" s="435" t="s">
        <v>471</v>
      </c>
      <c r="G66" s="488">
        <f>'Uplink Budget'!B23</f>
        <v>1</v>
      </c>
      <c r="H66" s="105"/>
      <c r="I66" s="100"/>
      <c r="J66" s="101"/>
      <c r="K66" s="101"/>
      <c r="L66" s="101"/>
      <c r="M66" s="101"/>
      <c r="N66" s="101"/>
      <c r="O66" s="101"/>
      <c r="P66" s="101"/>
      <c r="Q66" s="101"/>
      <c r="R66" s="105"/>
    </row>
    <row r="67" spans="1:18">
      <c r="A67" s="100"/>
      <c r="B67" s="101" t="str">
        <f>'Antenna Gain'!F24</f>
        <v>Canted Turnstyle</v>
      </c>
      <c r="C67" s="101"/>
      <c r="D67" s="101"/>
      <c r="E67" s="101"/>
      <c r="F67" s="500" t="s">
        <v>483</v>
      </c>
      <c r="G67" s="508" t="str">
        <f>'Antenna Gain'!K11</f>
        <v>RHCP</v>
      </c>
      <c r="H67" s="105"/>
      <c r="I67" s="100"/>
      <c r="J67" s="101"/>
      <c r="K67" s="101"/>
      <c r="L67" s="101"/>
      <c r="M67" s="101"/>
      <c r="N67" s="435" t="s">
        <v>507</v>
      </c>
      <c r="O67" s="490">
        <f>Receivers!J128</f>
        <v>0.27590000000000003</v>
      </c>
      <c r="P67" s="101"/>
      <c r="Q67" s="101"/>
      <c r="R67" s="105"/>
    </row>
    <row r="68" spans="1:18">
      <c r="A68" s="100"/>
      <c r="B68" s="101"/>
      <c r="C68" s="101"/>
      <c r="D68" s="101"/>
      <c r="E68" s="101"/>
      <c r="F68" s="101" t="s">
        <v>818</v>
      </c>
      <c r="G68" s="101"/>
      <c r="H68" s="105"/>
      <c r="I68" s="100"/>
      <c r="J68" s="101"/>
      <c r="K68" s="101"/>
      <c r="L68" s="101"/>
      <c r="M68" s="101"/>
      <c r="N68" s="101"/>
      <c r="O68" s="101"/>
      <c r="P68" s="101"/>
      <c r="Q68" s="101"/>
      <c r="R68" s="105"/>
    </row>
    <row r="69" spans="1:18">
      <c r="A69" s="100"/>
      <c r="B69" s="101"/>
      <c r="C69" s="101"/>
      <c r="D69" s="101"/>
      <c r="E69" s="101"/>
      <c r="F69" s="435" t="s">
        <v>452</v>
      </c>
      <c r="G69" s="490">
        <f>'Uplink Budget'!B15</f>
        <v>157.75905801313266</v>
      </c>
      <c r="H69" s="105"/>
      <c r="I69" s="100"/>
      <c r="J69" s="101"/>
      <c r="K69" s="101"/>
      <c r="L69" s="101"/>
      <c r="M69" s="101"/>
      <c r="N69" s="435" t="s">
        <v>509</v>
      </c>
      <c r="O69" s="493">
        <f>Receivers!J136</f>
        <v>39</v>
      </c>
      <c r="P69" s="101"/>
      <c r="Q69" s="101"/>
      <c r="R69" s="105"/>
    </row>
    <row r="70" spans="1:18">
      <c r="A70" s="100"/>
      <c r="B70" s="101"/>
      <c r="C70" s="101"/>
      <c r="D70" s="101"/>
      <c r="E70" s="101"/>
      <c r="F70" s="101"/>
      <c r="G70" s="101"/>
      <c r="H70" s="105"/>
      <c r="I70" s="100"/>
      <c r="J70" s="101"/>
      <c r="K70" s="101"/>
      <c r="L70" s="101"/>
      <c r="M70" s="101"/>
      <c r="N70" s="101"/>
      <c r="O70" s="101"/>
      <c r="P70" s="101"/>
      <c r="Q70" s="101"/>
      <c r="R70" s="105"/>
    </row>
    <row r="71" spans="1:18">
      <c r="A71" s="100"/>
      <c r="B71" s="101"/>
      <c r="C71" s="101"/>
      <c r="D71" s="101"/>
      <c r="E71" s="101"/>
      <c r="F71" s="478" t="s">
        <v>482</v>
      </c>
      <c r="G71" s="479"/>
      <c r="H71" s="105"/>
      <c r="I71" s="100"/>
      <c r="J71" s="101"/>
      <c r="K71" s="101"/>
      <c r="L71" s="101"/>
      <c r="M71" s="101"/>
      <c r="N71" s="435" t="s">
        <v>508</v>
      </c>
      <c r="O71" s="490">
        <f>Receivers!F138</f>
        <v>18</v>
      </c>
      <c r="P71" s="101"/>
      <c r="Q71" s="101"/>
      <c r="R71" s="105"/>
    </row>
    <row r="72" spans="1:18">
      <c r="A72" s="100"/>
      <c r="B72" s="101"/>
      <c r="C72" s="101"/>
      <c r="D72" s="101"/>
      <c r="E72" s="101"/>
      <c r="F72" s="526">
        <f>'Uplink Budget'!B13+'Uplink Budget'!B14+'Uplink Budget'!B15+'Uplink Budget'!B16+'Uplink Budget'!B17+'Uplink Budget'!B18+'Uplink Budget'!B22</f>
        <v>159.47731255881533</v>
      </c>
      <c r="G72" s="527" t="s">
        <v>860</v>
      </c>
      <c r="H72" s="105"/>
      <c r="I72" s="100"/>
      <c r="J72" s="101"/>
      <c r="K72" s="101"/>
      <c r="L72" s="101"/>
      <c r="M72" s="101"/>
      <c r="N72" s="101"/>
      <c r="O72" s="101"/>
      <c r="P72" s="101"/>
      <c r="Q72" s="101"/>
      <c r="R72" s="105"/>
    </row>
    <row r="73" spans="1:18">
      <c r="A73" s="100"/>
      <c r="B73" s="101"/>
      <c r="C73" s="101"/>
      <c r="D73" s="101"/>
      <c r="E73" s="101"/>
      <c r="F73" s="101"/>
      <c r="G73" s="101"/>
      <c r="H73" s="105"/>
      <c r="I73" s="100"/>
      <c r="J73" s="101"/>
      <c r="K73" s="101"/>
      <c r="L73" s="101"/>
      <c r="M73" s="101"/>
      <c r="N73" s="101"/>
      <c r="O73" s="101"/>
      <c r="P73" s="101"/>
      <c r="Q73" s="101"/>
      <c r="R73" s="105"/>
    </row>
    <row r="74" spans="1:18">
      <c r="A74" s="100"/>
      <c r="B74" s="101"/>
      <c r="C74" s="101"/>
      <c r="D74" s="101"/>
      <c r="E74" s="101"/>
      <c r="F74" s="193" t="s">
        <v>472</v>
      </c>
      <c r="G74" s="489">
        <f>'Uplink Budget'!B11</f>
        <v>21.159800043360189</v>
      </c>
      <c r="H74" s="105"/>
      <c r="I74" s="100"/>
      <c r="J74" s="101"/>
      <c r="K74" s="101"/>
      <c r="L74" s="101"/>
      <c r="M74" s="101"/>
      <c r="N74" s="101"/>
      <c r="O74" s="101"/>
      <c r="P74" s="101"/>
      <c r="Q74" s="101"/>
      <c r="R74" s="105"/>
    </row>
    <row r="75" spans="1:18">
      <c r="A75" s="100"/>
      <c r="B75" s="101"/>
      <c r="C75" s="101"/>
      <c r="D75" s="101"/>
      <c r="E75" s="101"/>
      <c r="F75" s="101"/>
      <c r="G75" s="101"/>
      <c r="H75" s="105"/>
      <c r="I75" s="100"/>
      <c r="J75" s="101"/>
      <c r="K75" s="101"/>
      <c r="L75" s="101"/>
      <c r="M75" s="101"/>
      <c r="N75" s="435" t="s">
        <v>510</v>
      </c>
      <c r="O75" s="493">
        <f>Receivers!J148</f>
        <v>1250</v>
      </c>
      <c r="P75" s="101"/>
      <c r="Q75" s="101"/>
      <c r="R75" s="105"/>
    </row>
    <row r="76" spans="1:18">
      <c r="A76" s="100"/>
      <c r="B76" s="101" t="str">
        <f>'Antenna Gain'!F11</f>
        <v>Quad Helix</v>
      </c>
      <c r="C76" s="101"/>
      <c r="D76" s="101"/>
      <c r="E76" s="101"/>
      <c r="F76" s="435" t="s">
        <v>469</v>
      </c>
      <c r="G76" s="488">
        <f>'Uplink Budget'!B10</f>
        <v>16</v>
      </c>
      <c r="H76" s="105"/>
      <c r="I76" s="100"/>
      <c r="J76" s="101"/>
      <c r="K76" s="101"/>
      <c r="L76" s="101"/>
      <c r="M76" s="101"/>
      <c r="N76" s="101"/>
      <c r="O76" s="101"/>
      <c r="P76" s="101"/>
      <c r="Q76" s="101"/>
      <c r="R76" s="105"/>
    </row>
    <row r="77" spans="1:18">
      <c r="A77" s="100"/>
      <c r="B77" s="101"/>
      <c r="C77" s="101"/>
      <c r="D77" s="101"/>
      <c r="E77" s="101"/>
      <c r="F77" s="500" t="s">
        <v>484</v>
      </c>
      <c r="G77" s="508" t="str">
        <f>'Antenna Gain'!K11</f>
        <v>RHCP</v>
      </c>
      <c r="H77" s="105"/>
      <c r="I77" s="100"/>
      <c r="J77" s="101"/>
      <c r="K77" s="101"/>
      <c r="L77" s="101"/>
      <c r="M77" s="101"/>
      <c r="N77" s="101"/>
      <c r="O77" s="101"/>
      <c r="P77" s="101"/>
      <c r="Q77" s="101"/>
      <c r="R77" s="105"/>
    </row>
    <row r="78" spans="1:18">
      <c r="A78" s="100"/>
      <c r="B78" s="101"/>
      <c r="C78" s="101"/>
      <c r="D78" s="101"/>
      <c r="E78" s="101"/>
      <c r="F78" s="101" t="s">
        <v>818</v>
      </c>
      <c r="G78" s="101"/>
      <c r="H78" s="105"/>
      <c r="I78" s="100"/>
      <c r="J78" s="101"/>
      <c r="K78" s="101"/>
      <c r="L78" s="101"/>
      <c r="M78" s="101"/>
      <c r="N78" s="101"/>
      <c r="O78" s="101"/>
      <c r="P78" s="101"/>
      <c r="Q78" s="101"/>
      <c r="R78" s="105"/>
    </row>
    <row r="79" spans="1:18">
      <c r="A79" s="100"/>
      <c r="B79" s="101"/>
      <c r="C79" s="101"/>
      <c r="D79" s="101"/>
      <c r="E79" s="473" t="s">
        <v>981</v>
      </c>
      <c r="F79" s="101"/>
      <c r="G79" s="101"/>
      <c r="H79" s="105"/>
      <c r="I79" s="100"/>
      <c r="J79" s="101"/>
      <c r="K79" s="101"/>
      <c r="L79" s="101"/>
      <c r="M79" s="101"/>
      <c r="N79" s="101"/>
      <c r="O79" s="101"/>
      <c r="P79" s="101"/>
      <c r="Q79" s="101"/>
      <c r="R79" s="105"/>
    </row>
    <row r="80" spans="1:18">
      <c r="A80" s="100"/>
      <c r="B80" s="101"/>
      <c r="C80" s="101"/>
      <c r="D80" s="101"/>
      <c r="E80" s="101"/>
      <c r="F80" s="101"/>
      <c r="G80" s="101"/>
      <c r="H80" s="105"/>
      <c r="I80" s="100"/>
      <c r="J80" s="101"/>
      <c r="K80" s="101"/>
      <c r="L80" s="101"/>
      <c r="M80" s="101"/>
      <c r="N80" s="101"/>
      <c r="O80" s="101"/>
      <c r="P80" s="101"/>
      <c r="Q80" s="101"/>
      <c r="R80" s="105"/>
    </row>
    <row r="81" spans="1:18">
      <c r="A81" s="100"/>
      <c r="B81" s="101"/>
      <c r="C81" s="101"/>
      <c r="D81" s="101"/>
      <c r="E81" s="101"/>
      <c r="F81" s="101"/>
      <c r="G81" s="101"/>
      <c r="H81" s="105"/>
      <c r="I81" s="100"/>
      <c r="J81" s="101"/>
      <c r="K81" s="101"/>
      <c r="L81" s="101"/>
      <c r="M81" s="101"/>
      <c r="N81" s="101"/>
      <c r="O81" s="101"/>
      <c r="P81" s="101"/>
      <c r="Q81" s="101"/>
      <c r="R81" s="105"/>
    </row>
    <row r="82" spans="1:18">
      <c r="A82" s="100"/>
      <c r="B82" s="101"/>
      <c r="C82" s="101"/>
      <c r="D82" s="101"/>
      <c r="E82" s="101"/>
      <c r="F82" s="435" t="s">
        <v>461</v>
      </c>
      <c r="G82" s="492">
        <f>Transmitters!I40</f>
        <v>1.8299000000000001</v>
      </c>
      <c r="H82" s="105"/>
      <c r="I82" s="100"/>
      <c r="J82" s="101"/>
      <c r="K82" s="101"/>
      <c r="L82" s="101"/>
      <c r="M82" s="101"/>
      <c r="N82" s="101"/>
      <c r="O82" s="101"/>
      <c r="P82" s="101"/>
      <c r="Q82" s="101"/>
      <c r="R82" s="105"/>
    </row>
    <row r="83" spans="1:18">
      <c r="A83" s="100"/>
      <c r="B83" s="101"/>
      <c r="C83" s="101"/>
      <c r="D83" s="101"/>
      <c r="E83" s="101" t="s">
        <v>818</v>
      </c>
      <c r="F83" s="101" t="s">
        <v>818</v>
      </c>
      <c r="G83" s="101"/>
      <c r="H83" s="105"/>
      <c r="I83" s="100"/>
      <c r="J83" s="101"/>
      <c r="K83" s="101"/>
      <c r="L83" s="101"/>
      <c r="M83" s="101"/>
      <c r="N83" s="101"/>
      <c r="O83" s="101"/>
      <c r="P83" s="101"/>
      <c r="Q83" s="101"/>
      <c r="R83" s="105"/>
    </row>
    <row r="84" spans="1:18">
      <c r="A84" s="100"/>
      <c r="B84" s="101"/>
      <c r="C84" s="101"/>
      <c r="D84" s="101"/>
      <c r="E84" s="101" t="s">
        <v>446</v>
      </c>
      <c r="F84" s="435" t="s">
        <v>450</v>
      </c>
      <c r="G84" s="485">
        <f>Transmitters!E26*Transmitters!I21</f>
        <v>2.94</v>
      </c>
      <c r="H84" s="105"/>
      <c r="I84" s="100"/>
      <c r="J84" s="101"/>
      <c r="K84" s="101"/>
      <c r="L84" s="101"/>
      <c r="M84" s="101"/>
      <c r="N84" s="101"/>
      <c r="O84" s="101"/>
      <c r="P84" s="101"/>
      <c r="Q84" s="101"/>
      <c r="R84" s="105"/>
    </row>
    <row r="85" spans="1:18">
      <c r="A85" s="100"/>
      <c r="B85" s="101"/>
      <c r="C85" s="101"/>
      <c r="D85" s="101"/>
      <c r="E85" s="101"/>
      <c r="F85" s="101"/>
      <c r="G85" s="101"/>
      <c r="H85" s="105"/>
      <c r="I85" s="100"/>
      <c r="J85" s="101"/>
      <c r="K85" s="101"/>
      <c r="L85" s="101"/>
      <c r="M85" s="101"/>
      <c r="N85" s="101"/>
      <c r="O85" s="101"/>
      <c r="P85" s="101"/>
      <c r="Q85" s="101"/>
      <c r="R85" s="105"/>
    </row>
    <row r="86" spans="1:18">
      <c r="A86" s="100"/>
      <c r="B86" s="101"/>
      <c r="C86" s="101"/>
      <c r="D86" s="101"/>
      <c r="E86" s="101"/>
      <c r="F86" s="101"/>
      <c r="G86" s="101"/>
      <c r="H86" s="105"/>
      <c r="I86" s="100"/>
      <c r="J86" s="101"/>
      <c r="K86" s="101"/>
      <c r="L86" s="101"/>
      <c r="M86" s="101"/>
      <c r="N86" s="101"/>
      <c r="O86" s="101"/>
      <c r="P86" s="101"/>
      <c r="Q86" s="101"/>
      <c r="R86" s="105"/>
    </row>
    <row r="87" spans="1:18">
      <c r="A87" s="100"/>
      <c r="B87" s="101"/>
      <c r="C87" s="101"/>
      <c r="D87" s="101"/>
      <c r="E87" s="101"/>
      <c r="F87" s="435" t="s">
        <v>457</v>
      </c>
      <c r="G87" s="488">
        <f>Transmitters!I36</f>
        <v>0</v>
      </c>
      <c r="H87" s="105"/>
      <c r="I87" s="100"/>
      <c r="J87" s="101"/>
      <c r="K87" s="101"/>
      <c r="L87" s="101"/>
      <c r="M87" s="101"/>
      <c r="N87" s="101"/>
      <c r="O87" s="101"/>
      <c r="P87" s="101"/>
      <c r="Q87" s="101"/>
      <c r="R87" s="105"/>
    </row>
    <row r="88" spans="1:18">
      <c r="A88" s="100"/>
      <c r="B88" s="101"/>
      <c r="C88" s="101"/>
      <c r="D88" s="101"/>
      <c r="E88" s="101"/>
      <c r="F88" s="522" t="str">
        <f>Transmitters!F36</f>
        <v>none</v>
      </c>
      <c r="G88" s="487"/>
      <c r="H88" s="105"/>
      <c r="I88" s="100"/>
      <c r="J88" s="101"/>
      <c r="K88" s="101"/>
      <c r="L88" s="101"/>
      <c r="M88" s="101"/>
      <c r="N88" s="435" t="s">
        <v>511</v>
      </c>
      <c r="O88" s="530">
        <f>'Downlink Budget'!B56</f>
        <v>1000</v>
      </c>
      <c r="P88" s="101"/>
      <c r="Q88" s="101"/>
      <c r="R88" s="105"/>
    </row>
    <row r="89" spans="1:18">
      <c r="A89" s="100"/>
      <c r="B89" s="101"/>
      <c r="C89" s="101"/>
      <c r="D89" s="101"/>
      <c r="E89" s="101"/>
      <c r="F89" s="101"/>
      <c r="G89" s="101"/>
      <c r="H89" s="105"/>
      <c r="I89" s="100"/>
      <c r="J89" s="101"/>
      <c r="K89" s="101"/>
      <c r="L89" s="101"/>
      <c r="M89" s="101"/>
      <c r="N89" s="101" t="s">
        <v>512</v>
      </c>
      <c r="O89" s="101"/>
      <c r="P89" s="101"/>
      <c r="Q89" s="101"/>
      <c r="R89" s="105"/>
    </row>
    <row r="90" spans="1:18">
      <c r="A90" s="100"/>
      <c r="B90" s="101"/>
      <c r="C90" s="101"/>
      <c r="D90" s="101"/>
      <c r="E90" s="101" t="s">
        <v>185</v>
      </c>
      <c r="F90" s="435" t="s">
        <v>449</v>
      </c>
      <c r="G90" s="485">
        <f>Transmitters!E26*Transmitters!I20</f>
        <v>0.2989</v>
      </c>
      <c r="H90" s="105"/>
      <c r="I90" s="100"/>
      <c r="J90" s="101"/>
      <c r="K90" s="101"/>
      <c r="L90" s="101"/>
      <c r="M90" s="101"/>
      <c r="N90" s="101"/>
      <c r="O90" s="101"/>
      <c r="P90" s="101"/>
      <c r="Q90" s="101"/>
      <c r="R90" s="105"/>
    </row>
    <row r="91" spans="1:18">
      <c r="A91" s="100"/>
      <c r="B91" s="101"/>
      <c r="C91" s="101"/>
      <c r="D91" s="101"/>
      <c r="E91" s="101"/>
      <c r="F91" s="101"/>
      <c r="G91" s="101"/>
      <c r="H91" s="105"/>
      <c r="I91" s="100"/>
      <c r="J91" s="101"/>
      <c r="K91" s="101"/>
      <c r="L91" s="101"/>
      <c r="M91" s="101"/>
      <c r="N91" s="101"/>
      <c r="O91" s="101"/>
      <c r="P91" s="101"/>
      <c r="Q91" s="101"/>
      <c r="R91" s="105"/>
    </row>
    <row r="92" spans="1:18">
      <c r="A92" s="100"/>
      <c r="B92" s="101"/>
      <c r="C92" s="101"/>
      <c r="D92" s="101"/>
      <c r="E92" s="101"/>
      <c r="F92" s="101"/>
      <c r="G92" s="101"/>
      <c r="H92" s="105"/>
      <c r="I92" s="100"/>
      <c r="J92" s="101"/>
      <c r="K92" s="101"/>
      <c r="L92" s="101"/>
      <c r="M92" s="101"/>
      <c r="N92" s="101"/>
      <c r="O92" s="101"/>
      <c r="P92" s="101"/>
      <c r="Q92" s="101"/>
      <c r="R92" s="105"/>
    </row>
    <row r="93" spans="1:18">
      <c r="A93" s="100"/>
      <c r="B93" s="101"/>
      <c r="C93" s="101"/>
      <c r="D93" s="101"/>
      <c r="E93" s="101"/>
      <c r="F93" s="435" t="s">
        <v>453</v>
      </c>
      <c r="G93" s="484">
        <f>Transmitters!I35</f>
        <v>0</v>
      </c>
      <c r="H93" s="105"/>
      <c r="I93" s="100"/>
      <c r="J93" s="101"/>
      <c r="K93" s="101"/>
      <c r="L93" s="101"/>
      <c r="M93" s="101"/>
      <c r="N93" s="500" t="s">
        <v>478</v>
      </c>
      <c r="O93" s="531">
        <f>'Downlink Budget'!B35</f>
        <v>9.9999999999999995E-7</v>
      </c>
      <c r="P93" s="101"/>
      <c r="Q93" s="101"/>
      <c r="R93" s="105"/>
    </row>
    <row r="94" spans="1:18">
      <c r="A94" s="100"/>
      <c r="B94" s="101"/>
      <c r="C94" s="101"/>
      <c r="D94" s="101"/>
      <c r="E94" s="101"/>
      <c r="F94" s="101"/>
      <c r="G94" s="101"/>
      <c r="H94" s="105"/>
      <c r="I94" s="100"/>
      <c r="J94" s="101"/>
      <c r="K94" s="101"/>
      <c r="L94" s="101"/>
      <c r="M94" s="101"/>
      <c r="N94" s="517" t="s">
        <v>517</v>
      </c>
      <c r="O94" s="518"/>
      <c r="P94" s="101"/>
      <c r="Q94" s="101"/>
      <c r="R94" s="105"/>
    </row>
    <row r="95" spans="1:18">
      <c r="A95" s="100"/>
      <c r="B95" s="101"/>
      <c r="C95" s="101"/>
      <c r="D95" s="101"/>
      <c r="E95" s="101" t="s">
        <v>445</v>
      </c>
      <c r="F95" s="435" t="s">
        <v>448</v>
      </c>
      <c r="G95" s="485">
        <f>Transmitters!E26*Transmitters!I19</f>
        <v>0.14699999999999999</v>
      </c>
      <c r="H95" s="105"/>
      <c r="I95" s="100"/>
      <c r="J95" s="101"/>
      <c r="K95" s="101"/>
      <c r="L95" s="101"/>
      <c r="M95" s="101"/>
      <c r="N95" s="517" t="str">
        <f>'Downlink Budget'!B32</f>
        <v>BPSK</v>
      </c>
      <c r="O95" s="518"/>
      <c r="P95" s="101"/>
      <c r="Q95" s="101"/>
      <c r="R95" s="105"/>
    </row>
    <row r="96" spans="1:18">
      <c r="A96" s="100"/>
      <c r="B96" s="101"/>
      <c r="C96" s="101"/>
      <c r="D96" s="101"/>
      <c r="E96" s="101"/>
      <c r="F96" s="101" t="s">
        <v>818</v>
      </c>
      <c r="G96" s="101"/>
      <c r="H96" s="105"/>
      <c r="I96" s="100"/>
      <c r="J96" s="101"/>
      <c r="K96" s="101"/>
      <c r="L96" s="101"/>
      <c r="M96" s="101"/>
      <c r="N96" s="519" t="s">
        <v>362</v>
      </c>
      <c r="O96" s="499">
        <f>'Downlink Budget'!B41</f>
        <v>5.8</v>
      </c>
      <c r="P96" s="101"/>
      <c r="Q96" s="101"/>
      <c r="R96" s="105"/>
    </row>
    <row r="97" spans="1:18">
      <c r="A97" s="100"/>
      <c r="B97" s="101"/>
      <c r="C97" s="101"/>
      <c r="D97" s="101"/>
      <c r="E97" s="101"/>
      <c r="F97" s="435" t="s">
        <v>447</v>
      </c>
      <c r="G97" s="483">
        <f>Transmitters!E16</f>
        <v>5</v>
      </c>
      <c r="H97" s="105"/>
      <c r="I97" s="100"/>
      <c r="J97" s="101"/>
      <c r="K97" s="101"/>
      <c r="L97" s="101"/>
      <c r="M97" s="101"/>
      <c r="N97" s="101"/>
      <c r="O97" s="101"/>
      <c r="P97" s="101"/>
      <c r="Q97" s="101"/>
      <c r="R97" s="105"/>
    </row>
    <row r="98" spans="1:18">
      <c r="A98" s="100"/>
      <c r="B98" s="101"/>
      <c r="C98" s="101"/>
      <c r="D98" s="101"/>
      <c r="E98" s="101"/>
      <c r="F98" s="101"/>
      <c r="G98" s="101"/>
      <c r="H98" s="105"/>
      <c r="I98" s="100"/>
      <c r="J98" s="101"/>
      <c r="K98" s="101"/>
      <c r="L98" s="101"/>
      <c r="M98" s="101"/>
      <c r="N98" s="101"/>
      <c r="O98" s="101"/>
      <c r="P98" s="101"/>
      <c r="Q98" s="101"/>
      <c r="R98" s="105"/>
    </row>
    <row r="99" spans="1:18">
      <c r="A99" s="100"/>
      <c r="B99" s="101"/>
      <c r="C99" s="101"/>
      <c r="D99" s="101"/>
      <c r="E99" s="101"/>
      <c r="F99" s="101"/>
      <c r="G99" s="101"/>
      <c r="H99" s="105"/>
      <c r="I99" s="100"/>
      <c r="J99" s="101"/>
      <c r="K99" s="101"/>
      <c r="L99" s="101"/>
      <c r="M99" s="101"/>
      <c r="N99" s="101"/>
      <c r="O99" s="101"/>
      <c r="P99" s="101"/>
      <c r="Q99" s="101"/>
      <c r="R99" s="105"/>
    </row>
    <row r="100" spans="1:18">
      <c r="A100" s="100"/>
      <c r="B100" s="101"/>
      <c r="C100" s="101"/>
      <c r="D100" s="101"/>
      <c r="E100" s="101"/>
      <c r="F100" s="101"/>
      <c r="G100" s="101"/>
      <c r="H100" s="105"/>
      <c r="I100" s="100"/>
      <c r="J100" s="101"/>
      <c r="K100" s="101"/>
      <c r="L100" s="101"/>
      <c r="M100" s="101"/>
      <c r="N100" s="474" t="s">
        <v>513</v>
      </c>
      <c r="O100" s="475"/>
      <c r="P100" s="101"/>
      <c r="Q100" s="101"/>
      <c r="R100" s="105"/>
    </row>
    <row r="101" spans="1:18">
      <c r="A101" s="100"/>
      <c r="B101" s="101"/>
      <c r="C101" s="101"/>
      <c r="D101" s="101"/>
      <c r="E101" s="101"/>
      <c r="F101" s="101"/>
      <c r="G101" s="101"/>
      <c r="H101" s="105"/>
      <c r="I101" s="100"/>
      <c r="J101" s="101"/>
      <c r="K101" s="101"/>
      <c r="L101" s="101"/>
      <c r="M101" s="101"/>
      <c r="N101" s="532" t="str">
        <f>'Downlink Budget'!B33</f>
        <v>Convolutional R=1/2, K=7</v>
      </c>
      <c r="O101" s="477"/>
      <c r="P101" s="101"/>
      <c r="Q101" s="101"/>
      <c r="R101" s="105"/>
    </row>
    <row r="102" spans="1:18">
      <c r="A102" s="100"/>
      <c r="B102" s="101"/>
      <c r="C102" s="101"/>
      <c r="D102" s="101"/>
      <c r="E102" s="101"/>
      <c r="F102" s="101"/>
      <c r="G102" s="101"/>
      <c r="H102" s="105"/>
      <c r="I102" s="100"/>
      <c r="J102" s="101"/>
      <c r="K102" s="101"/>
      <c r="L102" s="101"/>
      <c r="M102" s="101"/>
      <c r="N102" s="101"/>
      <c r="O102" s="101"/>
      <c r="P102" s="101"/>
      <c r="Q102" s="101"/>
      <c r="R102" s="105"/>
    </row>
    <row r="103" spans="1:18">
      <c r="A103" s="100"/>
      <c r="B103" s="101"/>
      <c r="C103" s="101"/>
      <c r="D103" s="101"/>
      <c r="E103" s="101"/>
      <c r="F103" s="474" t="s">
        <v>473</v>
      </c>
      <c r="G103" s="475"/>
      <c r="H103" s="105"/>
      <c r="I103" s="100"/>
      <c r="J103" s="101"/>
      <c r="K103" s="101"/>
      <c r="L103" s="101"/>
      <c r="M103" s="101"/>
      <c r="N103" s="101"/>
      <c r="O103" s="101"/>
      <c r="P103" s="101"/>
      <c r="Q103" s="101"/>
      <c r="R103" s="105"/>
    </row>
    <row r="104" spans="1:18">
      <c r="A104" s="100"/>
      <c r="B104" s="101"/>
      <c r="C104" s="101"/>
      <c r="D104" s="101"/>
      <c r="E104" s="101"/>
      <c r="F104" s="476" t="str">
        <f>'Uplink Budget'!B32</f>
        <v>BPSK</v>
      </c>
      <c r="G104" s="477"/>
      <c r="H104" s="105"/>
      <c r="I104" s="100"/>
      <c r="J104" s="101"/>
      <c r="K104" s="101"/>
      <c r="L104" s="101"/>
      <c r="M104" s="101"/>
      <c r="N104" s="101"/>
      <c r="O104" s="101"/>
      <c r="P104" s="101"/>
      <c r="Q104" s="101"/>
      <c r="R104" s="105"/>
    </row>
    <row r="105" spans="1:18">
      <c r="A105" s="100"/>
      <c r="B105" s="101"/>
      <c r="C105" s="101"/>
      <c r="D105" s="101"/>
      <c r="E105" s="101"/>
      <c r="F105" s="101"/>
      <c r="G105" s="101"/>
      <c r="H105" s="105"/>
      <c r="I105" s="100"/>
      <c r="J105" s="101"/>
      <c r="K105" s="435" t="s">
        <v>480</v>
      </c>
      <c r="L105" s="530">
        <f>'Downlink Budget'!B28</f>
        <v>1000</v>
      </c>
      <c r="M105" s="101"/>
      <c r="N105" s="101"/>
      <c r="O105" s="101" t="s">
        <v>818</v>
      </c>
      <c r="P105" s="101" t="s">
        <v>818</v>
      </c>
      <c r="Q105" s="101"/>
      <c r="R105" s="105"/>
    </row>
    <row r="106" spans="1:18" ht="13.5" thickBot="1">
      <c r="A106" s="100"/>
      <c r="B106" s="101"/>
      <c r="C106" s="101"/>
      <c r="D106" s="101"/>
      <c r="E106" s="101"/>
      <c r="F106" s="478" t="s">
        <v>516</v>
      </c>
      <c r="G106" s="479"/>
      <c r="H106" s="105"/>
      <c r="I106" s="100"/>
      <c r="J106" s="101"/>
      <c r="K106" s="101"/>
      <c r="L106" s="101"/>
      <c r="M106" s="101"/>
      <c r="N106" s="101"/>
      <c r="O106" s="101"/>
      <c r="P106" s="101"/>
      <c r="Q106" s="101"/>
      <c r="R106" s="105"/>
    </row>
    <row r="107" spans="1:18" ht="13.5" thickBot="1">
      <c r="A107" s="100"/>
      <c r="B107" s="101"/>
      <c r="C107" s="101"/>
      <c r="D107" s="101"/>
      <c r="E107" s="101"/>
      <c r="F107" s="476" t="str">
        <f>'Uplink Budget'!B33</f>
        <v>Convolutional R=1/2, K=7</v>
      </c>
      <c r="G107" s="477"/>
      <c r="H107" s="105"/>
      <c r="I107" s="100" t="s">
        <v>518</v>
      </c>
      <c r="J107" s="101"/>
      <c r="K107" s="435" t="s">
        <v>521</v>
      </c>
      <c r="L107" s="490">
        <f>'Downlink Budget'!B30</f>
        <v>38.414656980372243</v>
      </c>
      <c r="M107" s="101"/>
      <c r="N107" s="496" t="s">
        <v>464</v>
      </c>
      <c r="O107" s="605">
        <f>'Downlink Budget'!B43</f>
        <v>32.614656980372246</v>
      </c>
      <c r="P107" s="606" t="str">
        <f>IF(O107&lt;0,"NO LINK !",IF(O107&lt;6,"MARGINAL LINK",IF(O107&gt;6,"LINK CLOSES")))</f>
        <v>LINK CLOSES</v>
      </c>
      <c r="Q107" s="101"/>
      <c r="R107" s="105"/>
    </row>
    <row r="108" spans="1:18" ht="13.5" thickBot="1">
      <c r="A108" s="100"/>
      <c r="B108" s="101"/>
      <c r="C108" s="101"/>
      <c r="D108" s="101"/>
      <c r="E108" s="101"/>
      <c r="F108" s="101"/>
      <c r="G108" s="101"/>
      <c r="H108" s="105"/>
      <c r="I108" s="100"/>
      <c r="J108" s="101"/>
      <c r="K108" s="101"/>
      <c r="L108" s="101"/>
      <c r="M108" s="101"/>
      <c r="N108" s="101"/>
      <c r="O108" s="101"/>
      <c r="P108" s="101"/>
      <c r="Q108" s="101"/>
      <c r="R108" s="105"/>
    </row>
    <row r="109" spans="1:18" ht="13.5" thickBot="1">
      <c r="A109" s="100"/>
      <c r="B109" s="101"/>
      <c r="C109" s="435" t="s">
        <v>451</v>
      </c>
      <c r="D109" s="482">
        <f>'Uplink Budget'!B28</f>
        <v>100000</v>
      </c>
      <c r="E109" s="101"/>
      <c r="F109" s="101"/>
      <c r="G109" s="101"/>
      <c r="H109" s="105"/>
      <c r="I109" s="100" t="s">
        <v>520</v>
      </c>
      <c r="J109" s="101"/>
      <c r="K109" s="435" t="s">
        <v>522</v>
      </c>
      <c r="L109" s="490">
        <f>'Downlink Budget'!B60</f>
        <v>38.414656980372229</v>
      </c>
      <c r="M109" s="101"/>
      <c r="N109" s="496" t="s">
        <v>523</v>
      </c>
      <c r="O109" s="605">
        <f>'Downlink Budget'!B64</f>
        <v>33.614656980372231</v>
      </c>
      <c r="P109" s="606" t="str">
        <f>IF(O109&lt;0,"NO LINK !",IF(O109&lt;6,"MARGINAL LINK",IF(O109&gt;6,"LINK CLOSES")))</f>
        <v>LINK CLOSES</v>
      </c>
      <c r="Q109" s="101"/>
      <c r="R109" s="105"/>
    </row>
    <row r="110" spans="1:18">
      <c r="A110" s="100"/>
      <c r="B110" s="101"/>
      <c r="C110" s="101"/>
      <c r="D110" s="101"/>
      <c r="E110" s="101"/>
      <c r="F110" s="101"/>
      <c r="G110" s="101"/>
      <c r="H110" s="105"/>
      <c r="I110" s="100"/>
      <c r="J110" s="101"/>
      <c r="K110" s="101"/>
      <c r="L110" s="101"/>
      <c r="M110" s="101"/>
      <c r="N110" s="101"/>
      <c r="O110" s="101"/>
      <c r="P110" s="101"/>
      <c r="Q110" s="101"/>
      <c r="R110" s="105"/>
    </row>
    <row r="111" spans="1:18">
      <c r="A111" s="100"/>
      <c r="B111" s="101"/>
      <c r="C111" s="101"/>
      <c r="D111" s="101"/>
      <c r="E111" s="101"/>
      <c r="F111" s="101"/>
      <c r="G111" s="101"/>
      <c r="H111" s="105"/>
      <c r="I111" s="100"/>
      <c r="J111" s="101"/>
      <c r="K111" s="101"/>
      <c r="L111" s="101"/>
      <c r="M111" s="101"/>
      <c r="N111" s="101"/>
      <c r="O111" s="101"/>
      <c r="P111" s="101"/>
      <c r="Q111" s="101"/>
      <c r="R111" s="105"/>
    </row>
    <row r="112" spans="1:18">
      <c r="A112" s="100"/>
      <c r="B112" s="101"/>
      <c r="C112" s="101"/>
      <c r="D112" s="101"/>
      <c r="E112" s="101"/>
      <c r="F112" s="101"/>
      <c r="G112" s="101"/>
      <c r="H112" s="105"/>
      <c r="I112" s="100"/>
      <c r="J112" s="101"/>
      <c r="K112" s="101"/>
      <c r="L112" s="101"/>
      <c r="M112" s="101"/>
      <c r="N112" s="101"/>
      <c r="O112" s="101"/>
      <c r="P112" s="101"/>
      <c r="Q112" s="101"/>
      <c r="R112" s="105"/>
    </row>
    <row r="113" spans="1:18">
      <c r="A113" s="100"/>
      <c r="B113" s="101"/>
      <c r="C113" s="101"/>
      <c r="D113" s="101"/>
      <c r="E113" s="101"/>
      <c r="F113" s="101"/>
      <c r="G113" s="101"/>
      <c r="H113" s="105"/>
      <c r="I113" s="100"/>
      <c r="J113" s="101"/>
      <c r="K113" s="101"/>
      <c r="L113" s="101"/>
      <c r="M113" s="101"/>
      <c r="N113" s="101"/>
      <c r="O113" s="101"/>
      <c r="P113" s="101"/>
      <c r="Q113" s="101"/>
      <c r="R113" s="105"/>
    </row>
    <row r="114" spans="1:18">
      <c r="A114" s="100"/>
      <c r="B114" s="101"/>
      <c r="C114" s="101"/>
      <c r="D114" s="101"/>
      <c r="E114" s="101"/>
      <c r="F114" s="101"/>
      <c r="G114" s="101"/>
      <c r="H114" s="105"/>
      <c r="I114" s="100"/>
      <c r="J114" s="101"/>
      <c r="K114" s="101"/>
      <c r="L114" s="101"/>
      <c r="M114" s="101"/>
      <c r="N114" s="101"/>
      <c r="O114" s="101" t="s">
        <v>818</v>
      </c>
      <c r="P114" s="101"/>
      <c r="Q114" s="101"/>
      <c r="R114" s="105"/>
    </row>
    <row r="115" spans="1:18" ht="13.5" thickBot="1">
      <c r="A115" s="111"/>
      <c r="B115" s="112"/>
      <c r="C115" s="112"/>
      <c r="D115" s="112"/>
      <c r="E115" s="112"/>
      <c r="F115" s="112"/>
      <c r="G115" s="112"/>
      <c r="H115" s="113"/>
      <c r="I115" s="111"/>
      <c r="J115" s="112"/>
      <c r="K115" s="112"/>
      <c r="L115" s="112"/>
      <c r="M115" s="112"/>
      <c r="N115" s="112"/>
      <c r="O115" s="112"/>
      <c r="P115" s="112"/>
      <c r="Q115" s="112"/>
      <c r="R115" s="113"/>
    </row>
  </sheetData>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82" right="0.19" top="1" bottom="0.64" header="0.5" footer="0.5"/>
  <pageSetup paperSize="9" scale="49" orientation="portrait" horizontalDpi="4294967292" verticalDpi="0"/>
  <headerFooter alignWithMargins="0"/>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91" zoomScale="120" zoomScaleNormal="120" workbookViewId="0">
      <selection activeCell="C112" sqref="C112"/>
    </sheetView>
  </sheetViews>
  <sheetFormatPr defaultColWidth="8.85546875" defaultRowHeight="12.75"/>
  <cols>
    <col min="1" max="1" width="20.140625" customWidth="1"/>
    <col min="2" max="2" width="11" customWidth="1"/>
    <col min="3" max="3" width="27.140625" customWidth="1"/>
    <col min="4" max="4" width="18.42578125" customWidth="1"/>
    <col min="5" max="5" width="18.140625" customWidth="1"/>
  </cols>
  <sheetData>
    <row r="1" spans="1:29" ht="18.75" thickBot="1">
      <c r="A1" s="125" t="s">
        <v>662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c r="A4" s="620" t="s">
        <v>156</v>
      </c>
      <c r="B4" s="4"/>
      <c r="C4" s="3"/>
      <c r="D4" s="3" t="s">
        <v>818</v>
      </c>
      <c r="E4" s="3"/>
      <c r="F4" s="3"/>
      <c r="G4" s="3"/>
      <c r="H4" s="3"/>
      <c r="I4" s="3"/>
      <c r="J4" s="3"/>
      <c r="K4" s="3"/>
      <c r="L4" s="3"/>
      <c r="M4" s="3"/>
      <c r="N4" s="3"/>
      <c r="O4" s="3"/>
      <c r="P4" s="3"/>
      <c r="Q4" s="3"/>
      <c r="R4" s="3"/>
      <c r="S4" s="3"/>
      <c r="T4" s="3"/>
      <c r="U4" s="3"/>
      <c r="V4" s="3"/>
      <c r="W4" s="3"/>
      <c r="X4" s="3"/>
      <c r="Y4" s="3"/>
      <c r="Z4" s="3"/>
      <c r="AA4" s="3"/>
      <c r="AB4" s="3"/>
      <c r="AC4" s="3"/>
    </row>
    <row r="5" spans="1:29">
      <c r="A5" s="473"/>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628" t="s">
        <v>698</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2.95" customHeight="1">
      <c r="A8" s="101"/>
      <c r="B8" s="618" t="s">
        <v>663</v>
      </c>
      <c r="C8" s="969" t="s">
        <v>1051</v>
      </c>
      <c r="D8" s="622" t="s">
        <v>155</v>
      </c>
      <c r="E8" s="378" t="s">
        <v>818</v>
      </c>
      <c r="F8" s="433"/>
      <c r="G8" s="433"/>
      <c r="H8" s="433"/>
      <c r="I8" s="433"/>
      <c r="J8" s="433"/>
      <c r="K8" s="433"/>
      <c r="L8" s="433"/>
      <c r="M8" s="433"/>
      <c r="N8" s="3"/>
      <c r="O8" s="3"/>
      <c r="P8" s="3"/>
      <c r="Q8" s="3"/>
      <c r="R8" s="3"/>
      <c r="S8" s="3"/>
      <c r="T8" s="3"/>
      <c r="U8" s="3"/>
      <c r="V8" s="3"/>
      <c r="W8" s="3"/>
      <c r="X8" s="3"/>
      <c r="Y8" s="3"/>
      <c r="Z8" s="3"/>
      <c r="AA8" s="3"/>
      <c r="AB8" s="3"/>
      <c r="AC8" s="3"/>
    </row>
    <row r="9" spans="1:29">
      <c r="A9" s="3"/>
      <c r="B9" s="3"/>
      <c r="C9" s="31">
        <v>0</v>
      </c>
      <c r="D9" s="727">
        <f t="shared" ref="D9:D27" si="0">IF(C9&lt;100,5.15+10*LOG10(COS(RADIANS(90-C9))),"No Signal")</f>
        <v>-156.97841279011377</v>
      </c>
      <c r="E9" s="3"/>
      <c r="F9" s="433"/>
      <c r="G9" s="433"/>
      <c r="H9" s="433"/>
      <c r="I9" s="433"/>
      <c r="J9" s="433"/>
      <c r="K9" s="433"/>
      <c r="L9" s="433"/>
      <c r="M9" s="433"/>
      <c r="N9" s="3"/>
      <c r="O9" s="3"/>
      <c r="P9" s="3"/>
      <c r="Q9" s="3"/>
      <c r="R9" s="3"/>
      <c r="S9" s="3"/>
      <c r="T9" s="3"/>
      <c r="U9" s="3"/>
      <c r="V9" s="3"/>
      <c r="W9" s="3"/>
      <c r="X9" s="3"/>
      <c r="Y9" s="3"/>
      <c r="Z9" s="3"/>
      <c r="AA9" s="3"/>
      <c r="AB9" s="3"/>
      <c r="AC9" s="3"/>
    </row>
    <row r="10" spans="1:29">
      <c r="A10" s="3"/>
      <c r="B10" s="3"/>
      <c r="C10" s="31">
        <v>5</v>
      </c>
      <c r="D10" s="727">
        <f t="shared" si="0"/>
        <v>-5.4470399166987971</v>
      </c>
      <c r="E10" s="3"/>
      <c r="F10" s="433"/>
      <c r="G10" s="433"/>
      <c r="H10" s="433"/>
      <c r="I10" s="433"/>
      <c r="J10" s="433"/>
      <c r="K10" s="433"/>
      <c r="L10" s="433"/>
      <c r="M10" s="433"/>
      <c r="N10" s="3"/>
      <c r="O10" s="3"/>
      <c r="P10" s="3"/>
      <c r="Q10" s="3"/>
      <c r="R10" s="3"/>
      <c r="S10" s="3"/>
      <c r="T10" s="3"/>
      <c r="U10" s="3"/>
      <c r="V10" s="3"/>
      <c r="W10" s="3"/>
      <c r="X10" s="3"/>
      <c r="Y10" s="3"/>
      <c r="Z10" s="3"/>
      <c r="AA10" s="3"/>
      <c r="AB10" s="3"/>
      <c r="AC10" s="3"/>
    </row>
    <row r="11" spans="1:29">
      <c r="A11" s="3"/>
      <c r="B11" s="3"/>
      <c r="C11" s="31">
        <v>10</v>
      </c>
      <c r="D11" s="727">
        <f t="shared" si="0"/>
        <v>-2.4532976998839926</v>
      </c>
      <c r="E11" s="3"/>
      <c r="F11" s="433"/>
      <c r="G11" s="433"/>
      <c r="H11" s="433"/>
      <c r="I11" s="433"/>
      <c r="J11" s="433"/>
      <c r="K11" s="433"/>
      <c r="L11" s="433"/>
      <c r="M11" s="433"/>
      <c r="N11" s="3"/>
      <c r="O11" s="3"/>
      <c r="P11" s="3"/>
      <c r="Q11" s="3"/>
      <c r="R11" s="3"/>
      <c r="S11" s="3"/>
      <c r="T11" s="3"/>
      <c r="U11" s="3"/>
      <c r="V11" s="3"/>
      <c r="W11" s="3"/>
      <c r="X11" s="3"/>
      <c r="Y11" s="3"/>
      <c r="Z11" s="3"/>
      <c r="AA11" s="3"/>
      <c r="AB11" s="3"/>
      <c r="AC11" s="3"/>
    </row>
    <row r="12" spans="1:29">
      <c r="A12" s="3"/>
      <c r="B12" s="3"/>
      <c r="C12" s="31">
        <v>15</v>
      </c>
      <c r="D12" s="727">
        <f t="shared" si="0"/>
        <v>-0.72003769430660824</v>
      </c>
      <c r="E12" s="3"/>
      <c r="F12" s="433"/>
      <c r="G12" s="433"/>
      <c r="H12" s="433"/>
      <c r="I12" s="433"/>
      <c r="J12" s="433"/>
      <c r="K12" s="433"/>
      <c r="L12" s="433"/>
      <c r="M12" s="433"/>
      <c r="N12" s="3"/>
      <c r="O12" s="3"/>
      <c r="P12" s="3"/>
      <c r="Q12" s="3"/>
      <c r="R12" s="3"/>
      <c r="S12" s="3"/>
      <c r="T12" s="3"/>
      <c r="U12" s="3"/>
      <c r="V12" s="3"/>
      <c r="W12" s="3"/>
      <c r="X12" s="3"/>
      <c r="Y12" s="3"/>
      <c r="Z12" s="3"/>
      <c r="AA12" s="3"/>
      <c r="AB12" s="3"/>
      <c r="AC12" s="3"/>
    </row>
    <row r="13" spans="1:29">
      <c r="A13" s="3"/>
      <c r="B13" s="3"/>
      <c r="C13" s="31">
        <v>20</v>
      </c>
      <c r="D13" s="727">
        <f t="shared" si="0"/>
        <v>0.4905168464551739</v>
      </c>
      <c r="E13" s="3"/>
      <c r="F13" s="433"/>
      <c r="G13" s="433"/>
      <c r="H13" s="433"/>
      <c r="I13" s="433"/>
      <c r="J13" s="433"/>
      <c r="K13" s="433"/>
      <c r="L13" s="433"/>
      <c r="M13" s="433"/>
      <c r="N13" s="3"/>
      <c r="O13" s="3"/>
      <c r="P13" s="3"/>
      <c r="Q13" s="3"/>
      <c r="R13" s="3"/>
      <c r="S13" s="3"/>
      <c r="T13" s="3"/>
      <c r="U13" s="3"/>
      <c r="V13" s="3"/>
      <c r="W13" s="3"/>
      <c r="X13" s="3"/>
      <c r="Y13" s="3"/>
      <c r="Z13" s="3"/>
      <c r="AA13" s="3"/>
      <c r="AB13" s="3"/>
      <c r="AC13" s="3"/>
    </row>
    <row r="14" spans="1:29">
      <c r="A14" s="3"/>
      <c r="B14" s="3"/>
      <c r="C14" s="31">
        <v>25</v>
      </c>
      <c r="D14" s="727">
        <f t="shared" si="0"/>
        <v>1.409482594031398</v>
      </c>
      <c r="E14" s="3"/>
      <c r="F14" s="433"/>
      <c r="G14" s="433"/>
      <c r="H14" s="433"/>
      <c r="I14" s="433"/>
      <c r="J14" s="433"/>
      <c r="K14" s="433"/>
      <c r="L14" s="433"/>
      <c r="M14" s="433"/>
      <c r="N14" s="3"/>
      <c r="O14" s="3"/>
      <c r="P14" s="3"/>
      <c r="Q14" s="3"/>
      <c r="R14" s="3"/>
      <c r="S14" s="3"/>
      <c r="T14" s="3"/>
      <c r="U14" s="3"/>
      <c r="V14" s="3"/>
      <c r="W14" s="3"/>
      <c r="X14" s="3"/>
      <c r="Y14" s="3"/>
      <c r="Z14" s="3"/>
      <c r="AA14" s="3"/>
      <c r="AB14" s="3"/>
      <c r="AC14" s="3"/>
    </row>
    <row r="15" spans="1:29">
      <c r="A15" s="3"/>
      <c r="B15" s="3"/>
      <c r="C15" s="31">
        <v>30</v>
      </c>
      <c r="D15" s="727">
        <f t="shared" si="0"/>
        <v>2.1397000433601896</v>
      </c>
      <c r="E15" s="3"/>
      <c r="F15" s="433"/>
      <c r="G15" s="433"/>
      <c r="H15" s="433"/>
      <c r="I15" s="433"/>
      <c r="J15" s="433"/>
      <c r="K15" s="433"/>
      <c r="L15" s="433"/>
      <c r="M15" s="433"/>
      <c r="N15" s="3"/>
      <c r="O15" s="3"/>
      <c r="P15" s="3"/>
      <c r="Q15" s="3"/>
      <c r="R15" s="3"/>
      <c r="S15" s="3"/>
      <c r="T15" s="3"/>
      <c r="U15" s="3"/>
      <c r="V15" s="3"/>
      <c r="W15" s="3"/>
      <c r="X15" s="3"/>
      <c r="Y15" s="3"/>
      <c r="Z15" s="3"/>
      <c r="AA15" s="3"/>
      <c r="AB15" s="3"/>
      <c r="AC15" s="3"/>
    </row>
    <row r="16" spans="1:29">
      <c r="A16" s="3"/>
      <c r="B16" s="3"/>
      <c r="C16" s="31">
        <v>35</v>
      </c>
      <c r="D16" s="727">
        <f t="shared" si="0"/>
        <v>2.7359130135409742</v>
      </c>
      <c r="E16" s="3"/>
      <c r="F16" s="433"/>
      <c r="G16" s="433"/>
      <c r="H16" s="433"/>
      <c r="I16" s="433"/>
      <c r="J16" s="433"/>
      <c r="K16" s="433"/>
      <c r="L16" s="433"/>
      <c r="M16" s="433"/>
      <c r="N16" s="3"/>
      <c r="O16" s="3"/>
      <c r="P16" s="3"/>
      <c r="Q16" s="3"/>
      <c r="R16" s="3"/>
      <c r="S16" s="3"/>
      <c r="T16" s="3"/>
      <c r="U16" s="3"/>
      <c r="V16" s="3"/>
      <c r="W16" s="3"/>
      <c r="X16" s="3"/>
      <c r="Y16" s="3"/>
      <c r="Z16" s="3"/>
      <c r="AA16" s="3"/>
      <c r="AB16" s="3"/>
      <c r="AC16" s="3"/>
    </row>
    <row r="17" spans="1:29">
      <c r="A17" s="3"/>
      <c r="B17" s="3"/>
      <c r="C17" s="31">
        <v>40</v>
      </c>
      <c r="D17" s="727">
        <f t="shared" si="0"/>
        <v>3.2306749675243496</v>
      </c>
      <c r="E17" s="3"/>
      <c r="F17" s="433"/>
      <c r="G17" s="433"/>
      <c r="H17" s="433"/>
      <c r="I17" s="433"/>
      <c r="J17" s="433"/>
      <c r="K17" s="433"/>
      <c r="L17" s="433"/>
      <c r="M17" s="433"/>
      <c r="N17" s="3"/>
      <c r="O17" s="3"/>
      <c r="P17" s="3"/>
      <c r="Q17" s="3"/>
      <c r="R17" s="3"/>
      <c r="S17" s="3"/>
      <c r="T17" s="3"/>
      <c r="U17" s="3"/>
      <c r="V17" s="3"/>
      <c r="W17" s="3"/>
      <c r="X17" s="3"/>
      <c r="Y17" s="3"/>
      <c r="Z17" s="3"/>
      <c r="AA17" s="3"/>
      <c r="AB17" s="3"/>
      <c r="AC17" s="3"/>
    </row>
    <row r="18" spans="1:29">
      <c r="A18" s="3"/>
      <c r="B18" s="3"/>
      <c r="C18" s="31">
        <v>45</v>
      </c>
      <c r="D18" s="727">
        <f t="shared" si="0"/>
        <v>3.6448500216800945</v>
      </c>
      <c r="E18" s="3"/>
      <c r="F18" s="433"/>
      <c r="G18" s="433"/>
      <c r="H18" s="433"/>
      <c r="I18" s="433" t="s">
        <v>669</v>
      </c>
      <c r="J18" s="433"/>
      <c r="K18" s="433"/>
      <c r="L18" s="433"/>
      <c r="M18" s="433"/>
      <c r="N18" s="3"/>
      <c r="O18" s="3"/>
      <c r="P18" s="3"/>
      <c r="Q18" s="3"/>
      <c r="R18" s="3"/>
      <c r="S18" s="3"/>
      <c r="T18" s="3"/>
      <c r="U18" s="3"/>
      <c r="V18" s="3"/>
      <c r="W18" s="3"/>
      <c r="X18" s="3"/>
      <c r="Y18" s="3"/>
      <c r="Z18" s="3"/>
      <c r="AA18" s="3"/>
      <c r="AB18" s="3"/>
      <c r="AC18" s="3"/>
    </row>
    <row r="19" spans="1:29">
      <c r="A19" s="3"/>
      <c r="B19" s="3"/>
      <c r="C19" s="31">
        <v>50</v>
      </c>
      <c r="D19" s="727">
        <f t="shared" si="0"/>
        <v>3.9925396655351948</v>
      </c>
      <c r="E19" s="3"/>
      <c r="F19" s="433"/>
      <c r="G19" s="433"/>
      <c r="H19" s="433"/>
      <c r="I19" s="433"/>
      <c r="J19" s="433" t="s">
        <v>670</v>
      </c>
      <c r="K19" s="433"/>
      <c r="L19" s="433"/>
      <c r="M19" s="433"/>
      <c r="N19" s="3"/>
      <c r="O19" s="3"/>
      <c r="P19" s="3"/>
      <c r="Q19" s="3"/>
      <c r="R19" s="3"/>
      <c r="S19" s="3"/>
      <c r="T19" s="3"/>
      <c r="U19" s="3"/>
      <c r="V19" s="3"/>
      <c r="W19" s="3"/>
      <c r="X19" s="3"/>
      <c r="Y19" s="3"/>
      <c r="Z19" s="3"/>
      <c r="AA19" s="3"/>
      <c r="AB19" s="3"/>
      <c r="AC19" s="3"/>
    </row>
    <row r="20" spans="1:29">
      <c r="A20" s="3"/>
      <c r="B20" s="3"/>
      <c r="C20" s="31">
        <v>55</v>
      </c>
      <c r="D20" s="727">
        <f t="shared" si="0"/>
        <v>4.2836451942485798</v>
      </c>
      <c r="E20" s="3"/>
      <c r="F20" s="433"/>
      <c r="G20" s="433"/>
      <c r="H20" s="433"/>
      <c r="I20" s="433"/>
      <c r="J20" s="433"/>
      <c r="K20" s="433"/>
      <c r="L20" s="433"/>
      <c r="M20" s="433"/>
      <c r="N20" s="3"/>
      <c r="O20" s="3"/>
      <c r="P20" s="3"/>
      <c r="Q20" s="3"/>
      <c r="R20" s="3"/>
      <c r="S20" s="3"/>
      <c r="T20" s="3"/>
      <c r="U20" s="3"/>
      <c r="V20" s="3"/>
      <c r="W20" s="3"/>
      <c r="X20" s="3"/>
      <c r="Y20" s="3"/>
      <c r="Z20" s="3"/>
      <c r="AA20" s="3"/>
      <c r="AB20" s="3"/>
      <c r="AC20" s="3"/>
    </row>
    <row r="21" spans="1:29">
      <c r="A21" s="3"/>
      <c r="B21" s="3"/>
      <c r="C21" s="31">
        <v>60</v>
      </c>
      <c r="D21" s="727">
        <f t="shared" si="0"/>
        <v>4.5253063169585008</v>
      </c>
      <c r="E21" s="3" t="s">
        <v>818</v>
      </c>
      <c r="F21" s="433"/>
      <c r="G21" s="433"/>
      <c r="H21" s="433"/>
      <c r="I21" s="433"/>
      <c r="J21" s="433"/>
      <c r="K21" s="433"/>
      <c r="L21" s="433"/>
      <c r="M21" s="433"/>
      <c r="N21" s="3"/>
      <c r="O21" s="3"/>
      <c r="P21" s="3"/>
      <c r="Q21" s="3"/>
      <c r="R21" s="3"/>
      <c r="S21" s="3"/>
      <c r="T21" s="3"/>
      <c r="U21" s="3"/>
      <c r="V21" s="3"/>
      <c r="W21" s="3"/>
      <c r="X21" s="3"/>
      <c r="Y21" s="3"/>
      <c r="Z21" s="3"/>
      <c r="AA21" s="3"/>
      <c r="AB21" s="3"/>
      <c r="AC21" s="3"/>
    </row>
    <row r="22" spans="1:29">
      <c r="A22" s="3"/>
      <c r="B22" s="3"/>
      <c r="C22" s="31">
        <v>65</v>
      </c>
      <c r="D22" s="727">
        <f t="shared" si="0"/>
        <v>4.7227571148639855</v>
      </c>
      <c r="E22" s="3"/>
      <c r="F22" s="433"/>
      <c r="G22" s="433"/>
      <c r="H22" s="433"/>
      <c r="I22" s="433"/>
      <c r="J22" s="433"/>
      <c r="K22" s="433"/>
      <c r="L22" s="433"/>
      <c r="M22" s="433"/>
      <c r="N22" s="3"/>
      <c r="O22" s="3"/>
      <c r="P22" s="3"/>
      <c r="Q22" s="3"/>
      <c r="R22" s="3"/>
      <c r="S22" s="3"/>
      <c r="T22" s="3"/>
      <c r="U22" s="3"/>
      <c r="V22" s="3"/>
      <c r="W22" s="3"/>
      <c r="X22" s="3"/>
      <c r="Y22" s="3"/>
      <c r="Z22" s="3"/>
      <c r="AA22" s="3"/>
      <c r="AB22" s="3"/>
      <c r="AC22" s="3"/>
    </row>
    <row r="23" spans="1:29">
      <c r="A23" s="3"/>
      <c r="B23" s="3"/>
      <c r="C23" s="31">
        <v>70</v>
      </c>
      <c r="D23" s="727">
        <f t="shared" si="0"/>
        <v>4.8798581644293648</v>
      </c>
      <c r="E23" s="3"/>
      <c r="F23" s="433"/>
      <c r="G23" s="433"/>
      <c r="H23" s="433"/>
      <c r="I23" s="433"/>
      <c r="J23" s="433"/>
      <c r="K23" s="433"/>
      <c r="L23" s="433"/>
      <c r="M23" s="433"/>
      <c r="N23" s="3"/>
      <c r="O23" s="3"/>
      <c r="P23" s="3"/>
      <c r="Q23" s="3"/>
      <c r="R23" s="3"/>
      <c r="S23" s="3"/>
      <c r="T23" s="3"/>
      <c r="U23" s="3"/>
      <c r="V23" s="3"/>
      <c r="W23" s="3"/>
      <c r="X23" s="3"/>
      <c r="Y23" s="3"/>
      <c r="Z23" s="3"/>
      <c r="AA23" s="3"/>
      <c r="AB23" s="3"/>
      <c r="AC23" s="3"/>
    </row>
    <row r="24" spans="1:29">
      <c r="A24" s="3"/>
      <c r="B24" s="3"/>
      <c r="C24" s="31">
        <v>75</v>
      </c>
      <c r="D24" s="727">
        <f t="shared" si="0"/>
        <v>4.9994377810269857</v>
      </c>
      <c r="E24" s="3"/>
      <c r="F24" s="433"/>
      <c r="G24" s="433"/>
      <c r="H24" s="433"/>
      <c r="I24" s="433"/>
      <c r="J24" s="433"/>
      <c r="K24" s="433"/>
      <c r="L24" s="433"/>
      <c r="M24" s="433"/>
      <c r="N24" s="3"/>
      <c r="O24" s="3"/>
      <c r="P24" s="3"/>
      <c r="Q24" s="3"/>
      <c r="R24" s="3"/>
      <c r="S24" s="3"/>
      <c r="T24" s="3"/>
      <c r="U24" s="3"/>
      <c r="V24" s="3"/>
      <c r="W24" s="3"/>
      <c r="X24" s="3"/>
      <c r="Y24" s="3"/>
      <c r="Z24" s="3"/>
      <c r="AA24" s="3"/>
      <c r="AB24" s="3"/>
      <c r="AC24" s="3"/>
    </row>
    <row r="25" spans="1:29">
      <c r="A25" s="3"/>
      <c r="B25" s="3"/>
      <c r="C25" s="31">
        <v>80</v>
      </c>
      <c r="D25" s="727">
        <f t="shared" si="0"/>
        <v>5.0835145896993552</v>
      </c>
      <c r="E25" s="3"/>
      <c r="F25" s="433"/>
      <c r="G25" s="433"/>
      <c r="H25" s="433"/>
      <c r="I25" s="433"/>
      <c r="J25" s="433"/>
      <c r="K25" s="433"/>
      <c r="L25" s="433"/>
      <c r="M25" s="433"/>
      <c r="N25" s="3"/>
      <c r="O25" s="3"/>
      <c r="P25" s="3"/>
      <c r="Q25" s="3"/>
      <c r="R25" s="3"/>
      <c r="S25" s="3"/>
      <c r="T25" s="3"/>
      <c r="U25" s="3"/>
      <c r="V25" s="3"/>
      <c r="W25" s="3"/>
      <c r="X25" s="3"/>
      <c r="Y25" s="3"/>
      <c r="Z25" s="3"/>
      <c r="AA25" s="3"/>
      <c r="AB25" s="3"/>
      <c r="AC25" s="3"/>
    </row>
    <row r="26" spans="1:29">
      <c r="A26" s="3"/>
      <c r="B26" s="3"/>
      <c r="C26" s="31">
        <v>85</v>
      </c>
      <c r="D26" s="727">
        <f t="shared" si="0"/>
        <v>5.1334422601749914</v>
      </c>
      <c r="E26" s="3"/>
      <c r="F26" s="433"/>
      <c r="G26" s="433"/>
      <c r="H26" s="433"/>
      <c r="I26" s="433"/>
      <c r="J26" s="433"/>
      <c r="K26" s="433"/>
      <c r="L26" s="433"/>
      <c r="M26" s="433"/>
      <c r="N26" s="3"/>
      <c r="O26" s="3"/>
      <c r="P26" s="3"/>
      <c r="Q26" s="3"/>
      <c r="R26" s="3"/>
      <c r="S26" s="3"/>
      <c r="T26" s="3"/>
      <c r="U26" s="3"/>
      <c r="V26" s="3"/>
      <c r="W26" s="3"/>
      <c r="X26" s="3"/>
      <c r="Y26" s="3"/>
      <c r="Z26" s="3"/>
      <c r="AA26" s="3"/>
      <c r="AB26" s="3"/>
      <c r="AC26" s="3"/>
    </row>
    <row r="27" spans="1:29">
      <c r="A27" s="3"/>
      <c r="B27" s="3"/>
      <c r="C27" s="31">
        <v>90</v>
      </c>
      <c r="D27" s="727">
        <f t="shared" si="0"/>
        <v>5.15</v>
      </c>
      <c r="E27" s="3"/>
      <c r="F27" s="433"/>
      <c r="G27" s="433"/>
      <c r="H27" s="433"/>
      <c r="I27" s="433"/>
      <c r="J27" s="433"/>
      <c r="K27" s="433"/>
      <c r="L27" s="433"/>
      <c r="M27" s="433"/>
      <c r="N27" s="3"/>
      <c r="O27" s="3"/>
      <c r="P27" s="3"/>
      <c r="Q27" s="3"/>
      <c r="R27" s="3"/>
      <c r="S27" s="3"/>
      <c r="T27" s="3"/>
      <c r="U27" s="3"/>
      <c r="V27" s="3"/>
      <c r="W27" s="3"/>
      <c r="X27" s="3"/>
      <c r="Y27" s="3"/>
      <c r="Z27" s="3"/>
      <c r="AA27" s="3"/>
      <c r="AB27" s="3"/>
      <c r="AC27" s="3"/>
    </row>
    <row r="28" spans="1:29">
      <c r="A28" s="3"/>
      <c r="B28" s="3"/>
      <c r="C28" s="31">
        <v>92.5</v>
      </c>
      <c r="D28" s="727">
        <v>0</v>
      </c>
      <c r="E28" s="3"/>
      <c r="F28" s="433"/>
      <c r="G28" s="433"/>
      <c r="H28" s="433"/>
      <c r="I28" s="433"/>
      <c r="J28" s="433"/>
      <c r="K28" s="433"/>
      <c r="L28" s="433"/>
      <c r="M28" s="433"/>
      <c r="N28" s="3"/>
      <c r="O28" s="3"/>
      <c r="P28" s="3"/>
      <c r="Q28" s="3"/>
      <c r="R28" s="3"/>
      <c r="S28" s="3"/>
      <c r="T28" s="3"/>
      <c r="U28" s="3"/>
      <c r="V28" s="3"/>
      <c r="W28" s="3"/>
      <c r="X28" s="3"/>
      <c r="Y28" s="3"/>
      <c r="Z28" s="3"/>
      <c r="AA28" s="3"/>
      <c r="AB28" s="3"/>
      <c r="AC28" s="3"/>
    </row>
    <row r="29" spans="1:29">
      <c r="A29" s="3"/>
      <c r="B29" s="3"/>
      <c r="C29" s="31">
        <v>95</v>
      </c>
      <c r="D29" s="727">
        <v>-20</v>
      </c>
      <c r="E29" s="3"/>
      <c r="F29" s="433"/>
      <c r="G29" s="433"/>
      <c r="H29" s="433"/>
      <c r="I29" s="433"/>
      <c r="J29" s="433"/>
      <c r="K29" s="433"/>
      <c r="L29" s="433"/>
      <c r="M29" s="433"/>
      <c r="N29" s="3"/>
      <c r="O29" s="3"/>
      <c r="P29" s="3"/>
      <c r="Q29" s="3"/>
      <c r="R29" s="3"/>
      <c r="S29" s="3"/>
      <c r="T29" s="3"/>
      <c r="U29" s="3"/>
      <c r="V29" s="3"/>
      <c r="W29" s="3"/>
      <c r="X29" s="3"/>
      <c r="Y29" s="3"/>
      <c r="Z29" s="3"/>
      <c r="AA29" s="3"/>
      <c r="AB29" s="3"/>
      <c r="AC29" s="3"/>
    </row>
    <row r="30" spans="1:29">
      <c r="A30" s="3"/>
      <c r="B30" s="3"/>
      <c r="C30" s="31">
        <v>97.5</v>
      </c>
      <c r="D30" s="727">
        <v>-60</v>
      </c>
      <c r="E30" s="3"/>
      <c r="F30" s="433"/>
      <c r="G30" s="433"/>
      <c r="H30" s="433"/>
      <c r="I30" s="433"/>
      <c r="J30" s="433"/>
      <c r="K30" s="433"/>
      <c r="L30" s="433"/>
      <c r="M30" s="433"/>
      <c r="N30" s="3"/>
      <c r="O30" s="3"/>
      <c r="P30" s="3"/>
      <c r="Q30" s="3"/>
      <c r="R30" s="3"/>
      <c r="S30" s="3"/>
      <c r="T30" s="3"/>
      <c r="U30" s="3"/>
      <c r="V30" s="3"/>
      <c r="W30" s="3"/>
      <c r="X30" s="3"/>
      <c r="Y30" s="3"/>
      <c r="Z30" s="3"/>
      <c r="AA30" s="3"/>
      <c r="AB30" s="3"/>
      <c r="AC30" s="3"/>
    </row>
    <row r="31" spans="1:29">
      <c r="A31" s="3"/>
      <c r="B31" s="3"/>
      <c r="C31" s="31">
        <v>100</v>
      </c>
      <c r="D31" s="727">
        <v>-160</v>
      </c>
      <c r="E31" s="3"/>
      <c r="F31" s="433"/>
      <c r="G31" s="433"/>
      <c r="H31" s="433"/>
      <c r="I31" s="433"/>
      <c r="J31" s="433"/>
      <c r="K31" s="433"/>
      <c r="L31" s="433"/>
      <c r="M31" s="433"/>
      <c r="N31" s="3"/>
      <c r="O31" s="3"/>
      <c r="P31" s="3"/>
      <c r="Q31" s="3"/>
      <c r="R31" s="3"/>
      <c r="S31" s="3"/>
      <c r="T31" s="3"/>
      <c r="U31" s="3"/>
      <c r="V31" s="3"/>
      <c r="W31" s="3"/>
      <c r="X31" s="3"/>
      <c r="Y31" s="3"/>
      <c r="Z31" s="3"/>
      <c r="AA31" s="3"/>
      <c r="AB31" s="3"/>
      <c r="AC31" s="3"/>
    </row>
    <row r="32" spans="1:29">
      <c r="A32" s="3"/>
      <c r="B32" s="3"/>
      <c r="C32" s="31">
        <v>110</v>
      </c>
      <c r="D32" s="727" t="s">
        <v>280</v>
      </c>
      <c r="E32" s="3"/>
      <c r="F32" s="433"/>
      <c r="G32" s="433"/>
      <c r="H32" s="433"/>
      <c r="I32" s="433"/>
      <c r="J32" s="433"/>
      <c r="K32" s="433"/>
      <c r="L32" s="433"/>
      <c r="M32" s="433"/>
      <c r="N32" s="3"/>
      <c r="O32" s="3"/>
      <c r="P32" s="3"/>
      <c r="Q32" s="3"/>
      <c r="R32" s="3"/>
      <c r="S32" s="3"/>
      <c r="T32" s="3"/>
      <c r="U32" s="3"/>
      <c r="V32" s="3"/>
      <c r="W32" s="3"/>
      <c r="X32" s="3"/>
      <c r="Y32" s="3"/>
      <c r="Z32" s="3"/>
      <c r="AA32" s="3"/>
      <c r="AB32" s="3"/>
      <c r="AC32" s="3"/>
    </row>
    <row r="33" spans="1:29">
      <c r="A33" s="3"/>
      <c r="B33" s="3"/>
      <c r="C33" s="31"/>
      <c r="D33" s="727"/>
      <c r="E33" s="3"/>
      <c r="F33" s="433"/>
      <c r="G33" s="433"/>
      <c r="H33" s="433"/>
      <c r="I33" s="433"/>
      <c r="J33" s="433"/>
      <c r="K33" s="433"/>
      <c r="L33" s="433"/>
      <c r="M33" s="433"/>
      <c r="N33" s="3"/>
      <c r="O33" s="3"/>
      <c r="P33" s="3"/>
      <c r="Q33" s="3"/>
      <c r="R33" s="3"/>
      <c r="S33" s="3"/>
      <c r="T33" s="3"/>
      <c r="U33" s="3"/>
      <c r="V33" s="3"/>
      <c r="W33" s="3"/>
      <c r="X33" s="3"/>
      <c r="Y33" s="3"/>
      <c r="Z33" s="3"/>
      <c r="AA33" s="3"/>
      <c r="AB33" s="3"/>
      <c r="AC33" s="3"/>
    </row>
    <row r="34" spans="1:29">
      <c r="A34" s="3"/>
      <c r="B34" s="3"/>
      <c r="C34" s="31"/>
      <c r="D34" s="727"/>
      <c r="E34" s="3"/>
      <c r="F34" s="433"/>
      <c r="G34" s="433"/>
      <c r="H34" s="433"/>
      <c r="I34" s="433"/>
      <c r="J34" s="433"/>
      <c r="K34" s="433"/>
      <c r="L34" s="433"/>
      <c r="M34" s="433"/>
      <c r="N34" s="3"/>
      <c r="O34" s="3"/>
      <c r="P34" s="3"/>
      <c r="Q34" s="3"/>
      <c r="R34" s="3"/>
      <c r="S34" s="3"/>
      <c r="T34" s="3"/>
      <c r="U34" s="3"/>
      <c r="V34" s="3"/>
      <c r="W34" s="3"/>
      <c r="X34" s="3"/>
      <c r="Y34" s="3"/>
      <c r="Z34" s="3"/>
      <c r="AA34" s="3"/>
      <c r="AB34" s="3"/>
      <c r="AC34" s="3"/>
    </row>
    <row r="35" spans="1:29">
      <c r="A35" s="3"/>
      <c r="B35" s="3"/>
      <c r="C35" s="31"/>
      <c r="D35" s="727"/>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c r="A36" s="3"/>
      <c r="B36" s="3"/>
      <c r="C36" s="31"/>
      <c r="D36" s="727"/>
      <c r="E36" s="3"/>
      <c r="F36" s="101"/>
      <c r="G36" s="101"/>
      <c r="H36" s="101"/>
      <c r="I36" s="101"/>
      <c r="J36" s="101"/>
      <c r="K36" s="101"/>
      <c r="L36" s="473" t="s">
        <v>281</v>
      </c>
      <c r="M36" s="473"/>
      <c r="N36" s="3"/>
      <c r="O36" s="3"/>
      <c r="P36" s="3"/>
      <c r="Q36" s="3"/>
      <c r="R36" s="3"/>
      <c r="S36" s="3"/>
      <c r="T36" s="3"/>
      <c r="U36" s="3"/>
      <c r="V36" s="3"/>
      <c r="W36" s="3"/>
      <c r="X36" s="3"/>
      <c r="Y36" s="3"/>
      <c r="Z36" s="3"/>
      <c r="AA36" s="3"/>
      <c r="AB36" s="3"/>
      <c r="AC36" s="3"/>
    </row>
    <row r="37" spans="1:29">
      <c r="A37" s="3"/>
      <c r="B37" s="3"/>
      <c r="C37" s="31"/>
      <c r="D37" s="727"/>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727"/>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727"/>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727"/>
      <c r="E40" s="3"/>
      <c r="F40" s="3" t="s">
        <v>61</v>
      </c>
      <c r="G40" s="3"/>
      <c r="H40" s="3">
        <v>38.6</v>
      </c>
      <c r="I40" s="3" t="s">
        <v>827</v>
      </c>
      <c r="J40" s="3" t="s">
        <v>418</v>
      </c>
      <c r="K40" s="3"/>
      <c r="L40" s="3"/>
      <c r="M40" s="101"/>
      <c r="N40" s="3"/>
      <c r="O40" s="3"/>
      <c r="P40" s="3"/>
      <c r="Q40" s="3"/>
      <c r="R40" s="3"/>
      <c r="S40" s="3"/>
      <c r="T40" s="3"/>
      <c r="U40" s="3"/>
      <c r="V40" s="3"/>
      <c r="W40" s="3"/>
      <c r="X40" s="3"/>
      <c r="Y40" s="3"/>
      <c r="Z40" s="3"/>
      <c r="AA40" s="3"/>
      <c r="AB40" s="3"/>
      <c r="AC40" s="3"/>
    </row>
    <row r="41" spans="1:29">
      <c r="A41" s="3"/>
      <c r="B41" s="3"/>
      <c r="C41" s="31"/>
      <c r="D41" s="727"/>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727"/>
      <c r="E42" s="3"/>
      <c r="F42" s="3" t="s">
        <v>416</v>
      </c>
      <c r="G42" s="3"/>
      <c r="H42" s="566">
        <v>0</v>
      </c>
      <c r="I42" s="3" t="s">
        <v>827</v>
      </c>
      <c r="J42" s="3" t="s">
        <v>417</v>
      </c>
      <c r="K42" s="3"/>
      <c r="L42" s="3"/>
      <c r="M42" s="101"/>
      <c r="N42" s="3"/>
      <c r="O42" s="3"/>
      <c r="P42" s="3"/>
      <c r="Q42" s="3"/>
      <c r="R42" s="3"/>
      <c r="S42" s="3"/>
      <c r="T42" s="3"/>
      <c r="U42" s="3"/>
      <c r="V42" s="3"/>
      <c r="W42" s="3"/>
      <c r="X42" s="3"/>
      <c r="Y42" s="3"/>
      <c r="Z42" s="3"/>
      <c r="AA42" s="3"/>
      <c r="AB42" s="3"/>
      <c r="AC42" s="3"/>
    </row>
    <row r="43" spans="1:29">
      <c r="A43" s="3"/>
      <c r="B43" s="3"/>
      <c r="C43" s="31"/>
      <c r="D43" s="727"/>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818</v>
      </c>
      <c r="D44" s="421" t="s">
        <v>818</v>
      </c>
      <c r="E44" s="3"/>
      <c r="F44" s="3" t="s">
        <v>419</v>
      </c>
      <c r="G44" s="3"/>
      <c r="H44" s="3">
        <v>5.15</v>
      </c>
      <c r="I44" s="3" t="s">
        <v>36</v>
      </c>
      <c r="J44" s="3" t="s">
        <v>420</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818</v>
      </c>
      <c r="C46" s="3"/>
      <c r="D46" s="3"/>
      <c r="E46" s="3"/>
      <c r="F46" s="3" t="s">
        <v>421</v>
      </c>
      <c r="G46" s="3"/>
      <c r="H46" s="566">
        <v>0</v>
      </c>
      <c r="I46" s="3" t="s">
        <v>827</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818</v>
      </c>
      <c r="G47" s="3"/>
      <c r="H47" s="566"/>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66"/>
      <c r="I48" s="3"/>
      <c r="J48" s="3"/>
      <c r="K48" s="3"/>
      <c r="L48" s="3"/>
      <c r="M48" s="3"/>
      <c r="N48" s="3"/>
      <c r="O48" s="3"/>
      <c r="P48" s="3"/>
      <c r="Q48" s="3"/>
      <c r="R48" s="3"/>
      <c r="S48" s="3"/>
      <c r="T48" s="3"/>
      <c r="U48" s="3"/>
      <c r="V48" s="3"/>
      <c r="W48" s="3"/>
      <c r="X48" s="3"/>
      <c r="Y48" s="3"/>
      <c r="Z48" s="3"/>
      <c r="AA48" s="3"/>
      <c r="AB48" s="3"/>
      <c r="AC48" s="3"/>
    </row>
    <row r="49" spans="1:29">
      <c r="A49" s="3"/>
      <c r="B49" s="618" t="s">
        <v>664</v>
      </c>
      <c r="C49" s="969" t="s">
        <v>1051</v>
      </c>
      <c r="D49" s="622" t="s">
        <v>155</v>
      </c>
      <c r="E49" s="378"/>
      <c r="F49" t="s">
        <v>818</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818</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818</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818</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c r="A81" s="3"/>
      <c r="B81" s="3"/>
      <c r="C81" s="79">
        <v>265</v>
      </c>
      <c r="D81" s="15">
        <f t="shared" si="3"/>
        <v>-8.4470399166987935</v>
      </c>
      <c r="E81" s="3" t="s">
        <v>818</v>
      </c>
      <c r="F81" s="3"/>
      <c r="G81" s="3"/>
      <c r="H81" s="3"/>
      <c r="I81" s="3"/>
      <c r="J81" s="3"/>
      <c r="K81" s="3"/>
      <c r="L81" s="3"/>
      <c r="M81" s="4" t="s">
        <v>422</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827</v>
      </c>
      <c r="K85" s="3" t="s">
        <v>418</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818</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416</v>
      </c>
      <c r="H87" s="3"/>
      <c r="I87" s="566">
        <v>0</v>
      </c>
      <c r="J87" s="3" t="s">
        <v>827</v>
      </c>
      <c r="K87" s="3" t="s">
        <v>417</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419</v>
      </c>
      <c r="H89" s="3"/>
      <c r="I89" s="3">
        <v>2.15</v>
      </c>
      <c r="J89" s="3" t="s">
        <v>36</v>
      </c>
      <c r="K89" s="3" t="s">
        <v>420</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421</v>
      </c>
      <c r="H91" s="3"/>
      <c r="I91" s="566">
        <v>0</v>
      </c>
      <c r="J91" s="3" t="s">
        <v>827</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818</v>
      </c>
      <c r="C97" s="3"/>
      <c r="D97" s="624" t="s">
        <v>62</v>
      </c>
      <c r="E97" s="625"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618" t="s">
        <v>671</v>
      </c>
      <c r="C98" s="969" t="s">
        <v>1051</v>
      </c>
      <c r="D98" s="623" t="s">
        <v>155</v>
      </c>
      <c r="E98" s="626" t="s">
        <v>155</v>
      </c>
      <c r="F98" s="3"/>
      <c r="G98" s="3"/>
      <c r="H98" s="3"/>
      <c r="I98" s="3"/>
      <c r="J98" s="3"/>
      <c r="K98" s="3"/>
      <c r="L98" s="3"/>
      <c r="M98" s="3"/>
      <c r="N98" s="3"/>
      <c r="O98" s="3"/>
      <c r="U98" s="3"/>
      <c r="V98" s="3"/>
      <c r="W98" s="3"/>
      <c r="X98" s="3"/>
      <c r="Y98" s="3"/>
      <c r="Z98" s="3"/>
      <c r="AA98" s="3"/>
      <c r="AB98" s="3"/>
      <c r="AC98" s="3"/>
    </row>
    <row r="99" spans="1:29" ht="25.5">
      <c r="A99" s="3"/>
      <c r="B99" s="731" t="s">
        <v>282</v>
      </c>
      <c r="C99" s="79">
        <v>0</v>
      </c>
      <c r="D99" s="33">
        <f>2-0.00075*(C99)^2</f>
        <v>2</v>
      </c>
      <c r="E99" s="33">
        <f>0.5-0.00075*(180-C99)^2</f>
        <v>-23.8</v>
      </c>
      <c r="F99" t="s">
        <v>818</v>
      </c>
      <c r="G99" t="s">
        <v>818</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818</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818</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818</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818</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818</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818</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818</v>
      </c>
      <c r="C174" s="3"/>
      <c r="D174" s="624" t="s">
        <v>62</v>
      </c>
      <c r="E174" s="625"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618" t="s">
        <v>672</v>
      </c>
      <c r="C175" s="461" t="s">
        <v>153</v>
      </c>
      <c r="D175" s="623" t="s">
        <v>155</v>
      </c>
      <c r="E175" s="623" t="s">
        <v>155</v>
      </c>
      <c r="F175" s="940"/>
      <c r="G175" s="433"/>
      <c r="H175" s="433"/>
      <c r="I175" s="433"/>
      <c r="J175" s="433"/>
      <c r="K175" s="433"/>
      <c r="L175" s="433"/>
      <c r="M175" s="101"/>
      <c r="N175" s="101"/>
      <c r="O175" s="3"/>
      <c r="P175" s="3"/>
      <c r="Q175" s="3"/>
      <c r="R175" s="3"/>
      <c r="S175" s="3"/>
      <c r="T175" s="3"/>
      <c r="U175" s="3"/>
      <c r="V175" s="3"/>
      <c r="W175" s="3"/>
      <c r="X175" s="3"/>
      <c r="Y175" s="3"/>
      <c r="Z175" s="3"/>
      <c r="AA175" s="3"/>
      <c r="AB175" s="3"/>
      <c r="AC175" s="3"/>
    </row>
    <row r="176" spans="1:29">
      <c r="A176" s="3"/>
      <c r="B176" s="31"/>
      <c r="C176" s="79">
        <v>0</v>
      </c>
      <c r="D176" s="421">
        <f>4-1.5*((4-10*LOG10(1.256*(1+COS(RADIANS(C176))))))</f>
        <v>4.0002945259773774</v>
      </c>
      <c r="E176" s="79"/>
      <c r="F176" s="940"/>
      <c r="G176" s="433"/>
      <c r="H176" s="433"/>
      <c r="I176" s="433"/>
      <c r="J176" s="433"/>
      <c r="K176" s="433"/>
      <c r="L176" s="433"/>
      <c r="M176" s="101"/>
      <c r="N176" s="101"/>
      <c r="O176" s="3"/>
      <c r="P176" s="3"/>
      <c r="Q176" s="3"/>
      <c r="R176" s="3"/>
      <c r="S176" s="3"/>
      <c r="T176" s="3"/>
      <c r="U176" s="3"/>
      <c r="V176" s="3"/>
      <c r="W176" s="3"/>
      <c r="X176" s="3"/>
      <c r="Y176" s="3"/>
      <c r="Z176" s="3"/>
      <c r="AA176" s="3"/>
      <c r="AB176" s="3"/>
      <c r="AC176" s="3"/>
    </row>
    <row r="177" spans="1:29">
      <c r="A177" s="3"/>
      <c r="B177" s="31"/>
      <c r="C177" s="79">
        <f>C176+5</f>
        <v>5</v>
      </c>
      <c r="D177" s="421">
        <f t="shared" ref="D177:D211" si="11">4-1.5*((4-10*LOG10(1.256*(1+COS(RADIANS(C177))))))</f>
        <v>3.9878880574860744</v>
      </c>
      <c r="E177" s="79"/>
      <c r="F177" s="940"/>
      <c r="G177" s="433"/>
      <c r="H177" s="433"/>
      <c r="I177" s="433"/>
      <c r="J177" s="433"/>
      <c r="K177" s="433"/>
      <c r="L177" s="433"/>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21">
        <f t="shared" si="11"/>
        <v>3.9506213065023497</v>
      </c>
      <c r="E178" s="79"/>
      <c r="F178" s="940"/>
      <c r="G178" s="433"/>
      <c r="H178" s="433"/>
      <c r="I178" s="433"/>
      <c r="J178" s="433"/>
      <c r="K178" s="433"/>
      <c r="L178" s="433"/>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21">
        <f t="shared" si="11"/>
        <v>3.8883515113557801</v>
      </c>
      <c r="E179" s="79"/>
      <c r="F179" s="940"/>
      <c r="G179" s="433"/>
      <c r="H179" s="433"/>
      <c r="I179" s="433"/>
      <c r="J179" s="433"/>
      <c r="K179" s="433"/>
      <c r="L179" s="433"/>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21">
        <f t="shared" si="11"/>
        <v>3.8008382950754434</v>
      </c>
      <c r="E180" s="79"/>
      <c r="F180" s="940"/>
      <c r="G180" s="433"/>
      <c r="H180" s="433"/>
      <c r="I180" s="433"/>
      <c r="J180" s="433"/>
      <c r="K180" s="433"/>
      <c r="L180" s="433"/>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21">
        <f t="shared" si="11"/>
        <v>3.6877399197602871</v>
      </c>
      <c r="E181" s="79" t="s">
        <v>818</v>
      </c>
      <c r="F181" s="940"/>
      <c r="G181" s="433"/>
      <c r="H181" s="433"/>
      <c r="I181" s="433"/>
      <c r="J181" s="433"/>
      <c r="K181" s="433"/>
      <c r="L181" s="433"/>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21">
        <f t="shared" si="11"/>
        <v>3.5486078690583334</v>
      </c>
      <c r="E182" s="79"/>
      <c r="F182" s="940"/>
      <c r="G182" s="433"/>
      <c r="H182" s="433"/>
      <c r="I182" s="433"/>
      <c r="J182" s="433"/>
      <c r="K182" s="433"/>
      <c r="L182" s="433"/>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21">
        <f t="shared" si="11"/>
        <v>3.3828795731450212</v>
      </c>
      <c r="E183" s="79"/>
      <c r="F183" s="940"/>
      <c r="G183" s="433"/>
      <c r="H183" s="433"/>
      <c r="I183" s="433"/>
      <c r="J183" s="433"/>
      <c r="K183" s="433"/>
      <c r="L183" s="433"/>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21">
        <f t="shared" si="11"/>
        <v>3.1898690192654722</v>
      </c>
      <c r="E184" s="79"/>
      <c r="F184" s="940"/>
      <c r="G184" s="433"/>
      <c r="H184" s="433"/>
      <c r="I184" s="433"/>
      <c r="J184" s="433"/>
      <c r="K184" s="433"/>
      <c r="L184" s="433"/>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21">
        <f t="shared" si="11"/>
        <v>2.9687549036057468</v>
      </c>
      <c r="E185" s="79"/>
      <c r="F185" s="940"/>
      <c r="G185" s="433"/>
      <c r="H185" s="433" t="s">
        <v>818</v>
      </c>
      <c r="I185" s="433" t="s">
        <v>674</v>
      </c>
      <c r="J185" s="433"/>
      <c r="K185" s="433"/>
      <c r="L185" s="433"/>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21">
        <f t="shared" si="11"/>
        <v>2.7185658705693321</v>
      </c>
      <c r="E186" s="79"/>
      <c r="F186" s="940"/>
      <c r="G186" s="433"/>
      <c r="H186" s="433"/>
      <c r="I186" s="433"/>
      <c r="J186" s="433" t="s">
        <v>670</v>
      </c>
      <c r="K186" s="433"/>
      <c r="L186" s="433"/>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21">
        <f t="shared" si="11"/>
        <v>2.4381622447440372</v>
      </c>
      <c r="E187" s="79"/>
      <c r="F187" s="940"/>
      <c r="G187" s="433"/>
      <c r="H187" s="433"/>
      <c r="I187" s="433"/>
      <c r="J187" s="433"/>
      <c r="K187" s="433"/>
      <c r="L187" s="433"/>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21">
        <f t="shared" si="11"/>
        <v>2.1262134768528775</v>
      </c>
      <c r="E188" s="79"/>
      <c r="F188" s="940"/>
      <c r="G188" s="433"/>
      <c r="H188" s="433"/>
      <c r="I188" s="433"/>
      <c r="J188" s="433"/>
      <c r="K188" s="433"/>
      <c r="L188" s="433"/>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21">
        <f t="shared" si="11"/>
        <v>1.7811702806787064</v>
      </c>
      <c r="E189" s="79"/>
      <c r="F189" s="940"/>
      <c r="G189" s="433"/>
      <c r="H189" s="433"/>
      <c r="I189" s="433"/>
      <c r="J189" s="433"/>
      <c r="K189" s="433"/>
      <c r="L189" s="433"/>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21">
        <f t="shared" si="11"/>
        <v>1.4012301087231167</v>
      </c>
      <c r="E190" s="79"/>
      <c r="F190" s="940"/>
      <c r="G190" s="433"/>
      <c r="H190" s="433"/>
      <c r="I190" s="433"/>
      <c r="J190" s="433"/>
      <c r="K190" s="433"/>
      <c r="L190" s="433"/>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21">
        <f t="shared" si="11"/>
        <v>0.98429416422027893</v>
      </c>
      <c r="E191" s="79"/>
      <c r="F191" s="940"/>
      <c r="G191" s="433"/>
      <c r="H191" s="433"/>
      <c r="I191" s="433"/>
      <c r="J191" s="433"/>
      <c r="K191" s="433"/>
      <c r="L191" s="433"/>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21">
        <f t="shared" si="11"/>
        <v>0.52791352258296209</v>
      </c>
      <c r="E192" s="79"/>
      <c r="F192" s="940"/>
      <c r="G192" s="433"/>
      <c r="H192" s="433"/>
      <c r="I192" s="433"/>
      <c r="J192" s="433"/>
      <c r="K192" s="433"/>
      <c r="L192" s="433"/>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21">
        <f t="shared" si="11"/>
        <v>2.9221055497633763E-2</v>
      </c>
      <c r="E193" s="79"/>
      <c r="F193" s="940"/>
      <c r="G193" s="433"/>
      <c r="H193" s="433"/>
      <c r="I193" s="433"/>
      <c r="J193" s="433"/>
      <c r="K193" s="433"/>
      <c r="L193" s="433"/>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21">
        <f t="shared" si="11"/>
        <v>-0.51515540898233958</v>
      </c>
      <c r="E194" s="79"/>
      <c r="F194" s="940"/>
      <c r="G194" s="433"/>
      <c r="H194" s="433"/>
      <c r="I194" s="433"/>
      <c r="J194" s="433"/>
      <c r="K194" s="433"/>
      <c r="L194" s="433"/>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21">
        <f t="shared" si="11"/>
        <v>-1.1092050929373443</v>
      </c>
      <c r="E195" s="79"/>
      <c r="F195" s="940"/>
      <c r="G195" s="433"/>
      <c r="H195" s="433"/>
      <c r="I195" s="433"/>
      <c r="J195" s="433"/>
      <c r="K195" s="433"/>
      <c r="L195" s="433"/>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21">
        <f t="shared" si="11"/>
        <v>-1.7576805714495745</v>
      </c>
      <c r="E196" s="79"/>
      <c r="F196" s="940"/>
      <c r="G196" s="433"/>
      <c r="H196" s="433"/>
      <c r="I196" s="433"/>
      <c r="J196" s="433"/>
      <c r="K196" s="433"/>
      <c r="L196" s="433"/>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21">
        <f t="shared" si="11"/>
        <v>-2.4662916391040044</v>
      </c>
      <c r="E197" s="79"/>
      <c r="F197" s="940"/>
      <c r="G197" s="433"/>
      <c r="H197" s="433"/>
      <c r="I197" s="433"/>
      <c r="J197" s="433"/>
      <c r="K197" s="433"/>
      <c r="L197" s="433"/>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21">
        <f t="shared" si="11"/>
        <v>-3.2419664333997016</v>
      </c>
      <c r="E198" s="79"/>
      <c r="F198" s="940"/>
      <c r="G198" s="433"/>
      <c r="H198" s="433"/>
      <c r="I198" s="433"/>
      <c r="J198" s="433"/>
      <c r="K198" s="433"/>
      <c r="L198" s="433"/>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21">
        <f t="shared" si="11"/>
        <v>-4.0932097540514292</v>
      </c>
      <c r="E199" s="79"/>
      <c r="F199" s="940"/>
      <c r="G199" s="433"/>
      <c r="H199" s="433"/>
      <c r="I199" s="433"/>
      <c r="J199" s="433"/>
      <c r="K199" s="433"/>
      <c r="L199" s="433"/>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21">
        <f t="shared" si="11"/>
        <v>-5.0306053439420548</v>
      </c>
      <c r="E200" s="79"/>
      <c r="F200" s="3"/>
      <c r="G200" s="3"/>
      <c r="H200" s="3"/>
      <c r="I200" s="3"/>
      <c r="J200" s="3"/>
      <c r="K200" s="3"/>
      <c r="L200" s="3"/>
      <c r="M200" s="3"/>
      <c r="N200" s="3"/>
      <c r="O200" s="3"/>
      <c r="P200" s="3" t="s">
        <v>818</v>
      </c>
      <c r="Q200" s="3"/>
      <c r="R200" s="3"/>
      <c r="S200" s="3"/>
      <c r="T200" s="3"/>
      <c r="U200" s="3"/>
      <c r="V200" s="3"/>
      <c r="W200" s="3"/>
      <c r="X200" s="3"/>
      <c r="Y200" s="3"/>
      <c r="Z200" s="3"/>
      <c r="AA200" s="3"/>
      <c r="AB200" s="3"/>
      <c r="AC200" s="3"/>
    </row>
    <row r="201" spans="1:29">
      <c r="A201" s="3"/>
      <c r="B201" s="31"/>
      <c r="C201" s="79">
        <f t="shared" si="12"/>
        <v>125</v>
      </c>
      <c r="D201" s="421">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21">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21">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21">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21">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21">
        <f t="shared" si="11"/>
        <v>-13.60981855694245</v>
      </c>
      <c r="E206" s="79" t="s">
        <v>818</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21">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21">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21">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21">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21">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21">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5" thickBot="1">
      <c r="A214" s="3"/>
      <c r="B214" s="31" t="s">
        <v>818</v>
      </c>
      <c r="C214" s="3"/>
      <c r="D214" s="624" t="s">
        <v>62</v>
      </c>
      <c r="E214" s="625"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618" t="s">
        <v>673</v>
      </c>
      <c r="C215" s="941" t="s">
        <v>1035</v>
      </c>
      <c r="D215" s="623" t="s">
        <v>155</v>
      </c>
      <c r="E215" s="626" t="s">
        <v>155</v>
      </c>
      <c r="F215" s="433"/>
      <c r="G215" s="433" t="s">
        <v>818</v>
      </c>
      <c r="H215" s="433"/>
      <c r="I215" s="433"/>
      <c r="J215" s="433"/>
      <c r="K215" s="433"/>
      <c r="L215" s="433"/>
      <c r="M215" s="433"/>
      <c r="N215" s="615"/>
      <c r="O215" s="3"/>
      <c r="P215" s="3"/>
      <c r="Q215" s="3"/>
      <c r="R215" s="3"/>
      <c r="S215" s="3"/>
      <c r="T215" s="3"/>
      <c r="U215" s="3"/>
      <c r="V215" s="3"/>
      <c r="W215" s="3"/>
      <c r="X215" s="3"/>
      <c r="Y215" s="3"/>
      <c r="Z215" s="3"/>
      <c r="AA215" s="3"/>
      <c r="AB215" s="3"/>
      <c r="AC215" s="3"/>
    </row>
    <row r="216" spans="1:29">
      <c r="A216" s="3"/>
      <c r="B216" s="3"/>
      <c r="C216" s="609">
        <v>1.0000000000000001E-5</v>
      </c>
      <c r="D216" s="939">
        <f>6-(-10*LOG10(3282.81*((SIN(RADIANS(C216*1.7724))^2)/((C216*1.7724)^2))))</f>
        <v>6.0000048287003951</v>
      </c>
      <c r="E216" s="79" t="s">
        <v>818</v>
      </c>
      <c r="F216" s="433"/>
      <c r="G216" s="433"/>
      <c r="H216" s="433"/>
      <c r="I216" s="433"/>
      <c r="J216" s="433"/>
      <c r="K216" s="433"/>
      <c r="L216" s="433"/>
      <c r="M216" s="433"/>
      <c r="N216" s="616"/>
      <c r="O216" s="3"/>
      <c r="P216" s="3"/>
      <c r="Q216" s="3"/>
      <c r="R216" s="3"/>
      <c r="S216" s="3"/>
      <c r="T216" s="3"/>
      <c r="U216" s="3"/>
      <c r="V216" s="3"/>
      <c r="W216" s="3"/>
      <c r="X216" s="3"/>
      <c r="Y216" s="3"/>
      <c r="Z216" s="3"/>
      <c r="AA216" s="3"/>
      <c r="AB216" s="3"/>
      <c r="AC216" s="3"/>
    </row>
    <row r="217" spans="1:29">
      <c r="A217" s="3"/>
      <c r="B217" s="3"/>
      <c r="C217" s="609">
        <f>C216+5</f>
        <v>5.0000099999999996</v>
      </c>
      <c r="D217" s="939">
        <f t="shared" ref="D217:D252" si="13">6-(-10*LOG10(3282.81*((SIN(RADIANS(C217*1.7724))^2)/((C217*1.7724)^2))))</f>
        <v>5.9653447349382374</v>
      </c>
      <c r="E217" s="79" t="s">
        <v>818</v>
      </c>
      <c r="F217" s="433"/>
      <c r="G217" s="433"/>
      <c r="H217" s="433"/>
      <c r="I217" s="433"/>
      <c r="J217" s="433"/>
      <c r="K217" s="433"/>
      <c r="L217" s="433"/>
      <c r="M217" s="433"/>
      <c r="N217" s="616"/>
      <c r="O217" s="3"/>
      <c r="P217" s="3"/>
      <c r="Q217" s="3"/>
      <c r="R217" s="3"/>
      <c r="S217" s="3"/>
      <c r="T217" s="3"/>
      <c r="U217" s="3"/>
      <c r="V217" s="3"/>
      <c r="W217" s="3"/>
      <c r="X217" s="3"/>
      <c r="Y217" s="3"/>
      <c r="Z217" s="3"/>
      <c r="AA217" s="3"/>
      <c r="AB217" s="3"/>
      <c r="AC217" s="3"/>
    </row>
    <row r="218" spans="1:29">
      <c r="A218" s="3"/>
      <c r="B218" s="3"/>
      <c r="C218" s="609">
        <f t="shared" ref="C218:C283" si="14">C217+5</f>
        <v>10.00001</v>
      </c>
      <c r="D218" s="939">
        <f t="shared" si="13"/>
        <v>5.8610307884493329</v>
      </c>
      <c r="E218" s="79"/>
      <c r="F218" s="433"/>
      <c r="G218" s="433"/>
      <c r="H218" s="433"/>
      <c r="I218" s="433"/>
      <c r="J218" s="433"/>
      <c r="K218" s="433"/>
      <c r="L218" s="433"/>
      <c r="M218" s="433"/>
      <c r="N218" s="616"/>
      <c r="O218" s="3"/>
      <c r="P218" s="3"/>
      <c r="Q218" s="3"/>
      <c r="R218" s="3"/>
      <c r="S218" s="3"/>
      <c r="T218" s="3"/>
      <c r="U218" s="3"/>
      <c r="V218" s="3"/>
      <c r="W218" s="3"/>
      <c r="X218" s="3"/>
      <c r="Y218" s="3"/>
      <c r="Z218" s="3"/>
      <c r="AA218" s="3"/>
      <c r="AB218" s="3"/>
      <c r="AC218" s="3"/>
    </row>
    <row r="219" spans="1:29">
      <c r="A219" s="3"/>
      <c r="B219" s="3"/>
      <c r="C219" s="609">
        <f t="shared" si="14"/>
        <v>15.00001</v>
      </c>
      <c r="D219" s="939">
        <f t="shared" si="13"/>
        <v>5.6860456751103436</v>
      </c>
      <c r="E219" s="79"/>
      <c r="F219" s="433"/>
      <c r="G219" s="433"/>
      <c r="H219" s="433"/>
      <c r="I219" s="433"/>
      <c r="J219" s="433"/>
      <c r="K219" s="433"/>
      <c r="L219" s="433"/>
      <c r="M219" s="433"/>
      <c r="N219" s="616"/>
      <c r="O219" s="3"/>
      <c r="P219" s="3"/>
      <c r="Q219" s="3"/>
      <c r="R219" s="3"/>
      <c r="S219" s="3"/>
      <c r="T219" s="3"/>
      <c r="U219" s="3"/>
      <c r="V219" s="3"/>
      <c r="W219" s="3"/>
      <c r="X219" s="3"/>
      <c r="Y219" s="3"/>
      <c r="Z219" s="3"/>
      <c r="AA219" s="3"/>
      <c r="AB219" s="3"/>
      <c r="AC219" s="3"/>
    </row>
    <row r="220" spans="1:29">
      <c r="A220" s="3"/>
      <c r="B220" s="3"/>
      <c r="C220" s="609">
        <f t="shared" si="14"/>
        <v>20.00001</v>
      </c>
      <c r="D220" s="939">
        <f t="shared" si="13"/>
        <v>5.4386406342061937</v>
      </c>
      <c r="E220" s="79"/>
      <c r="F220" s="433"/>
      <c r="G220" s="433"/>
      <c r="H220" s="433"/>
      <c r="I220" s="433"/>
      <c r="J220" s="433"/>
      <c r="K220" s="433"/>
      <c r="L220" s="433"/>
      <c r="M220" s="433"/>
      <c r="N220" s="616"/>
      <c r="O220" s="3"/>
      <c r="P220" s="3"/>
      <c r="Q220" s="3"/>
      <c r="R220" s="3"/>
      <c r="S220" s="3"/>
      <c r="T220" s="3"/>
      <c r="U220" s="3"/>
      <c r="V220" s="3"/>
      <c r="W220" s="3"/>
      <c r="X220" s="3"/>
      <c r="Y220" s="3"/>
      <c r="Z220" s="3"/>
      <c r="AA220" s="3"/>
      <c r="AB220" s="3"/>
      <c r="AC220" s="3"/>
    </row>
    <row r="221" spans="1:29">
      <c r="A221" s="3"/>
      <c r="B221" s="3"/>
      <c r="C221" s="609">
        <f t="shared" si="14"/>
        <v>25.00001</v>
      </c>
      <c r="D221" s="939">
        <f t="shared" si="13"/>
        <v>5.1162496734715912</v>
      </c>
      <c r="E221" s="79"/>
      <c r="F221" s="433"/>
      <c r="G221" s="433"/>
      <c r="H221" s="433"/>
      <c r="I221" s="433"/>
      <c r="J221" s="433"/>
      <c r="K221" s="433"/>
      <c r="L221" s="433"/>
      <c r="M221" s="433"/>
      <c r="N221" s="616"/>
      <c r="O221" s="3"/>
      <c r="P221" s="3"/>
      <c r="Q221" s="3"/>
      <c r="R221" s="3"/>
      <c r="S221" s="3"/>
      <c r="T221" s="3"/>
      <c r="U221" s="3"/>
      <c r="V221" s="3"/>
      <c r="W221" s="3"/>
      <c r="X221" s="3"/>
      <c r="Y221" s="3"/>
      <c r="Z221" s="3"/>
      <c r="AA221" s="3"/>
      <c r="AB221" s="3"/>
      <c r="AC221" s="3"/>
    </row>
    <row r="222" spans="1:29">
      <c r="A222" s="3"/>
      <c r="B222" s="3"/>
      <c r="C222" s="609">
        <f t="shared" si="14"/>
        <v>30.00001</v>
      </c>
      <c r="D222" s="939">
        <f t="shared" si="13"/>
        <v>4.7153564644619106</v>
      </c>
      <c r="E222" s="79"/>
      <c r="F222" s="433"/>
      <c r="G222" s="433"/>
      <c r="H222" s="433"/>
      <c r="I222" s="433"/>
      <c r="J222" s="433"/>
      <c r="K222" s="433"/>
      <c r="L222" s="433"/>
      <c r="M222" s="433"/>
      <c r="N222" s="616"/>
      <c r="O222" s="3"/>
      <c r="P222" s="3"/>
      <c r="Q222" s="3"/>
      <c r="R222" s="3"/>
      <c r="S222" s="3"/>
      <c r="T222" s="3"/>
      <c r="U222" s="3"/>
      <c r="V222" s="3"/>
      <c r="W222" s="3"/>
      <c r="X222" s="3"/>
      <c r="Y222" s="3"/>
      <c r="Z222" s="3"/>
      <c r="AA222" s="3"/>
      <c r="AB222" s="3"/>
      <c r="AC222" s="3"/>
    </row>
    <row r="223" spans="1:29">
      <c r="A223" s="3"/>
      <c r="B223" s="3"/>
      <c r="C223" s="609">
        <f t="shared" si="14"/>
        <v>35.000010000000003</v>
      </c>
      <c r="D223" s="939">
        <f t="shared" si="13"/>
        <v>4.2312978799201479</v>
      </c>
      <c r="E223" s="79"/>
      <c r="F223" s="433"/>
      <c r="G223" s="433"/>
      <c r="H223" s="433"/>
      <c r="I223" s="433"/>
      <c r="J223" s="433"/>
      <c r="K223" s="433"/>
      <c r="L223" s="433"/>
      <c r="M223" s="433"/>
      <c r="N223" s="616"/>
      <c r="O223" s="3"/>
      <c r="P223" s="3"/>
      <c r="Q223" s="3"/>
      <c r="R223" s="3"/>
      <c r="S223" s="3"/>
      <c r="T223" s="3"/>
      <c r="U223" s="3"/>
      <c r="V223" s="3"/>
      <c r="W223" s="3"/>
      <c r="X223" s="3"/>
      <c r="Y223" s="3"/>
      <c r="Z223" s="3"/>
      <c r="AA223" s="3"/>
      <c r="AB223" s="3"/>
      <c r="AC223" s="3"/>
    </row>
    <row r="224" spans="1:29">
      <c r="A224" s="3"/>
      <c r="B224" s="3"/>
      <c r="C224" s="609">
        <f t="shared" si="14"/>
        <v>40.000010000000003</v>
      </c>
      <c r="D224" s="939">
        <f t="shared" si="13"/>
        <v>3.6579781652012575</v>
      </c>
      <c r="E224" s="79"/>
      <c r="F224" s="433"/>
      <c r="G224" s="433"/>
      <c r="H224" s="433"/>
      <c r="I224" s="433"/>
      <c r="J224" s="433"/>
      <c r="K224" s="433"/>
      <c r="L224" s="433"/>
      <c r="M224" s="433"/>
      <c r="N224" s="616"/>
      <c r="O224" s="3"/>
      <c r="P224" s="3"/>
      <c r="Q224" s="3"/>
      <c r="R224" s="3"/>
      <c r="S224" s="3"/>
      <c r="T224" s="3"/>
      <c r="U224" s="3"/>
      <c r="V224" s="3"/>
      <c r="W224" s="3"/>
      <c r="X224" s="3"/>
      <c r="Y224" s="3"/>
      <c r="Z224" s="3"/>
      <c r="AA224" s="3"/>
      <c r="AB224" s="3"/>
      <c r="AC224" s="3"/>
    </row>
    <row r="225" spans="1:29">
      <c r="A225" s="3"/>
      <c r="B225" s="3"/>
      <c r="C225" s="609">
        <f t="shared" si="14"/>
        <v>45.000010000000003</v>
      </c>
      <c r="D225" s="939">
        <f t="shared" si="13"/>
        <v>2.9874513525559072</v>
      </c>
      <c r="E225" s="79"/>
      <c r="F225" s="433"/>
      <c r="G225" s="433"/>
      <c r="H225" s="433" t="s">
        <v>818</v>
      </c>
      <c r="I225" s="433" t="s">
        <v>675</v>
      </c>
      <c r="J225" s="433"/>
      <c r="K225" s="433"/>
      <c r="L225" s="433"/>
      <c r="M225" s="433"/>
      <c r="N225" s="616"/>
      <c r="O225" s="3"/>
      <c r="P225" s="3"/>
      <c r="Q225" s="3"/>
      <c r="R225" s="3"/>
      <c r="S225" s="3"/>
      <c r="T225" s="3"/>
      <c r="U225" s="3"/>
      <c r="V225" s="3"/>
      <c r="W225" s="3"/>
      <c r="X225" s="3"/>
      <c r="Y225" s="3"/>
      <c r="Z225" s="3"/>
      <c r="AA225" s="3"/>
      <c r="AB225" s="3"/>
      <c r="AC225" s="3"/>
    </row>
    <row r="226" spans="1:29">
      <c r="A226" s="3"/>
      <c r="B226" s="3"/>
      <c r="C226" s="609">
        <f t="shared" si="14"/>
        <v>50.000010000000003</v>
      </c>
      <c r="D226" s="939">
        <f t="shared" si="13"/>
        <v>2.2093012463479962</v>
      </c>
      <c r="E226" s="79"/>
      <c r="F226" s="433"/>
      <c r="G226" s="433"/>
      <c r="H226" s="433"/>
      <c r="I226" s="433"/>
      <c r="J226" s="619" t="s">
        <v>670</v>
      </c>
      <c r="K226" s="433"/>
      <c r="L226" s="433"/>
      <c r="M226" s="433"/>
      <c r="N226" s="616"/>
      <c r="O226" s="3"/>
      <c r="P226" s="3"/>
      <c r="Q226" s="3"/>
      <c r="R226" s="3"/>
      <c r="S226" s="3"/>
      <c r="T226" s="3"/>
      <c r="U226" s="3"/>
      <c r="V226" s="3"/>
      <c r="W226" s="3"/>
      <c r="X226" s="3"/>
      <c r="Y226" s="3"/>
      <c r="Z226" s="3"/>
      <c r="AA226" s="3"/>
      <c r="AB226" s="3"/>
      <c r="AC226" s="3"/>
    </row>
    <row r="227" spans="1:29">
      <c r="A227" s="3"/>
      <c r="B227" s="3"/>
      <c r="C227" s="609">
        <f t="shared" si="14"/>
        <v>55.000010000000003</v>
      </c>
      <c r="D227" s="939">
        <f t="shared" si="13"/>
        <v>1.3096970623209385</v>
      </c>
      <c r="E227" s="79"/>
      <c r="F227" s="433"/>
      <c r="G227" s="433"/>
      <c r="H227" s="433"/>
      <c r="I227" s="433"/>
      <c r="J227" s="433"/>
      <c r="K227" s="433"/>
      <c r="L227" s="433"/>
      <c r="M227" s="433"/>
      <c r="N227" s="616"/>
      <c r="O227" s="3"/>
      <c r="P227" s="3"/>
      <c r="Q227" s="3"/>
      <c r="R227" s="3"/>
      <c r="S227" s="3"/>
      <c r="T227" s="3"/>
      <c r="U227" s="3"/>
      <c r="V227" s="3"/>
      <c r="W227" s="3"/>
      <c r="X227" s="3"/>
      <c r="Y227" s="3"/>
      <c r="Z227" s="3"/>
      <c r="AA227" s="3"/>
      <c r="AB227" s="3"/>
      <c r="AC227" s="3"/>
    </row>
    <row r="228" spans="1:29">
      <c r="A228" s="3"/>
      <c r="B228" s="3"/>
      <c r="C228" s="609">
        <f t="shared" si="14"/>
        <v>60.000010000000003</v>
      </c>
      <c r="D228" s="939">
        <f t="shared" si="13"/>
        <v>0.26990490064927641</v>
      </c>
      <c r="E228" s="79"/>
      <c r="F228" s="433"/>
      <c r="G228" s="433"/>
      <c r="H228" s="433"/>
      <c r="I228" s="433"/>
      <c r="J228" s="433"/>
      <c r="K228" s="433"/>
      <c r="L228" s="433"/>
      <c r="M228" s="433"/>
      <c r="N228" s="616"/>
      <c r="O228" s="3"/>
      <c r="P228" s="3"/>
      <c r="Q228" s="3"/>
      <c r="R228" s="3"/>
      <c r="S228" s="3"/>
      <c r="T228" s="3"/>
      <c r="U228" s="3"/>
      <c r="V228" s="3"/>
      <c r="W228" s="3"/>
      <c r="X228" s="3"/>
      <c r="Y228" s="3"/>
      <c r="Z228" s="3"/>
      <c r="AA228" s="3"/>
      <c r="AB228" s="3"/>
      <c r="AC228" s="3"/>
    </row>
    <row r="229" spans="1:29">
      <c r="A229" s="3"/>
      <c r="B229" s="3"/>
      <c r="C229" s="609">
        <f t="shared" si="14"/>
        <v>65.000010000000003</v>
      </c>
      <c r="D229" s="939">
        <f t="shared" si="13"/>
        <v>-0.93616362774185458</v>
      </c>
      <c r="E229" s="79"/>
      <c r="F229" s="433"/>
      <c r="G229" s="433"/>
      <c r="H229" s="433"/>
      <c r="I229" s="433"/>
      <c r="J229" s="433"/>
      <c r="K229" s="433"/>
      <c r="L229" s="433"/>
      <c r="M229" s="433"/>
      <c r="N229" s="616"/>
      <c r="O229" s="3"/>
      <c r="P229" s="3"/>
      <c r="Q229" s="3"/>
      <c r="R229" s="3"/>
      <c r="S229" s="3"/>
      <c r="T229" s="3"/>
      <c r="U229" s="3"/>
      <c r="V229" s="3"/>
      <c r="W229" s="3"/>
      <c r="X229" s="3"/>
      <c r="Y229" s="3"/>
      <c r="Z229" s="3"/>
      <c r="AA229" s="3"/>
      <c r="AB229" s="3"/>
      <c r="AC229" s="3"/>
    </row>
    <row r="230" spans="1:29">
      <c r="A230" s="3"/>
      <c r="B230" s="3"/>
      <c r="C230" s="609">
        <f t="shared" si="14"/>
        <v>70.000010000000003</v>
      </c>
      <c r="D230" s="939">
        <f t="shared" si="13"/>
        <v>-2.346219096006557</v>
      </c>
      <c r="E230" s="79"/>
      <c r="F230" s="433"/>
      <c r="G230" s="433"/>
      <c r="H230" s="433"/>
      <c r="I230" s="433"/>
      <c r="J230" s="433"/>
      <c r="K230" s="433"/>
      <c r="L230" s="433"/>
      <c r="M230" s="433"/>
      <c r="N230" s="616"/>
      <c r="O230" s="3"/>
      <c r="P230" s="3"/>
      <c r="Q230" s="3"/>
      <c r="R230" s="3"/>
      <c r="S230" s="3"/>
      <c r="T230" s="3"/>
      <c r="U230" s="3"/>
      <c r="V230" s="3"/>
      <c r="W230" s="3"/>
      <c r="X230" s="3"/>
      <c r="Y230" s="3"/>
      <c r="Z230" s="3"/>
      <c r="AA230" s="3"/>
      <c r="AB230" s="3"/>
      <c r="AC230" s="3"/>
    </row>
    <row r="231" spans="1:29">
      <c r="A231" s="3"/>
      <c r="B231" s="3"/>
      <c r="C231" s="609">
        <f t="shared" si="14"/>
        <v>75.000010000000003</v>
      </c>
      <c r="D231" s="939">
        <f t="shared" si="13"/>
        <v>-4.0175734305176114</v>
      </c>
      <c r="E231" s="79"/>
      <c r="F231" s="433"/>
      <c r="G231" s="433"/>
      <c r="H231" s="433"/>
      <c r="I231" s="433"/>
      <c r="J231" s="433"/>
      <c r="K231" s="433"/>
      <c r="L231" s="433"/>
      <c r="M231" s="433"/>
      <c r="N231" s="616"/>
      <c r="O231" s="3"/>
      <c r="P231" s="3"/>
      <c r="Q231" s="3"/>
      <c r="R231" s="3"/>
      <c r="S231" s="3"/>
      <c r="T231" s="3"/>
      <c r="U231" s="3"/>
      <c r="V231" s="3"/>
      <c r="W231" s="3"/>
      <c r="X231" s="3"/>
      <c r="Y231" s="3"/>
      <c r="Z231" s="3"/>
      <c r="AA231" s="3"/>
      <c r="AB231" s="3"/>
      <c r="AC231" s="3"/>
    </row>
    <row r="232" spans="1:29">
      <c r="A232" s="3"/>
      <c r="B232" s="3"/>
      <c r="C232" s="609">
        <f t="shared" si="14"/>
        <v>80.000010000000003</v>
      </c>
      <c r="D232" s="939">
        <f t="shared" si="13"/>
        <v>-6.0435331070795471</v>
      </c>
      <c r="E232" s="79"/>
      <c r="F232" s="433"/>
      <c r="G232" s="433"/>
      <c r="H232" s="433"/>
      <c r="I232" s="433"/>
      <c r="J232" s="433"/>
      <c r="K232" s="433"/>
      <c r="L232" s="433"/>
      <c r="M232" s="433"/>
      <c r="N232" s="616"/>
      <c r="O232" s="3"/>
      <c r="P232" s="3"/>
      <c r="Q232" s="3"/>
      <c r="R232" s="3"/>
      <c r="S232" s="3"/>
      <c r="T232" s="3"/>
      <c r="U232" s="3"/>
      <c r="V232" s="3"/>
      <c r="W232" s="3"/>
      <c r="X232" s="3"/>
      <c r="Y232" s="3"/>
      <c r="Z232" s="3"/>
      <c r="AA232" s="3"/>
      <c r="AB232" s="3"/>
      <c r="AC232" s="3"/>
    </row>
    <row r="233" spans="1:29">
      <c r="A233" s="3"/>
      <c r="B233" s="3"/>
      <c r="C233" s="609">
        <f t="shared" si="14"/>
        <v>85.000010000000003</v>
      </c>
      <c r="D233" s="939">
        <f t="shared" si="13"/>
        <v>-8.5917789014445276</v>
      </c>
      <c r="E233" s="79"/>
      <c r="F233" s="433"/>
      <c r="G233" s="433"/>
      <c r="H233" s="433"/>
      <c r="I233" s="433"/>
      <c r="J233" s="433"/>
      <c r="K233" s="433"/>
      <c r="L233" s="433"/>
      <c r="M233" s="433"/>
      <c r="N233" s="616"/>
      <c r="O233" s="3"/>
      <c r="P233" s="3"/>
      <c r="Q233" s="3"/>
      <c r="R233" s="3"/>
      <c r="S233" s="3"/>
      <c r="T233" s="3"/>
      <c r="U233" s="3"/>
      <c r="V233" s="3"/>
      <c r="W233" s="3"/>
      <c r="X233" s="3"/>
      <c r="Y233" s="3"/>
      <c r="Z233" s="3"/>
      <c r="AA233" s="3"/>
      <c r="AB233" s="3"/>
      <c r="AC233" s="3"/>
    </row>
    <row r="234" spans="1:29">
      <c r="A234" s="3"/>
      <c r="B234" s="3"/>
      <c r="C234" s="609">
        <f t="shared" si="14"/>
        <v>90.000010000000003</v>
      </c>
      <c r="D234" s="939">
        <f t="shared" si="13"/>
        <v>-12.013620001173564</v>
      </c>
      <c r="E234" s="79"/>
      <c r="F234" s="433"/>
      <c r="G234" s="433"/>
      <c r="H234" s="433"/>
      <c r="I234" s="433"/>
      <c r="J234" s="433"/>
      <c r="K234" s="433"/>
      <c r="L234" s="433"/>
      <c r="M234" s="433"/>
      <c r="N234" s="616"/>
      <c r="O234" s="3"/>
      <c r="P234" s="3"/>
      <c r="Q234" s="3"/>
      <c r="R234" s="3"/>
      <c r="S234" s="3"/>
      <c r="T234" s="3"/>
      <c r="U234" s="3"/>
      <c r="V234" s="3"/>
      <c r="W234" s="3"/>
      <c r="X234" s="3"/>
      <c r="Y234" s="3"/>
      <c r="Z234" s="3"/>
      <c r="AA234" s="3"/>
      <c r="AB234" s="3"/>
      <c r="AC234" s="3"/>
    </row>
    <row r="235" spans="1:29">
      <c r="A235" s="3"/>
      <c r="B235" s="3"/>
      <c r="C235" s="609">
        <f t="shared" si="14"/>
        <v>95.000010000000003</v>
      </c>
      <c r="D235" s="939">
        <f t="shared" si="13"/>
        <v>-17.279743973217315</v>
      </c>
      <c r="E235" s="79"/>
      <c r="F235" s="433"/>
      <c r="G235" s="433"/>
      <c r="H235" s="433"/>
      <c r="I235" s="433"/>
      <c r="J235" s="433"/>
      <c r="K235" s="433"/>
      <c r="L235" s="433"/>
      <c r="M235" s="433"/>
      <c r="N235" s="616"/>
      <c r="O235" s="3"/>
      <c r="P235" s="3"/>
      <c r="Q235" s="3"/>
      <c r="R235" s="3"/>
      <c r="S235" s="3"/>
      <c r="T235" s="3"/>
      <c r="U235" s="3"/>
      <c r="V235" s="3"/>
      <c r="W235" s="3"/>
      <c r="X235" s="3"/>
      <c r="Y235" s="3"/>
      <c r="Z235" s="3"/>
      <c r="AA235" s="3"/>
      <c r="AB235" s="3"/>
      <c r="AC235" s="3"/>
    </row>
    <row r="236" spans="1:29">
      <c r="A236" s="3"/>
      <c r="B236" s="3"/>
      <c r="C236" s="609">
        <f t="shared" si="14"/>
        <v>100.00001</v>
      </c>
      <c r="D236" s="939">
        <f t="shared" si="13"/>
        <v>-30.156464421918081</v>
      </c>
      <c r="E236" s="79" t="s">
        <v>1001</v>
      </c>
      <c r="F236" s="433"/>
      <c r="G236" s="433"/>
      <c r="H236" s="433"/>
      <c r="I236" s="433"/>
      <c r="J236" s="433"/>
      <c r="K236" s="433"/>
      <c r="L236" s="433"/>
      <c r="M236" s="433"/>
      <c r="N236" s="616"/>
      <c r="O236" s="3"/>
      <c r="P236" s="3"/>
      <c r="Q236" s="3"/>
      <c r="R236" s="3"/>
      <c r="S236" s="3"/>
      <c r="T236" s="3"/>
      <c r="U236" s="3"/>
      <c r="V236" s="3"/>
      <c r="W236" s="3"/>
      <c r="X236" s="3"/>
      <c r="Y236" s="3"/>
      <c r="Z236" s="3"/>
      <c r="AA236" s="3"/>
      <c r="AB236" s="3"/>
      <c r="AC236" s="3"/>
    </row>
    <row r="237" spans="1:29">
      <c r="A237" s="3"/>
      <c r="B237" s="3"/>
      <c r="C237" s="609">
        <f t="shared" si="14"/>
        <v>105.00001</v>
      </c>
      <c r="D237" s="939">
        <f t="shared" si="13"/>
        <v>-23.701973405406868</v>
      </c>
      <c r="E237" s="79"/>
      <c r="F237" s="433"/>
      <c r="G237" s="433"/>
      <c r="H237" s="433"/>
      <c r="I237" s="433"/>
      <c r="J237" s="433"/>
      <c r="K237" s="433"/>
      <c r="L237" s="433"/>
      <c r="M237" s="433"/>
      <c r="N237" s="616"/>
      <c r="O237" s="3"/>
      <c r="P237" s="3"/>
      <c r="Q237" s="3"/>
      <c r="R237" s="3"/>
      <c r="S237" s="3"/>
      <c r="T237" s="3"/>
      <c r="U237" s="3"/>
      <c r="V237" s="3"/>
      <c r="W237" s="3"/>
      <c r="X237" s="3"/>
      <c r="Y237" s="3"/>
      <c r="Z237" s="3"/>
      <c r="AA237" s="3"/>
      <c r="AB237" s="3"/>
      <c r="AC237" s="3"/>
    </row>
    <row r="238" spans="1:29">
      <c r="A238" s="3"/>
      <c r="B238" s="3"/>
      <c r="C238" s="609">
        <f t="shared" si="14"/>
        <v>110.00001</v>
      </c>
      <c r="D238" s="939">
        <f t="shared" si="13"/>
        <v>-16.397090501132354</v>
      </c>
      <c r="E238" s="79"/>
      <c r="F238" s="433"/>
      <c r="G238" s="433"/>
      <c r="H238" s="433"/>
      <c r="I238" s="433"/>
      <c r="J238" s="433"/>
      <c r="K238" s="433"/>
      <c r="L238" s="433"/>
      <c r="M238" s="433"/>
      <c r="N238" s="616"/>
      <c r="O238" s="3"/>
      <c r="P238" s="3"/>
      <c r="Q238" s="3"/>
      <c r="R238" s="3"/>
      <c r="S238" s="3"/>
      <c r="T238" s="3"/>
      <c r="U238" s="3"/>
      <c r="V238" s="3"/>
      <c r="W238" s="3"/>
      <c r="X238" s="3"/>
      <c r="Y238" s="3"/>
      <c r="Z238" s="3"/>
      <c r="AA238" s="3"/>
      <c r="AB238" s="3"/>
      <c r="AC238" s="3"/>
    </row>
    <row r="239" spans="1:29" ht="13.5" thickBot="1">
      <c r="A239" s="3"/>
      <c r="B239" s="3"/>
      <c r="C239" s="609">
        <f t="shared" si="14"/>
        <v>115.00001</v>
      </c>
      <c r="D239" s="939">
        <f t="shared" si="13"/>
        <v>-12.895951874930702</v>
      </c>
      <c r="E239" s="79"/>
      <c r="F239" s="433"/>
      <c r="G239" s="433"/>
      <c r="H239" s="433"/>
      <c r="I239" s="433"/>
      <c r="J239" s="433"/>
      <c r="K239" s="433"/>
      <c r="L239" s="433"/>
      <c r="M239" s="433"/>
      <c r="N239" s="617"/>
      <c r="O239" s="3"/>
      <c r="P239" s="3"/>
      <c r="Q239" s="3"/>
      <c r="R239" s="3"/>
      <c r="S239" s="3"/>
      <c r="T239" s="3"/>
      <c r="U239" s="3"/>
      <c r="V239" s="3"/>
      <c r="W239" s="3"/>
      <c r="X239" s="3"/>
      <c r="Y239" s="3"/>
      <c r="Z239" s="3"/>
      <c r="AA239" s="3"/>
      <c r="AB239" s="3"/>
      <c r="AC239" s="3"/>
    </row>
    <row r="240" spans="1:29">
      <c r="A240" s="3"/>
      <c r="B240" s="3"/>
      <c r="C240" s="609">
        <f t="shared" si="14"/>
        <v>120.00001</v>
      </c>
      <c r="D240" s="939">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609">
        <f t="shared" si="14"/>
        <v>125.00001</v>
      </c>
      <c r="D241" s="939">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609">
        <f t="shared" si="14"/>
        <v>130.00001</v>
      </c>
      <c r="D242" s="939">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609">
        <f t="shared" si="14"/>
        <v>135.00001</v>
      </c>
      <c r="D243" s="939">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609">
        <f t="shared" si="14"/>
        <v>140.00001</v>
      </c>
      <c r="D244" s="939">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609">
        <f t="shared" si="14"/>
        <v>145.00001</v>
      </c>
      <c r="D245" s="939">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609">
        <f t="shared" si="14"/>
        <v>150.00001</v>
      </c>
      <c r="D246" s="939">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609">
        <f t="shared" si="14"/>
        <v>155.00001</v>
      </c>
      <c r="D247" s="939">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609">
        <f t="shared" si="14"/>
        <v>160.00001</v>
      </c>
      <c r="D248" s="939">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609">
        <f t="shared" si="14"/>
        <v>165.00001</v>
      </c>
      <c r="D249" s="939">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609">
        <f t="shared" si="14"/>
        <v>170.00001</v>
      </c>
      <c r="D250" s="939">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609">
        <f t="shared" si="14"/>
        <v>175.00001</v>
      </c>
      <c r="D251" s="939">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609">
        <f t="shared" si="14"/>
        <v>180.00001</v>
      </c>
      <c r="D252" s="939">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609">
        <f t="shared" si="14"/>
        <v>185.00001</v>
      </c>
      <c r="D253" s="939">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609">
        <f t="shared" si="14"/>
        <v>190.00001</v>
      </c>
      <c r="D254" s="939">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609">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609">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609">
        <f t="shared" si="14"/>
        <v>205.00001</v>
      </c>
      <c r="D257" s="79">
        <v>-7.6</v>
      </c>
      <c r="E257" s="3" t="s">
        <v>818</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609">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609">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609">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609">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609">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609">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609">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609">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609">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609">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609">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609">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609">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609">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609">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609">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609">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609">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609">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609">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609">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609">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609">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609">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609">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609">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609">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609">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609">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609">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609" t="s">
        <v>818</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5546875" defaultRowHeight="12.75"/>
  <cols>
    <col min="1" max="1" width="17.140625" customWidth="1"/>
    <col min="2" max="2" width="9" bestFit="1" customWidth="1"/>
    <col min="3" max="3" width="12.42578125" bestFit="1" customWidth="1"/>
    <col min="4" max="4" width="10.85546875" customWidth="1"/>
    <col min="5" max="5" width="16.140625" customWidth="1"/>
    <col min="6" max="6" width="14.5703125" customWidth="1"/>
    <col min="10" max="10" width="12.42578125" customWidth="1"/>
  </cols>
  <sheetData>
    <row r="1" spans="1:21" ht="18.75">
      <c r="A1" s="549"/>
      <c r="B1" s="550"/>
      <c r="C1" s="551" t="s">
        <v>152</v>
      </c>
      <c r="D1" s="551"/>
      <c r="E1" s="550"/>
      <c r="F1" s="550"/>
      <c r="G1" s="552"/>
      <c r="H1" s="3"/>
      <c r="I1" s="3"/>
      <c r="J1" s="3"/>
      <c r="K1" s="3"/>
      <c r="L1" s="3"/>
      <c r="M1" s="3"/>
      <c r="N1" s="3"/>
      <c r="O1" s="3"/>
      <c r="P1" s="3"/>
      <c r="Q1" s="3"/>
      <c r="R1" s="3"/>
      <c r="S1" s="922"/>
      <c r="T1" s="922"/>
      <c r="U1" s="922"/>
    </row>
    <row r="2" spans="1:21" ht="18">
      <c r="A2" s="553" t="s">
        <v>54</v>
      </c>
      <c r="B2" s="554"/>
      <c r="C2" s="554"/>
      <c r="D2" s="554"/>
      <c r="E2" s="397"/>
      <c r="F2" s="397"/>
      <c r="G2" s="555"/>
      <c r="H2" s="3"/>
      <c r="I2" s="3"/>
      <c r="J2" s="3"/>
      <c r="K2" s="3"/>
      <c r="L2" s="3"/>
      <c r="M2" s="3"/>
      <c r="N2" s="3"/>
      <c r="O2" s="3"/>
      <c r="P2" s="3"/>
      <c r="Q2" s="3"/>
      <c r="R2" s="3"/>
      <c r="S2" s="922"/>
      <c r="T2" s="922"/>
      <c r="U2" s="922"/>
    </row>
    <row r="3" spans="1:21" ht="18.75" thickBot="1">
      <c r="A3" s="556" t="s">
        <v>370</v>
      </c>
      <c r="B3" s="557"/>
      <c r="C3" s="557"/>
      <c r="D3" s="557"/>
      <c r="E3" s="558"/>
      <c r="F3" s="127"/>
      <c r="G3" s="559"/>
      <c r="H3" s="3"/>
      <c r="I3" s="461" t="s">
        <v>38</v>
      </c>
      <c r="J3" s="534" t="str">
        <f>'Title Page'!F23</f>
        <v>2018 October 19</v>
      </c>
      <c r="K3" s="378"/>
      <c r="L3" s="4" t="s">
        <v>818</v>
      </c>
      <c r="M3" s="4" t="s">
        <v>818</v>
      </c>
      <c r="N3" s="3"/>
      <c r="O3" s="3"/>
      <c r="P3" s="3"/>
      <c r="Q3" s="3"/>
      <c r="R3" s="3"/>
      <c r="S3" s="922"/>
      <c r="T3" s="922"/>
      <c r="U3" s="922"/>
    </row>
    <row r="4" spans="1:21" ht="13.5" thickBot="1">
      <c r="A4" s="4"/>
      <c r="B4" s="3"/>
      <c r="C4" s="3"/>
      <c r="D4" s="3"/>
      <c r="E4" s="3"/>
      <c r="F4" s="3"/>
      <c r="G4" s="3"/>
      <c r="H4" s="3"/>
      <c r="I4" s="3"/>
      <c r="J4" s="3"/>
      <c r="K4" s="3"/>
      <c r="L4" s="3"/>
      <c r="M4" s="4"/>
      <c r="N4" s="3"/>
      <c r="O4" s="3"/>
      <c r="P4" s="3"/>
      <c r="Q4" s="3"/>
      <c r="R4" s="3"/>
      <c r="S4" s="922"/>
      <c r="T4" s="922"/>
      <c r="U4" s="922"/>
    </row>
    <row r="5" spans="1:21" ht="13.5" thickBot="1">
      <c r="A5" s="648" t="s">
        <v>856</v>
      </c>
      <c r="B5" s="647">
        <v>8.1999999999999993</v>
      </c>
      <c r="C5" s="3" t="s">
        <v>39</v>
      </c>
      <c r="D5" s="3"/>
      <c r="E5" s="565" t="s">
        <v>40</v>
      </c>
      <c r="F5" s="569">
        <f>20.4+20*LOG10(B6)+20*LOG10(B5)+10*LOG10(B7/100)</f>
        <v>58.686579312516898</v>
      </c>
      <c r="G5" s="3" t="s">
        <v>818</v>
      </c>
      <c r="H5" s="398" t="s">
        <v>704</v>
      </c>
      <c r="I5" s="316"/>
      <c r="J5" s="185"/>
      <c r="K5" s="3"/>
      <c r="L5" s="3"/>
      <c r="M5" s="3"/>
      <c r="N5" s="3"/>
      <c r="O5" s="3"/>
      <c r="P5" s="3"/>
      <c r="Q5" s="3"/>
      <c r="R5" s="3"/>
      <c r="S5" s="922"/>
      <c r="T5" s="922"/>
      <c r="U5" s="922"/>
    </row>
    <row r="6" spans="1:21" ht="13.5" thickBot="1">
      <c r="A6" s="648" t="s">
        <v>41</v>
      </c>
      <c r="B6" s="647">
        <v>13.5</v>
      </c>
      <c r="C6" s="3" t="s">
        <v>42</v>
      </c>
      <c r="D6" s="3"/>
      <c r="E6" s="3"/>
      <c r="F6" s="79"/>
      <c r="G6" s="3"/>
      <c r="H6" s="3"/>
      <c r="I6" s="3"/>
      <c r="J6" s="3"/>
      <c r="K6" s="3"/>
      <c r="L6" s="3"/>
      <c r="M6" s="3"/>
      <c r="N6" s="3"/>
      <c r="O6" s="3"/>
      <c r="P6" s="3"/>
      <c r="Q6" s="3"/>
      <c r="R6" s="3"/>
      <c r="S6" s="922"/>
      <c r="T6" s="922"/>
      <c r="U6" s="922"/>
    </row>
    <row r="7" spans="1:21" ht="13.5" thickBot="1">
      <c r="A7" s="649" t="s">
        <v>52</v>
      </c>
      <c r="B7" s="647">
        <v>55</v>
      </c>
      <c r="C7" s="3" t="s">
        <v>37</v>
      </c>
      <c r="D7" s="825" t="s">
        <v>150</v>
      </c>
      <c r="E7" s="4" t="s">
        <v>151</v>
      </c>
      <c r="F7" s="887">
        <f>21/(B5*B6)</f>
        <v>0.18970189701897022</v>
      </c>
      <c r="G7" s="3" t="s">
        <v>4</v>
      </c>
      <c r="H7" s="561" t="s">
        <v>163</v>
      </c>
      <c r="I7" s="3"/>
      <c r="J7" s="3"/>
      <c r="K7" s="3"/>
      <c r="L7" s="3"/>
      <c r="M7" s="3"/>
      <c r="N7" s="3"/>
      <c r="O7" s="3"/>
      <c r="P7" s="3"/>
      <c r="Q7" s="3"/>
      <c r="R7" s="28" t="s">
        <v>818</v>
      </c>
      <c r="S7" s="134">
        <f>F7/2</f>
        <v>9.4850948509485111E-2</v>
      </c>
      <c r="T7" s="922"/>
      <c r="U7" s="922"/>
    </row>
    <row r="8" spans="1:21" ht="13.5" thickBot="1">
      <c r="A8" s="929"/>
      <c r="B8" s="930"/>
      <c r="C8" s="931"/>
      <c r="D8" s="932"/>
      <c r="E8" s="933"/>
      <c r="F8" s="934"/>
      <c r="G8" s="3"/>
      <c r="H8" s="561"/>
      <c r="I8" s="3"/>
      <c r="J8" s="3"/>
      <c r="K8" s="3"/>
      <c r="L8" s="3"/>
      <c r="M8" s="3"/>
      <c r="N8" s="3"/>
      <c r="O8" s="3"/>
      <c r="P8" s="3"/>
      <c r="Q8" s="3"/>
      <c r="R8" s="28"/>
      <c r="S8" s="134"/>
      <c r="T8" s="922"/>
      <c r="U8" s="922"/>
    </row>
    <row r="9" spans="1:21" ht="12.95" customHeight="1" thickBot="1">
      <c r="A9" s="929"/>
      <c r="B9" s="930"/>
      <c r="C9" s="931"/>
      <c r="D9" s="932" t="s">
        <v>87</v>
      </c>
      <c r="E9" s="933"/>
      <c r="F9" s="935">
        <f>299.8/(B5*1000)</f>
        <v>3.6560975609756102E-2</v>
      </c>
      <c r="G9" s="3" t="s">
        <v>1033</v>
      </c>
      <c r="H9" s="561"/>
      <c r="I9" s="3"/>
      <c r="J9" s="3"/>
      <c r="K9" s="3"/>
      <c r="L9" s="3"/>
      <c r="M9" s="3"/>
      <c r="N9" s="3"/>
      <c r="O9" s="3"/>
      <c r="P9" s="3"/>
      <c r="Q9" s="3"/>
      <c r="R9" s="28"/>
      <c r="S9" s="134"/>
      <c r="T9" s="922"/>
      <c r="U9" s="922"/>
    </row>
    <row r="10" spans="1:21" ht="13.5" thickBot="1">
      <c r="A10" s="929"/>
      <c r="B10" s="930"/>
      <c r="C10" s="931"/>
      <c r="D10" s="932"/>
      <c r="E10" s="933"/>
      <c r="F10" s="934"/>
      <c r="G10" s="3"/>
      <c r="H10" s="944" t="s">
        <v>1048</v>
      </c>
      <c r="I10" s="3"/>
      <c r="J10" s="3"/>
      <c r="K10" s="3" t="s">
        <v>818</v>
      </c>
      <c r="L10" s="3"/>
      <c r="M10" s="3"/>
      <c r="N10" s="3"/>
      <c r="O10" s="3"/>
      <c r="P10" s="3"/>
      <c r="Q10" s="3"/>
      <c r="R10" s="28"/>
      <c r="S10" s="134"/>
      <c r="T10" s="922"/>
      <c r="U10" s="922"/>
    </row>
    <row r="11" spans="1:21" ht="12.95" customHeight="1" thickBot="1">
      <c r="A11" s="929"/>
      <c r="B11" s="930"/>
      <c r="C11" s="931"/>
      <c r="D11" s="936" t="s">
        <v>1031</v>
      </c>
      <c r="E11" s="933"/>
      <c r="F11" s="937">
        <f>B6/F9</f>
        <v>369.24616410940621</v>
      </c>
      <c r="G11" s="3" t="s">
        <v>1034</v>
      </c>
      <c r="H11" s="938" t="str">
        <f>IF(F11&gt;9.99, "OK", "Too Small")</f>
        <v>OK</v>
      </c>
      <c r="I11" s="3"/>
      <c r="J11" s="3"/>
      <c r="K11" s="3"/>
      <c r="L11" s="3"/>
      <c r="M11" s="3"/>
      <c r="N11" s="3"/>
      <c r="O11" s="3"/>
      <c r="P11" s="3"/>
      <c r="Q11" s="3"/>
      <c r="R11" s="28"/>
      <c r="S11" s="134"/>
      <c r="T11" s="922"/>
      <c r="U11" s="922"/>
    </row>
    <row r="12" spans="1:21" ht="13.5" thickBot="1">
      <c r="A12" s="560"/>
      <c r="B12" s="562"/>
      <c r="C12" s="94"/>
      <c r="D12" s="94"/>
      <c r="E12" s="4"/>
      <c r="F12" s="563"/>
      <c r="G12" s="94"/>
      <c r="H12" s="231"/>
      <c r="I12" s="94"/>
      <c r="J12" s="94"/>
      <c r="K12" s="94"/>
      <c r="L12" s="94"/>
      <c r="M12" s="94"/>
      <c r="N12" s="94"/>
      <c r="O12" s="94"/>
      <c r="P12" s="94"/>
      <c r="Q12" s="94"/>
      <c r="R12" s="564"/>
      <c r="S12" s="134"/>
      <c r="T12" s="922"/>
      <c r="U12" s="922"/>
    </row>
    <row r="13" spans="1:21">
      <c r="A13" s="766" t="s">
        <v>140</v>
      </c>
      <c r="B13" s="547" t="s">
        <v>129</v>
      </c>
      <c r="C13" s="548"/>
      <c r="D13" s="548"/>
      <c r="E13" s="548"/>
      <c r="F13" s="570"/>
      <c r="G13" s="80"/>
      <c r="H13" s="80"/>
      <c r="I13" s="80"/>
      <c r="J13" s="80"/>
      <c r="K13" s="96"/>
      <c r="L13" s="3"/>
      <c r="M13" s="3"/>
      <c r="N13" s="3"/>
      <c r="O13" s="3"/>
      <c r="P13" s="3"/>
      <c r="Q13" s="3"/>
      <c r="R13" s="922"/>
      <c r="S13" s="922"/>
      <c r="T13" s="922"/>
      <c r="U13" s="922"/>
    </row>
    <row r="14" spans="1:21" ht="13.5" thickBot="1">
      <c r="A14" s="954"/>
      <c r="B14" s="955"/>
      <c r="C14" s="954" t="s">
        <v>818</v>
      </c>
      <c r="D14" s="954"/>
      <c r="E14" s="954"/>
      <c r="F14" s="571" t="s">
        <v>55</v>
      </c>
      <c r="G14" s="572"/>
      <c r="H14" s="572"/>
      <c r="I14" s="573" t="s">
        <v>56</v>
      </c>
      <c r="J14" s="572"/>
      <c r="K14" s="574"/>
      <c r="L14" s="3"/>
      <c r="M14" s="3"/>
      <c r="N14" s="3"/>
      <c r="O14" s="3"/>
      <c r="P14" s="3"/>
      <c r="Q14" s="4"/>
      <c r="R14" s="922"/>
      <c r="S14" s="922"/>
      <c r="T14" s="922"/>
      <c r="U14" s="924"/>
    </row>
    <row r="15" spans="1:21">
      <c r="A15" s="952"/>
      <c r="B15" s="952">
        <v>1E-4</v>
      </c>
      <c r="C15" s="953">
        <f>((SIN(RADIANS(B15)))^2)/B15^2</f>
        <v>3.046174197863993E-4</v>
      </c>
      <c r="D15" s="952">
        <f>C15*1000000</f>
        <v>304.6174197863993</v>
      </c>
      <c r="E15" s="953">
        <f>D15/304.6174</f>
        <v>1.0000000649549217</v>
      </c>
      <c r="F15" s="254">
        <v>0</v>
      </c>
      <c r="G15" s="252" t="s">
        <v>860</v>
      </c>
      <c r="H15" s="252"/>
      <c r="I15" s="263">
        <f>(S7*B15)/79.76</f>
        <v>1.1892044697778975E-7</v>
      </c>
      <c r="J15" s="264" t="s">
        <v>43</v>
      </c>
      <c r="K15" s="87"/>
      <c r="L15" s="3"/>
      <c r="M15" s="3"/>
      <c r="N15" s="3"/>
      <c r="O15" s="3"/>
      <c r="P15" s="3"/>
      <c r="Q15" s="3"/>
      <c r="R15" s="922"/>
      <c r="S15" s="923"/>
      <c r="T15" s="922"/>
      <c r="U15" s="925"/>
    </row>
    <row r="16" spans="1:21">
      <c r="A16" s="952"/>
      <c r="B16" s="952">
        <v>0.1</v>
      </c>
      <c r="C16" s="953">
        <f>((SIN(RADIANS(B16)))^2)/B16^2</f>
        <v>3.0461711048092603E-4</v>
      </c>
      <c r="D16" s="952">
        <f>C16*1000000</f>
        <v>304.61711048092604</v>
      </c>
      <c r="E16" s="952">
        <f t="shared" ref="E16:E81" si="0">D16/304.6174</f>
        <v>0.99999904956488395</v>
      </c>
      <c r="F16" s="721">
        <f>10*LOG10(E16)</f>
        <v>-4.1276892246433878E-6</v>
      </c>
      <c r="G16" s="252" t="s">
        <v>860</v>
      </c>
      <c r="H16" s="252"/>
      <c r="I16" s="253">
        <f>(S7*B16)/79.76</f>
        <v>1.1892044697778976E-4</v>
      </c>
      <c r="J16" s="86"/>
      <c r="K16" s="87"/>
      <c r="L16" s="3"/>
      <c r="M16" s="3"/>
      <c r="N16" s="3"/>
      <c r="O16" s="3"/>
      <c r="P16" s="3"/>
      <c r="Q16" s="3"/>
      <c r="R16" s="922"/>
      <c r="S16" s="922"/>
      <c r="T16" s="922"/>
      <c r="U16" s="926"/>
    </row>
    <row r="17" spans="1:21">
      <c r="A17" s="952" t="s">
        <v>818</v>
      </c>
      <c r="B17" s="952">
        <v>3.5</v>
      </c>
      <c r="C17" s="952">
        <f>((SIN(RADIANS(B17)))^2)/B17^2</f>
        <v>3.0423870851746797E-4</v>
      </c>
      <c r="D17" s="952">
        <f>C17*1000000</f>
        <v>304.23870851746796</v>
      </c>
      <c r="E17" s="952">
        <f t="shared" si="0"/>
        <v>0.99875682911569719</v>
      </c>
      <c r="F17" s="254">
        <f>10*LOG10(E17)</f>
        <v>-5.4023812889198589E-3</v>
      </c>
      <c r="G17" s="252" t="s">
        <v>860</v>
      </c>
      <c r="H17" s="252" t="s">
        <v>818</v>
      </c>
      <c r="I17" s="253">
        <f>(S7*B17)/79.76</f>
        <v>4.1622156442226417E-3</v>
      </c>
      <c r="J17" s="86" t="s">
        <v>818</v>
      </c>
      <c r="K17" s="87"/>
      <c r="L17" s="3"/>
      <c r="M17" s="3"/>
      <c r="N17" s="3"/>
      <c r="O17" s="3"/>
      <c r="P17" s="3"/>
      <c r="Q17" s="3"/>
      <c r="R17" s="922"/>
      <c r="S17" s="922"/>
      <c r="T17" s="922"/>
      <c r="U17" s="927"/>
    </row>
    <row r="18" spans="1:21">
      <c r="A18" s="952"/>
      <c r="B18" s="952">
        <v>10</v>
      </c>
      <c r="C18" s="952">
        <f t="shared" ref="C18:C24" si="1">((SIN(RADIANS(B18)))^2)/B18^2</f>
        <v>3.0153689607045805E-4</v>
      </c>
      <c r="D18" s="952">
        <f t="shared" ref="D18:D83" si="2">C18*1000000</f>
        <v>301.53689607045806</v>
      </c>
      <c r="E18" s="952">
        <f t="shared" si="0"/>
        <v>0.98988730148198389</v>
      </c>
      <c r="F18" s="254">
        <f>10*LOG10(E18)</f>
        <v>-4.4142469484505009E-2</v>
      </c>
      <c r="G18" s="252" t="s">
        <v>860</v>
      </c>
      <c r="H18" s="252"/>
      <c r="I18" s="253">
        <f>(S7*B18)/79.76</f>
        <v>1.1892044697778974E-2</v>
      </c>
      <c r="J18" s="86"/>
      <c r="K18" s="87"/>
      <c r="L18" s="3"/>
      <c r="M18" s="3"/>
      <c r="N18" s="3"/>
      <c r="O18" s="3"/>
      <c r="P18" s="3"/>
      <c r="Q18" s="28"/>
      <c r="R18" s="922"/>
      <c r="S18" s="922"/>
      <c r="T18" s="922"/>
      <c r="U18" s="927"/>
    </row>
    <row r="19" spans="1:21">
      <c r="A19" s="952"/>
      <c r="B19" s="952">
        <v>25</v>
      </c>
      <c r="C19" s="952">
        <f t="shared" si="1"/>
        <v>2.8576991225076853E-4</v>
      </c>
      <c r="D19" s="952">
        <f t="shared" si="2"/>
        <v>285.76991225076853</v>
      </c>
      <c r="E19" s="952">
        <f t="shared" si="0"/>
        <v>0.93812734351605831</v>
      </c>
      <c r="F19" s="256">
        <f t="shared" ref="F19:F84" si="3">10*LOG10(E19)</f>
        <v>-0.27738205509447322</v>
      </c>
      <c r="G19" s="252" t="s">
        <v>860</v>
      </c>
      <c r="H19" s="252"/>
      <c r="I19" s="255">
        <f>(S7*B19)/79.76</f>
        <v>2.9730111744447441E-2</v>
      </c>
      <c r="J19" s="86"/>
      <c r="K19" s="87"/>
      <c r="L19" s="3"/>
      <c r="M19" s="3"/>
      <c r="N19" s="3"/>
      <c r="O19" s="3"/>
      <c r="P19" s="3"/>
      <c r="Q19" s="566"/>
      <c r="R19" s="922"/>
      <c r="S19" s="922"/>
      <c r="T19" s="922"/>
      <c r="U19" s="927"/>
    </row>
    <row r="20" spans="1:21">
      <c r="A20" s="952"/>
      <c r="B20" s="952">
        <v>30</v>
      </c>
      <c r="C20" s="952">
        <f t="shared" si="1"/>
        <v>2.7777777777777772E-4</v>
      </c>
      <c r="D20" s="952">
        <f t="shared" si="2"/>
        <v>277.77777777777771</v>
      </c>
      <c r="E20" s="952">
        <f t="shared" si="0"/>
        <v>0.91189071201375149</v>
      </c>
      <c r="F20" s="256">
        <f t="shared" si="3"/>
        <v>-0.4005720773893886</v>
      </c>
      <c r="G20" s="252" t="s">
        <v>860</v>
      </c>
      <c r="H20" s="252"/>
      <c r="I20" s="255">
        <f>(S7*B20)/79.76</f>
        <v>3.5676134093336927E-2</v>
      </c>
      <c r="J20" s="86"/>
      <c r="K20" s="87"/>
      <c r="L20" s="3"/>
      <c r="M20" s="3"/>
      <c r="N20" s="3"/>
      <c r="O20" s="3"/>
      <c r="P20" s="3"/>
      <c r="Q20" s="566"/>
      <c r="R20" s="922"/>
      <c r="S20" s="922"/>
      <c r="T20" s="922"/>
      <c r="U20" s="927"/>
    </row>
    <row r="21" spans="1:21">
      <c r="A21" s="952"/>
      <c r="B21" s="952">
        <v>40</v>
      </c>
      <c r="C21" s="952">
        <f t="shared" si="1"/>
        <v>2.5823494447908422E-4</v>
      </c>
      <c r="D21" s="952">
        <f t="shared" si="2"/>
        <v>258.23494447908422</v>
      </c>
      <c r="E21" s="952">
        <f t="shared" si="0"/>
        <v>0.84773537059630943</v>
      </c>
      <c r="F21" s="256">
        <f t="shared" si="3"/>
        <v>-0.71739696122706598</v>
      </c>
      <c r="G21" s="252" t="s">
        <v>860</v>
      </c>
      <c r="H21" s="252"/>
      <c r="I21" s="961">
        <f>(S7*B21)/79.76</f>
        <v>4.7568178791115898E-2</v>
      </c>
      <c r="J21" s="86" t="s">
        <v>818</v>
      </c>
      <c r="K21" s="87"/>
      <c r="L21" s="3"/>
      <c r="M21" s="3"/>
      <c r="N21" s="3"/>
      <c r="O21" s="3"/>
      <c r="P21" s="3"/>
      <c r="Q21" s="566"/>
      <c r="R21" s="922"/>
      <c r="S21" s="922"/>
      <c r="T21" s="922"/>
      <c r="U21" s="927"/>
    </row>
    <row r="22" spans="1:21">
      <c r="A22" s="952"/>
      <c r="B22" s="952">
        <v>47</v>
      </c>
      <c r="C22" s="952">
        <f t="shared" si="1"/>
        <v>2.4213591528839411E-4</v>
      </c>
      <c r="D22" s="952">
        <f t="shared" si="2"/>
        <v>242.1359152883941</v>
      </c>
      <c r="E22" s="952">
        <f t="shared" si="0"/>
        <v>0.79488537190716657</v>
      </c>
      <c r="F22" s="945">
        <f t="shared" si="3"/>
        <v>-0.99695495164283776</v>
      </c>
      <c r="G22" s="946" t="s">
        <v>860</v>
      </c>
      <c r="H22" s="946"/>
      <c r="I22" s="951">
        <f>(S7*B22)/79.76</f>
        <v>5.5892610079561179E-2</v>
      </c>
      <c r="J22" s="948"/>
      <c r="K22" s="949"/>
      <c r="L22" s="3"/>
      <c r="M22" s="3"/>
      <c r="N22" s="3"/>
      <c r="O22" s="3"/>
      <c r="P22" s="3"/>
      <c r="Q22" s="566"/>
      <c r="R22" s="922"/>
      <c r="S22" s="922"/>
      <c r="T22" s="922"/>
      <c r="U22" s="928"/>
    </row>
    <row r="23" spans="1:21">
      <c r="A23" s="952"/>
      <c r="B23" s="952">
        <v>56.5</v>
      </c>
      <c r="C23" s="952">
        <f t="shared" si="1"/>
        <v>2.1782929414821425E-4</v>
      </c>
      <c r="D23" s="952">
        <f t="shared" si="2"/>
        <v>217.82929414821425</v>
      </c>
      <c r="E23" s="952">
        <f t="shared" si="0"/>
        <v>0.71509143649776497</v>
      </c>
      <c r="F23" s="256">
        <f t="shared" si="3"/>
        <v>-1.4563842277584849</v>
      </c>
      <c r="G23" s="252" t="s">
        <v>860</v>
      </c>
      <c r="H23" s="252"/>
      <c r="I23" s="255">
        <f>(S7*B23)/79.76</f>
        <v>6.7190052542451209E-2</v>
      </c>
      <c r="J23" s="86" t="s">
        <v>818</v>
      </c>
      <c r="K23" s="87"/>
      <c r="L23" s="3"/>
      <c r="M23" s="3"/>
      <c r="N23" s="3"/>
      <c r="O23" s="3"/>
      <c r="P23" s="3"/>
      <c r="Q23" s="566"/>
      <c r="R23" s="922"/>
      <c r="S23" s="922"/>
      <c r="T23" s="922"/>
      <c r="U23" s="928"/>
    </row>
    <row r="24" spans="1:21">
      <c r="A24" s="952"/>
      <c r="B24" s="952">
        <v>60</v>
      </c>
      <c r="C24" s="952">
        <f t="shared" si="1"/>
        <v>2.0833333333333329E-4</v>
      </c>
      <c r="D24" s="952">
        <f t="shared" si="2"/>
        <v>208.33333333333329</v>
      </c>
      <c r="E24" s="952">
        <f t="shared" si="0"/>
        <v>0.68391803401031359</v>
      </c>
      <c r="F24" s="256">
        <f t="shared" si="3"/>
        <v>-1.6499594434723883</v>
      </c>
      <c r="G24" s="252" t="s">
        <v>860</v>
      </c>
      <c r="H24" s="252"/>
      <c r="I24" s="255">
        <f>(S7*B24)/79.76</f>
        <v>7.1352268186673853E-2</v>
      </c>
      <c r="J24" s="86"/>
      <c r="K24" s="87"/>
      <c r="L24" s="3"/>
      <c r="M24" s="3"/>
      <c r="N24" s="3"/>
      <c r="O24" s="3"/>
      <c r="P24" s="3"/>
      <c r="Q24" s="566"/>
      <c r="R24" s="922"/>
      <c r="S24" s="922"/>
      <c r="T24" s="922"/>
      <c r="U24" s="928"/>
    </row>
    <row r="25" spans="1:21">
      <c r="A25" s="952"/>
      <c r="B25" s="952">
        <v>65</v>
      </c>
      <c r="C25" s="952">
        <f t="shared" ref="C25:C56" si="4">((SIN(RADIANS(B25)))^2)/B25^2</f>
        <v>1.9441273487414665E-4</v>
      </c>
      <c r="D25" s="952">
        <f>C25*1000000</f>
        <v>194.41273487414665</v>
      </c>
      <c r="E25" s="952">
        <f>D25/304.6174</f>
        <v>0.63821940202413474</v>
      </c>
      <c r="F25" s="950">
        <f>10*LOG10(E25)</f>
        <v>-1.9502999728456567</v>
      </c>
      <c r="G25" s="946" t="s">
        <v>860</v>
      </c>
      <c r="H25" s="946"/>
      <c r="I25" s="951">
        <f>(S7*B25)/79.76</f>
        <v>7.7298290535563335E-2</v>
      </c>
      <c r="J25" s="948"/>
      <c r="K25" s="949"/>
      <c r="L25" s="3"/>
      <c r="M25" s="3" t="s">
        <v>818</v>
      </c>
      <c r="N25" s="3"/>
      <c r="O25" s="3"/>
      <c r="P25" s="3"/>
      <c r="Q25" s="566"/>
      <c r="R25" s="931"/>
      <c r="S25" s="931"/>
      <c r="T25" s="931"/>
      <c r="U25" s="928"/>
    </row>
    <row r="26" spans="1:21">
      <c r="A26" s="952"/>
      <c r="B26" s="952">
        <v>70</v>
      </c>
      <c r="C26" s="952">
        <f t="shared" si="4"/>
        <v>1.8020861664479364E-4</v>
      </c>
      <c r="D26" s="952">
        <f t="shared" si="2"/>
        <v>180.20861664479364</v>
      </c>
      <c r="E26" s="952">
        <f t="shared" si="0"/>
        <v>0.59159002947564276</v>
      </c>
      <c r="F26" s="256">
        <f t="shared" si="3"/>
        <v>-2.2797915411429233</v>
      </c>
      <c r="G26" s="252" t="s">
        <v>860</v>
      </c>
      <c r="H26" s="252"/>
      <c r="I26" s="255">
        <f>(S7*B26)/79.76</f>
        <v>8.3244312884452831E-2</v>
      </c>
      <c r="J26" s="86"/>
      <c r="K26" s="87"/>
      <c r="L26" s="3"/>
      <c r="M26" s="3"/>
      <c r="N26" s="3"/>
      <c r="O26" s="3"/>
      <c r="P26" s="3"/>
      <c r="Q26" s="567"/>
      <c r="R26" s="922"/>
      <c r="S26" s="923"/>
      <c r="T26" s="922"/>
      <c r="U26" s="926"/>
    </row>
    <row r="27" spans="1:21">
      <c r="A27" s="952"/>
      <c r="B27" s="952">
        <v>79.760000000000005</v>
      </c>
      <c r="C27" s="952">
        <f t="shared" si="4"/>
        <v>1.5222403494475541E-4</v>
      </c>
      <c r="D27" s="952">
        <f t="shared" si="2"/>
        <v>152.2240349447554</v>
      </c>
      <c r="E27" s="952">
        <f t="shared" si="0"/>
        <v>0.49972206100096517</v>
      </c>
      <c r="F27" s="956">
        <f t="shared" si="3"/>
        <v>-3.0127147753460362</v>
      </c>
      <c r="G27" s="957" t="s">
        <v>860</v>
      </c>
      <c r="H27" s="957"/>
      <c r="I27" s="958">
        <f>(S7*B27)/79.76</f>
        <v>9.4850948509485111E-2</v>
      </c>
      <c r="J27" s="959" t="s">
        <v>53</v>
      </c>
      <c r="K27" s="960"/>
      <c r="L27" s="3"/>
      <c r="M27" s="3"/>
      <c r="N27" s="3"/>
      <c r="O27" s="3"/>
      <c r="P27" s="3"/>
      <c r="Q27" s="568"/>
      <c r="R27" s="922"/>
      <c r="S27" s="922"/>
      <c r="T27" s="922"/>
      <c r="U27" s="928"/>
    </row>
    <row r="28" spans="1:21">
      <c r="A28" s="952"/>
      <c r="B28" s="952">
        <v>80</v>
      </c>
      <c r="C28" s="952">
        <f t="shared" si="4"/>
        <v>1.5153848599889908E-4</v>
      </c>
      <c r="D28" s="952">
        <f t="shared" si="2"/>
        <v>151.53848599889909</v>
      </c>
      <c r="E28" s="952">
        <f t="shared" si="0"/>
        <v>0.49747153642207931</v>
      </c>
      <c r="F28" s="254">
        <f t="shared" si="3"/>
        <v>-3.032317630156677</v>
      </c>
      <c r="G28" s="252" t="s">
        <v>860</v>
      </c>
      <c r="H28" s="252"/>
      <c r="I28" s="255">
        <f>(S7*B28)/79.76</f>
        <v>9.5136357582231795E-2</v>
      </c>
      <c r="J28" s="86" t="s">
        <v>818</v>
      </c>
      <c r="K28" s="87"/>
      <c r="L28" s="3"/>
      <c r="M28" s="3"/>
      <c r="N28" s="3"/>
      <c r="O28" s="3"/>
      <c r="P28" s="3"/>
      <c r="Q28" s="566"/>
      <c r="R28" s="922"/>
      <c r="S28" s="922"/>
      <c r="T28" s="922"/>
      <c r="U28" s="928"/>
    </row>
    <row r="29" spans="1:21">
      <c r="A29" s="952"/>
      <c r="B29" s="952">
        <v>90.8</v>
      </c>
      <c r="C29" s="952">
        <f t="shared" si="4"/>
        <v>1.2126727880419004E-4</v>
      </c>
      <c r="D29" s="952">
        <f t="shared" si="2"/>
        <v>121.26727880419004</v>
      </c>
      <c r="E29" s="952">
        <f t="shared" si="0"/>
        <v>0.39809701876580278</v>
      </c>
      <c r="F29" s="945">
        <f t="shared" si="3"/>
        <v>-4.000110747103232</v>
      </c>
      <c r="G29" s="946" t="s">
        <v>860</v>
      </c>
      <c r="H29" s="946"/>
      <c r="I29" s="947">
        <f>(S7*B29)/79.76</f>
        <v>0.10797976585583309</v>
      </c>
      <c r="J29" s="948"/>
      <c r="K29" s="949"/>
      <c r="L29" s="3"/>
      <c r="M29" s="3"/>
      <c r="N29" s="3"/>
      <c r="O29" s="3"/>
      <c r="P29" s="3"/>
      <c r="Q29" s="566"/>
      <c r="R29" s="922"/>
      <c r="S29" s="922"/>
      <c r="T29" s="922"/>
      <c r="U29" s="928"/>
    </row>
    <row r="30" spans="1:21">
      <c r="A30" s="952"/>
      <c r="B30" s="952">
        <v>100</v>
      </c>
      <c r="C30" s="952">
        <f t="shared" si="4"/>
        <v>9.6984631039295408E-5</v>
      </c>
      <c r="D30" s="952">
        <f t="shared" si="2"/>
        <v>96.984631039295408</v>
      </c>
      <c r="E30" s="952">
        <f t="shared" si="0"/>
        <v>0.31838178331013073</v>
      </c>
      <c r="F30" s="950">
        <f t="shared" si="3"/>
        <v>-4.9705178903178053</v>
      </c>
      <c r="G30" s="946" t="s">
        <v>860</v>
      </c>
      <c r="H30" s="946"/>
      <c r="I30" s="951">
        <f>(S7*B30)/79.76</f>
        <v>0.11892044697778976</v>
      </c>
      <c r="J30" s="948"/>
      <c r="K30" s="949"/>
      <c r="L30" s="3"/>
      <c r="M30" s="3"/>
      <c r="N30" s="3"/>
      <c r="O30" s="3"/>
      <c r="P30" s="3"/>
      <c r="Q30" s="566"/>
      <c r="R30" s="922"/>
      <c r="S30" s="922"/>
      <c r="T30" s="922"/>
      <c r="U30" s="928"/>
    </row>
    <row r="31" spans="1:21">
      <c r="A31" s="952"/>
      <c r="B31" s="952">
        <v>110</v>
      </c>
      <c r="C31" s="952">
        <f t="shared" si="4"/>
        <v>7.2977043104090002E-5</v>
      </c>
      <c r="D31" s="952">
        <f t="shared" si="2"/>
        <v>72.977043104090001</v>
      </c>
      <c r="E31" s="952">
        <f t="shared" si="0"/>
        <v>0.23956951606864876</v>
      </c>
      <c r="F31" s="256">
        <f t="shared" si="3"/>
        <v>-6.2056844440222871</v>
      </c>
      <c r="G31" s="252" t="s">
        <v>860</v>
      </c>
      <c r="H31" s="252"/>
      <c r="I31" s="255">
        <f>(S7*B31)/79.76</f>
        <v>0.13081249167556874</v>
      </c>
      <c r="J31" s="86"/>
      <c r="K31" s="87"/>
      <c r="L31" s="3"/>
      <c r="M31" s="3"/>
      <c r="N31" s="3"/>
      <c r="O31" s="3"/>
      <c r="P31" s="3"/>
      <c r="Q31" s="566"/>
      <c r="R31" s="922"/>
      <c r="S31" s="922"/>
      <c r="T31" s="922"/>
      <c r="U31" s="928"/>
    </row>
    <row r="32" spans="1:21">
      <c r="A32" s="952"/>
      <c r="B32" s="952">
        <v>122</v>
      </c>
      <c r="C32" s="952">
        <f t="shared" si="4"/>
        <v>4.8319374724169503E-5</v>
      </c>
      <c r="D32" s="952">
        <f t="shared" si="2"/>
        <v>48.319374724169499</v>
      </c>
      <c r="E32" s="952">
        <f t="shared" si="0"/>
        <v>0.15862316047661593</v>
      </c>
      <c r="F32" s="950">
        <f t="shared" si="3"/>
        <v>-7.9963340130062619</v>
      </c>
      <c r="G32" s="946" t="s">
        <v>860</v>
      </c>
      <c r="H32" s="946"/>
      <c r="I32" s="947">
        <f>(S7*B32)/79.76</f>
        <v>0.1450829453129035</v>
      </c>
      <c r="J32" s="948"/>
      <c r="K32" s="949"/>
      <c r="L32" s="3"/>
      <c r="M32" s="3"/>
      <c r="N32" s="3"/>
      <c r="O32" s="3"/>
      <c r="P32" s="3"/>
      <c r="Q32" s="566"/>
      <c r="R32" s="922"/>
      <c r="S32" s="922"/>
      <c r="T32" s="922"/>
      <c r="U32" s="928"/>
    </row>
    <row r="33" spans="1:21">
      <c r="A33" s="952"/>
      <c r="B33" s="952">
        <v>130</v>
      </c>
      <c r="C33" s="952">
        <f t="shared" si="4"/>
        <v>3.4723318865885511E-5</v>
      </c>
      <c r="D33" s="952">
        <f t="shared" si="2"/>
        <v>34.72331886588551</v>
      </c>
      <c r="E33" s="952">
        <f t="shared" si="0"/>
        <v>0.11398993907073435</v>
      </c>
      <c r="F33" s="256">
        <f t="shared" si="3"/>
        <v>-9.4313347847828624</v>
      </c>
      <c r="G33" s="252" t="s">
        <v>860</v>
      </c>
      <c r="H33" s="252"/>
      <c r="I33" s="255">
        <f>(S7*B33)/79.76</f>
        <v>0.15459658107112667</v>
      </c>
      <c r="J33" s="86"/>
      <c r="K33" s="87"/>
      <c r="L33" s="3"/>
      <c r="M33" s="3"/>
      <c r="N33" s="3"/>
      <c r="O33" s="3"/>
      <c r="P33" s="3"/>
      <c r="Q33" s="566"/>
      <c r="R33" s="922"/>
      <c r="S33" s="922"/>
      <c r="T33" s="922"/>
      <c r="U33" s="928"/>
    </row>
    <row r="34" spans="1:21">
      <c r="A34" s="952"/>
      <c r="B34" s="952">
        <v>132.85</v>
      </c>
      <c r="C34" s="952">
        <f t="shared" si="4"/>
        <v>3.0454169232105675E-5</v>
      </c>
      <c r="D34" s="952">
        <f>C34*1000000</f>
        <v>30.454169232105674</v>
      </c>
      <c r="E34" s="952">
        <f>D34/304.6174</f>
        <v>9.9975146633467668E-2</v>
      </c>
      <c r="F34" s="945">
        <f>10*LOG10(E34)</f>
        <v>-10.001079502146041</v>
      </c>
      <c r="G34" s="946" t="s">
        <v>860</v>
      </c>
      <c r="H34" s="946"/>
      <c r="I34" s="951">
        <f>(S7*B34)/79.76</f>
        <v>0.15798581380999369</v>
      </c>
      <c r="J34" s="948"/>
      <c r="K34" s="949"/>
      <c r="L34" s="3"/>
      <c r="M34" s="3"/>
      <c r="N34" s="3"/>
      <c r="O34" s="3"/>
      <c r="P34" s="3"/>
      <c r="Q34" s="566"/>
      <c r="R34" s="931"/>
      <c r="S34" s="931"/>
      <c r="T34" s="931"/>
      <c r="U34" s="928"/>
    </row>
    <row r="35" spans="1:21">
      <c r="A35" s="952"/>
      <c r="B35" s="952">
        <v>140</v>
      </c>
      <c r="C35" s="952">
        <f t="shared" si="4"/>
        <v>2.1080403630945664E-5</v>
      </c>
      <c r="D35" s="952">
        <f t="shared" si="2"/>
        <v>21.080403630945664</v>
      </c>
      <c r="E35" s="952">
        <f t="shared" si="0"/>
        <v>6.9202887395617141E-2</v>
      </c>
      <c r="F35" s="256">
        <f t="shared" si="3"/>
        <v>-11.598757848232577</v>
      </c>
      <c r="G35" s="252" t="s">
        <v>860</v>
      </c>
      <c r="H35" s="252"/>
      <c r="I35" s="255">
        <f>(S7*B35)/79.76</f>
        <v>0.16648862576890566</v>
      </c>
      <c r="J35" s="86" t="s">
        <v>818</v>
      </c>
      <c r="K35" s="87"/>
      <c r="L35" s="3"/>
      <c r="M35" s="3"/>
      <c r="N35" s="3"/>
      <c r="O35" s="3"/>
      <c r="P35" s="3"/>
      <c r="Q35" s="566"/>
      <c r="R35" s="922"/>
      <c r="S35" s="922"/>
      <c r="T35" s="922"/>
      <c r="U35" s="928"/>
    </row>
    <row r="36" spans="1:21">
      <c r="A36" s="952"/>
      <c r="B36" s="952">
        <v>150</v>
      </c>
      <c r="C36" s="952">
        <f t="shared" si="4"/>
        <v>1.1111111111111108E-5</v>
      </c>
      <c r="D36" s="952">
        <f t="shared" si="2"/>
        <v>11.111111111111109</v>
      </c>
      <c r="E36" s="952">
        <f t="shared" si="0"/>
        <v>3.6475628480550061E-2</v>
      </c>
      <c r="F36" s="256">
        <f t="shared" si="3"/>
        <v>-14.379972164109764</v>
      </c>
      <c r="G36" s="252" t="s">
        <v>860</v>
      </c>
      <c r="H36" s="252"/>
      <c r="I36" s="255">
        <f>(S7*B36)/79.76</f>
        <v>0.17838067046668463</v>
      </c>
      <c r="J36" s="86"/>
      <c r="K36" s="87"/>
      <c r="L36" s="3"/>
      <c r="M36" s="3"/>
      <c r="N36" s="3"/>
      <c r="O36" s="3"/>
      <c r="P36" s="3"/>
      <c r="Q36" s="566"/>
      <c r="R36" s="922"/>
      <c r="S36" s="922"/>
      <c r="T36" s="922"/>
      <c r="U36" s="928"/>
    </row>
    <row r="37" spans="1:21">
      <c r="A37" s="952"/>
      <c r="B37" s="952">
        <v>160</v>
      </c>
      <c r="C37" s="952">
        <f t="shared" si="4"/>
        <v>4.5694444703324642E-6</v>
      </c>
      <c r="D37" s="952">
        <f t="shared" si="2"/>
        <v>4.5694444703324644</v>
      </c>
      <c r="E37" s="952">
        <f t="shared" si="0"/>
        <v>1.5000602297611576E-2</v>
      </c>
      <c r="F37" s="256">
        <f t="shared" si="3"/>
        <v>-18.23891302992466</v>
      </c>
      <c r="G37" s="252" t="s">
        <v>860</v>
      </c>
      <c r="H37" s="252"/>
      <c r="I37" s="255">
        <f>(S7*B37)/79.76</f>
        <v>0.19027271516446359</v>
      </c>
      <c r="J37" s="86"/>
      <c r="K37" s="87"/>
      <c r="L37" s="3"/>
      <c r="M37" s="3"/>
      <c r="N37" s="3"/>
      <c r="O37" s="3"/>
      <c r="P37" s="3"/>
      <c r="Q37" s="566"/>
      <c r="R37" s="922"/>
      <c r="S37" s="922"/>
      <c r="T37" s="922"/>
      <c r="U37" s="928"/>
    </row>
    <row r="38" spans="1:21">
      <c r="A38" s="952">
        <v>170</v>
      </c>
      <c r="B38" s="952">
        <v>172.5</v>
      </c>
      <c r="C38" s="952">
        <f t="shared" si="4"/>
        <v>5.7255490377536986E-7</v>
      </c>
      <c r="D38" s="952">
        <f t="shared" si="2"/>
        <v>0.57255490377536988</v>
      </c>
      <c r="E38" s="952">
        <f t="shared" si="0"/>
        <v>1.8795869959344737E-3</v>
      </c>
      <c r="F38" s="256">
        <f t="shared" si="3"/>
        <v>-27.259375683380821</v>
      </c>
      <c r="G38" s="252" t="s">
        <v>860</v>
      </c>
      <c r="H38" s="252"/>
      <c r="I38" s="253">
        <f>(S7*B38)/79.76</f>
        <v>0.20513777103668729</v>
      </c>
      <c r="J38" s="86"/>
      <c r="K38" s="87"/>
      <c r="L38" s="3"/>
      <c r="M38" s="3"/>
      <c r="N38" s="3"/>
      <c r="O38" s="3"/>
      <c r="P38" s="3"/>
      <c r="Q38" s="566"/>
      <c r="R38" s="922"/>
      <c r="S38" s="922"/>
      <c r="T38" s="922"/>
      <c r="U38" s="928"/>
    </row>
    <row r="39" spans="1:21">
      <c r="A39" s="952"/>
      <c r="B39" s="952">
        <v>180</v>
      </c>
      <c r="C39" s="952">
        <f t="shared" si="4"/>
        <v>4.6326812856943794E-37</v>
      </c>
      <c r="D39" s="952">
        <f t="shared" si="2"/>
        <v>4.6326812856943792E-31</v>
      </c>
      <c r="E39" s="952">
        <f t="shared" si="0"/>
        <v>1.5208196530120668E-33</v>
      </c>
      <c r="F39" s="257">
        <f t="shared" si="3"/>
        <v>-328.17922283873054</v>
      </c>
      <c r="G39" s="252" t="s">
        <v>860</v>
      </c>
      <c r="H39" s="252"/>
      <c r="I39" s="258">
        <f>(S7*B39)/79.76</f>
        <v>0.21405680456002157</v>
      </c>
      <c r="J39" s="191" t="s">
        <v>44</v>
      </c>
      <c r="K39" s="87"/>
      <c r="L39" s="3"/>
      <c r="M39" s="3"/>
      <c r="N39" s="3"/>
      <c r="O39" s="3"/>
      <c r="P39" s="3"/>
      <c r="Q39" s="566"/>
      <c r="R39" s="922"/>
      <c r="S39" s="922"/>
      <c r="T39" s="922"/>
      <c r="U39" s="928"/>
    </row>
    <row r="40" spans="1:21">
      <c r="A40" s="952"/>
      <c r="B40" s="952">
        <v>190</v>
      </c>
      <c r="C40" s="952">
        <f t="shared" si="4"/>
        <v>8.3528226058298746E-7</v>
      </c>
      <c r="D40" s="952">
        <f t="shared" si="2"/>
        <v>0.83528226058298749</v>
      </c>
      <c r="E40" s="952">
        <f t="shared" si="0"/>
        <v>2.7420700872077155E-3</v>
      </c>
      <c r="F40" s="256">
        <f t="shared" si="3"/>
        <v>-25.619214488541079</v>
      </c>
      <c r="G40" s="252" t="s">
        <v>860</v>
      </c>
      <c r="H40" s="252"/>
      <c r="I40" s="255">
        <f>(S7*B40)/79.76</f>
        <v>0.22594884925780051</v>
      </c>
      <c r="J40" s="86"/>
      <c r="K40" s="87"/>
      <c r="L40" s="3"/>
      <c r="M40" s="3"/>
      <c r="N40" s="3"/>
      <c r="O40" s="3"/>
      <c r="P40" s="3"/>
      <c r="Q40" s="566"/>
      <c r="R40" s="922"/>
      <c r="S40" s="922"/>
      <c r="T40" s="922"/>
      <c r="U40" s="928"/>
    </row>
    <row r="41" spans="1:21">
      <c r="A41" s="952"/>
      <c r="B41" s="952">
        <v>200</v>
      </c>
      <c r="C41" s="952">
        <f t="shared" si="4"/>
        <v>2.924444461012773E-6</v>
      </c>
      <c r="D41" s="952">
        <f t="shared" si="2"/>
        <v>2.9244444610127731</v>
      </c>
      <c r="E41" s="952">
        <f t="shared" si="0"/>
        <v>9.6003854704713957E-3</v>
      </c>
      <c r="F41" s="256">
        <f t="shared" si="3"/>
        <v>-20.177113290085799</v>
      </c>
      <c r="G41" s="252" t="s">
        <v>860</v>
      </c>
      <c r="H41" s="252"/>
      <c r="I41" s="255">
        <f>(S7*B41)/79.76</f>
        <v>0.23784089395557953</v>
      </c>
      <c r="J41" s="86"/>
      <c r="K41" s="87"/>
      <c r="L41" s="3"/>
      <c r="M41" s="3"/>
      <c r="N41" s="3"/>
      <c r="O41" s="3"/>
      <c r="P41" s="3"/>
      <c r="Q41" s="566"/>
      <c r="R41" s="922"/>
      <c r="S41" s="922"/>
      <c r="T41" s="922"/>
      <c r="U41" s="928"/>
    </row>
    <row r="42" spans="1:21">
      <c r="A42" s="952"/>
      <c r="B42" s="952">
        <v>210</v>
      </c>
      <c r="C42" s="952">
        <f t="shared" si="4"/>
        <v>5.6689342403628144E-6</v>
      </c>
      <c r="D42" s="952">
        <f t="shared" si="2"/>
        <v>5.6689342403628142</v>
      </c>
      <c r="E42" s="952">
        <f t="shared" si="0"/>
        <v>1.86100145308929E-2</v>
      </c>
      <c r="F42" s="256">
        <f t="shared" si="3"/>
        <v>-17.302532877674523</v>
      </c>
      <c r="G42" s="252" t="s">
        <v>860</v>
      </c>
      <c r="H42" s="252"/>
      <c r="I42" s="255">
        <f>(S7*B42)/79.76</f>
        <v>0.24973293865335847</v>
      </c>
      <c r="J42" s="86"/>
      <c r="K42" s="87"/>
      <c r="L42" s="3"/>
      <c r="M42" s="3"/>
      <c r="N42" s="3"/>
      <c r="O42" s="3"/>
      <c r="P42" s="3"/>
      <c r="Q42" s="566"/>
      <c r="R42" s="922"/>
      <c r="S42" s="922"/>
      <c r="T42" s="922"/>
      <c r="U42" s="928"/>
    </row>
    <row r="43" spans="1:21">
      <c r="A43" s="952"/>
      <c r="B43" s="952">
        <v>220</v>
      </c>
      <c r="C43" s="952">
        <f t="shared" si="4"/>
        <v>8.5366923794738577E-6</v>
      </c>
      <c r="D43" s="952">
        <f t="shared" si="2"/>
        <v>8.5366923794738572</v>
      </c>
      <c r="E43" s="952">
        <f t="shared" si="0"/>
        <v>2.8024309771778822E-2</v>
      </c>
      <c r="F43" s="256">
        <f t="shared" si="3"/>
        <v>-15.524650751111944</v>
      </c>
      <c r="G43" s="252" t="s">
        <v>860</v>
      </c>
      <c r="H43" s="252"/>
      <c r="I43" s="255">
        <f>(S7*B43)/79.76</f>
        <v>0.26162498335113749</v>
      </c>
      <c r="J43" s="86"/>
      <c r="K43" s="87"/>
      <c r="L43" s="3"/>
      <c r="M43" s="3"/>
      <c r="N43" s="3"/>
      <c r="O43" s="3"/>
      <c r="P43" s="3"/>
      <c r="Q43" s="566"/>
      <c r="R43" s="922"/>
      <c r="S43" s="922"/>
      <c r="T43" s="922"/>
      <c r="U43" s="928"/>
    </row>
    <row r="44" spans="1:21">
      <c r="A44" s="952"/>
      <c r="B44" s="952">
        <v>230</v>
      </c>
      <c r="C44" s="952">
        <f t="shared" si="4"/>
        <v>1.1093082964715783E-5</v>
      </c>
      <c r="D44" s="952">
        <f t="shared" si="2"/>
        <v>11.093082964715784</v>
      </c>
      <c r="E44" s="952">
        <f t="shared" si="0"/>
        <v>3.6416445563240266E-2</v>
      </c>
      <c r="F44" s="256">
        <f t="shared" si="3"/>
        <v>-14.387024458997985</v>
      </c>
      <c r="G44" s="252" t="s">
        <v>860</v>
      </c>
      <c r="H44" s="252"/>
      <c r="I44" s="255">
        <f>(S7*B44)/79.76</f>
        <v>0.27351702804891642</v>
      </c>
      <c r="J44" s="86"/>
      <c r="K44" s="87"/>
      <c r="L44" s="3"/>
      <c r="M44" s="3"/>
      <c r="N44" s="3"/>
      <c r="O44" s="3"/>
      <c r="P44" s="3"/>
      <c r="Q44" s="566"/>
      <c r="R44" s="922"/>
      <c r="S44" s="922"/>
      <c r="T44" s="922"/>
      <c r="U44" s="928"/>
    </row>
    <row r="45" spans="1:21">
      <c r="A45" s="952"/>
      <c r="B45" s="952">
        <v>240</v>
      </c>
      <c r="C45" s="952">
        <f t="shared" si="4"/>
        <v>1.3020833333333326E-5</v>
      </c>
      <c r="D45" s="952">
        <f t="shared" si="2"/>
        <v>13.020833333333325</v>
      </c>
      <c r="E45" s="952">
        <f t="shared" si="0"/>
        <v>4.2744877125644586E-2</v>
      </c>
      <c r="F45" s="256">
        <f t="shared" si="3"/>
        <v>-13.691159270031637</v>
      </c>
      <c r="G45" s="252" t="s">
        <v>860</v>
      </c>
      <c r="H45" s="252"/>
      <c r="I45" s="255">
        <f>(S7*B45)/79.76</f>
        <v>0.28540907274669541</v>
      </c>
      <c r="J45" s="86"/>
      <c r="K45" s="87"/>
      <c r="L45" s="3"/>
      <c r="M45" s="3"/>
      <c r="N45" s="3"/>
      <c r="O45" s="3"/>
      <c r="P45" s="3"/>
      <c r="Q45" s="566"/>
      <c r="R45" s="922"/>
      <c r="S45" s="923"/>
      <c r="T45" s="922"/>
      <c r="U45" s="928"/>
    </row>
    <row r="46" spans="1:21">
      <c r="A46" s="952"/>
      <c r="B46" s="952">
        <v>250</v>
      </c>
      <c r="C46" s="952">
        <f t="shared" si="4"/>
        <v>1.4128355544951825E-5</v>
      </c>
      <c r="D46" s="952">
        <f t="shared" si="2"/>
        <v>14.128355544951825</v>
      </c>
      <c r="E46" s="952">
        <f t="shared" si="0"/>
        <v>4.6380658310890402E-2</v>
      </c>
      <c r="F46" s="259">
        <f t="shared" si="3"/>
        <v>-13.336630914298537</v>
      </c>
      <c r="G46" s="252" t="s">
        <v>860</v>
      </c>
      <c r="H46" s="252"/>
      <c r="I46" s="260">
        <f>(S7*B46)/79.76</f>
        <v>0.29730111744447435</v>
      </c>
      <c r="J46" s="261" t="s">
        <v>45</v>
      </c>
      <c r="K46" s="262"/>
      <c r="L46" s="3"/>
      <c r="M46" s="3"/>
      <c r="N46" s="3"/>
      <c r="O46" s="3"/>
      <c r="P46" s="3"/>
      <c r="Q46" s="566"/>
      <c r="R46" s="922"/>
      <c r="S46" s="922"/>
      <c r="T46" s="922"/>
      <c r="U46" s="928"/>
    </row>
    <row r="47" spans="1:21">
      <c r="A47" s="952"/>
      <c r="B47" s="952">
        <v>260</v>
      </c>
      <c r="C47" s="952">
        <f t="shared" si="4"/>
        <v>1.4346838911138375E-5</v>
      </c>
      <c r="D47" s="952">
        <f t="shared" si="2"/>
        <v>14.346838911138374</v>
      </c>
      <c r="E47" s="952">
        <f t="shared" si="0"/>
        <v>4.7097896939368451E-2</v>
      </c>
      <c r="F47" s="256">
        <f t="shared" si="3"/>
        <v>-13.269984849734165</v>
      </c>
      <c r="G47" s="252" t="s">
        <v>860</v>
      </c>
      <c r="H47" s="252"/>
      <c r="I47" s="255">
        <f>(S7*B47)/79.76</f>
        <v>0.30919316214225334</v>
      </c>
      <c r="J47" s="86"/>
      <c r="K47" s="87"/>
      <c r="L47" s="3"/>
      <c r="M47" s="3"/>
      <c r="N47" s="3"/>
      <c r="O47" s="3"/>
      <c r="P47" s="3"/>
      <c r="Q47" s="566"/>
      <c r="R47" s="922"/>
      <c r="S47" s="922"/>
      <c r="T47" s="922"/>
      <c r="U47" s="928"/>
    </row>
    <row r="48" spans="1:21">
      <c r="A48" s="952"/>
      <c r="B48" s="952">
        <v>270</v>
      </c>
      <c r="C48" s="952">
        <f t="shared" si="4"/>
        <v>1.3717421124828532E-5</v>
      </c>
      <c r="D48" s="952">
        <f t="shared" si="2"/>
        <v>13.717421124828531</v>
      </c>
      <c r="E48" s="952">
        <f t="shared" si="0"/>
        <v>4.5031640099444527E-2</v>
      </c>
      <c r="F48" s="256">
        <f t="shared" si="3"/>
        <v>-13.464822352896261</v>
      </c>
      <c r="G48" s="252" t="s">
        <v>860</v>
      </c>
      <c r="H48" s="252"/>
      <c r="I48" s="255">
        <f>(S7*B48)/79.76</f>
        <v>0.32108520684003233</v>
      </c>
      <c r="J48" s="86"/>
      <c r="K48" s="87"/>
      <c r="L48" s="3"/>
      <c r="M48" s="3"/>
      <c r="N48" s="3"/>
      <c r="O48" s="3"/>
      <c r="P48" s="3"/>
      <c r="Q48" s="566"/>
      <c r="R48" s="922"/>
      <c r="S48" s="922"/>
      <c r="T48" s="922"/>
      <c r="U48" s="928"/>
    </row>
    <row r="49" spans="1:21">
      <c r="A49" s="952"/>
      <c r="B49" s="952">
        <v>280</v>
      </c>
      <c r="C49" s="952">
        <f t="shared" si="4"/>
        <v>1.2370488652971357E-5</v>
      </c>
      <c r="D49" s="952">
        <f t="shared" si="2"/>
        <v>12.370488652971357</v>
      </c>
      <c r="E49" s="952">
        <f t="shared" si="0"/>
        <v>4.0609921340577913E-2</v>
      </c>
      <c r="F49" s="256">
        <f t="shared" si="3"/>
        <v>-13.91367851716219</v>
      </c>
      <c r="G49" s="252" t="s">
        <v>860</v>
      </c>
      <c r="H49" s="252"/>
      <c r="I49" s="255">
        <f>(S7*B49)/79.76</f>
        <v>0.33297725153781133</v>
      </c>
      <c r="J49" s="86"/>
      <c r="K49" s="87"/>
      <c r="L49" s="3"/>
      <c r="M49" s="3"/>
      <c r="N49" s="3"/>
      <c r="O49" s="3"/>
      <c r="P49" s="3"/>
      <c r="Q49" s="566"/>
      <c r="R49" s="922"/>
      <c r="S49" s="922"/>
      <c r="T49" s="922"/>
      <c r="U49" s="928"/>
    </row>
    <row r="50" spans="1:21">
      <c r="A50" s="952"/>
      <c r="B50" s="952">
        <v>290</v>
      </c>
      <c r="C50" s="952">
        <f t="shared" si="4"/>
        <v>1.0499669697496894E-5</v>
      </c>
      <c r="D50" s="952">
        <f t="shared" si="2"/>
        <v>10.499669697496895</v>
      </c>
      <c r="E50" s="952">
        <f t="shared" si="0"/>
        <v>3.4468384594894763E-2</v>
      </c>
      <c r="F50" s="256">
        <f t="shared" si="3"/>
        <v>-14.625790698836909</v>
      </c>
      <c r="G50" s="252" t="s">
        <v>860</v>
      </c>
      <c r="H50" s="252"/>
      <c r="I50" s="255">
        <f>(S7*B50)/79.76</f>
        <v>0.34486929623559026</v>
      </c>
      <c r="J50" s="86"/>
      <c r="K50" s="87"/>
      <c r="L50" s="3"/>
      <c r="M50" s="3"/>
      <c r="N50" s="3"/>
      <c r="O50" s="3"/>
      <c r="P50" s="3"/>
      <c r="Q50" s="566"/>
      <c r="R50" s="922"/>
      <c r="S50" s="922"/>
      <c r="T50" s="922"/>
      <c r="U50" s="928"/>
    </row>
    <row r="51" spans="1:21">
      <c r="A51" s="952"/>
      <c r="B51" s="952">
        <v>300</v>
      </c>
      <c r="C51" s="952">
        <f t="shared" si="4"/>
        <v>8.333333333333332E-6</v>
      </c>
      <c r="D51" s="952">
        <f t="shared" si="2"/>
        <v>8.3333333333333321</v>
      </c>
      <c r="E51" s="952">
        <f t="shared" si="0"/>
        <v>2.7356721360412548E-2</v>
      </c>
      <c r="F51" s="256">
        <f t="shared" si="3"/>
        <v>-15.629359530192763</v>
      </c>
      <c r="G51" s="252" t="s">
        <v>860</v>
      </c>
      <c r="H51" s="252"/>
      <c r="I51" s="255">
        <f>(S7*B51)/79.76</f>
        <v>0.35676134093336925</v>
      </c>
      <c r="J51" s="86"/>
      <c r="K51" s="87"/>
      <c r="L51" s="3"/>
      <c r="M51" s="3"/>
      <c r="N51" s="3"/>
      <c r="O51" s="3"/>
      <c r="P51" s="3"/>
      <c r="Q51" s="566"/>
      <c r="R51" s="922"/>
      <c r="S51" s="922"/>
      <c r="T51" s="922"/>
      <c r="U51" s="928"/>
    </row>
    <row r="52" spans="1:21">
      <c r="A52" s="952"/>
      <c r="B52" s="952">
        <v>310</v>
      </c>
      <c r="C52" s="952">
        <f t="shared" si="4"/>
        <v>6.1063901023253407E-6</v>
      </c>
      <c r="D52" s="952">
        <f t="shared" si="2"/>
        <v>6.1063901023253404</v>
      </c>
      <c r="E52" s="952">
        <f t="shared" si="0"/>
        <v>2.0046097505675452E-2</v>
      </c>
      <c r="F52" s="256">
        <f t="shared" si="3"/>
        <v>-16.979701615331578</v>
      </c>
      <c r="G52" s="252" t="s">
        <v>860</v>
      </c>
      <c r="H52" s="252"/>
      <c r="I52" s="255">
        <f>(S7*B52)/79.76</f>
        <v>0.36865338563114819</v>
      </c>
      <c r="J52" s="86"/>
      <c r="K52" s="87"/>
      <c r="L52" s="3"/>
      <c r="M52" s="3"/>
      <c r="N52" s="3"/>
      <c r="O52" s="3"/>
      <c r="P52" s="3"/>
      <c r="Q52" s="566"/>
      <c r="R52" s="922"/>
      <c r="S52" s="922"/>
      <c r="T52" s="922"/>
      <c r="U52" s="928"/>
    </row>
    <row r="53" spans="1:21">
      <c r="A53" s="952"/>
      <c r="B53" s="952">
        <v>320</v>
      </c>
      <c r="C53" s="952">
        <f t="shared" si="4"/>
        <v>4.0349210074856952E-6</v>
      </c>
      <c r="D53" s="952">
        <f t="shared" si="2"/>
        <v>4.0349210074856954</v>
      </c>
      <c r="E53" s="952">
        <f t="shared" si="0"/>
        <v>1.3245865165567351E-2</v>
      </c>
      <c r="F53" s="256">
        <f t="shared" si="3"/>
        <v>-18.779196701065931</v>
      </c>
      <c r="G53" s="252" t="s">
        <v>860</v>
      </c>
      <c r="H53" s="252"/>
      <c r="I53" s="255">
        <f>(S7*B53)/79.76</f>
        <v>0.38054543032892718</v>
      </c>
      <c r="J53" s="86"/>
      <c r="K53" s="87"/>
      <c r="L53" s="3"/>
      <c r="M53" s="3"/>
      <c r="N53" s="3"/>
      <c r="O53" s="3"/>
      <c r="P53" s="3"/>
      <c r="Q53" s="566"/>
      <c r="R53" s="922"/>
      <c r="S53" s="922"/>
      <c r="T53" s="922"/>
      <c r="U53" s="928"/>
    </row>
    <row r="54" spans="1:21">
      <c r="A54" s="952"/>
      <c r="B54" s="952">
        <v>330</v>
      </c>
      <c r="C54" s="952">
        <f t="shared" si="4"/>
        <v>2.2956841138659359E-6</v>
      </c>
      <c r="D54" s="952">
        <f t="shared" si="2"/>
        <v>2.2956841138659358</v>
      </c>
      <c r="E54" s="952">
        <f t="shared" si="0"/>
        <v>7.5362868761467208E-3</v>
      </c>
      <c r="F54" s="256">
        <f t="shared" si="3"/>
        <v>-21.228425780553884</v>
      </c>
      <c r="G54" s="252" t="s">
        <v>860</v>
      </c>
      <c r="H54" s="252" t="s">
        <v>818</v>
      </c>
      <c r="I54" s="255">
        <f>(S7*B54)/79.76</f>
        <v>0.39243747502670617</v>
      </c>
      <c r="J54" s="86"/>
      <c r="K54" s="87"/>
      <c r="L54" s="3"/>
      <c r="M54" s="3"/>
      <c r="N54" s="3"/>
      <c r="O54" s="3"/>
      <c r="P54" s="3"/>
      <c r="Q54" s="566"/>
      <c r="R54" s="922"/>
      <c r="S54" s="922"/>
      <c r="T54" s="922"/>
      <c r="U54" s="928"/>
    </row>
    <row r="55" spans="1:21">
      <c r="A55" s="952"/>
      <c r="B55" s="952">
        <v>340</v>
      </c>
      <c r="C55" s="952">
        <f t="shared" si="4"/>
        <v>1.0119184986203364E-6</v>
      </c>
      <c r="D55" s="952">
        <f t="shared" si="2"/>
        <v>1.0119184986203364</v>
      </c>
      <c r="E55" s="952">
        <f t="shared" si="0"/>
        <v>3.3219326887444266E-3</v>
      </c>
      <c r="F55" s="256">
        <f t="shared" si="3"/>
        <v>-24.786091717651274</v>
      </c>
      <c r="G55" s="252" t="s">
        <v>860</v>
      </c>
      <c r="H55" s="252"/>
      <c r="I55" s="255">
        <f>(S7*B55)/79.76</f>
        <v>0.40432951972448516</v>
      </c>
      <c r="J55" s="86"/>
      <c r="K55" s="87"/>
      <c r="L55" s="3"/>
      <c r="M55" s="3"/>
      <c r="N55" s="3"/>
      <c r="O55" s="3"/>
      <c r="P55" s="3"/>
      <c r="Q55" s="566"/>
      <c r="R55" s="922"/>
      <c r="S55" s="922"/>
      <c r="T55" s="922"/>
      <c r="U55" s="928"/>
    </row>
    <row r="56" spans="1:21">
      <c r="A56" s="952"/>
      <c r="B56" s="952">
        <v>350</v>
      </c>
      <c r="C56" s="952">
        <f t="shared" si="4"/>
        <v>2.4615256822078222E-7</v>
      </c>
      <c r="D56" s="952">
        <f t="shared" si="2"/>
        <v>0.24615256822078221</v>
      </c>
      <c r="E56" s="952">
        <f t="shared" si="0"/>
        <v>8.0807126651590564E-4</v>
      </c>
      <c r="F56" s="256">
        <f t="shared" si="3"/>
        <v>-30.925503356490015</v>
      </c>
      <c r="G56" s="252" t="s">
        <v>860</v>
      </c>
      <c r="H56" s="252"/>
      <c r="I56" s="255">
        <f>(S7*B56)/79.76</f>
        <v>0.41622156442226416</v>
      </c>
      <c r="J56" s="86"/>
      <c r="K56" s="87"/>
      <c r="L56" s="3"/>
      <c r="M56" s="3"/>
      <c r="N56" s="3"/>
      <c r="O56" s="3"/>
      <c r="P56" s="3"/>
      <c r="Q56" s="566"/>
      <c r="R56" s="922"/>
      <c r="S56" s="923"/>
      <c r="T56" s="922"/>
      <c r="U56" s="928"/>
    </row>
    <row r="57" spans="1:21">
      <c r="A57" s="952"/>
      <c r="B57" s="952">
        <v>360</v>
      </c>
      <c r="C57" s="952">
        <f t="shared" ref="C57:C88" si="5">((SIN(RADIANS(B57)))^2)/B57^2</f>
        <v>4.6326812856943794E-37</v>
      </c>
      <c r="D57" s="952">
        <f t="shared" si="2"/>
        <v>4.6326812856943792E-31</v>
      </c>
      <c r="E57" s="952">
        <f t="shared" si="0"/>
        <v>1.5208196530120668E-33</v>
      </c>
      <c r="F57" s="257">
        <f t="shared" si="3"/>
        <v>-328.17922283873054</v>
      </c>
      <c r="G57" s="252" t="s">
        <v>860</v>
      </c>
      <c r="H57" s="252"/>
      <c r="I57" s="258">
        <f>(S7*B57)/79.76</f>
        <v>0.42811360912004315</v>
      </c>
      <c r="J57" s="261" t="s">
        <v>46</v>
      </c>
      <c r="K57" s="87"/>
      <c r="L57" s="3"/>
      <c r="M57" s="3"/>
      <c r="N57" s="3"/>
      <c r="O57" s="3"/>
      <c r="P57" s="3"/>
      <c r="Q57" s="566"/>
      <c r="R57" s="922"/>
      <c r="S57" s="922"/>
      <c r="T57" s="922"/>
      <c r="U57" s="928"/>
    </row>
    <row r="58" spans="1:21">
      <c r="A58" s="952"/>
      <c r="B58" s="952">
        <v>370</v>
      </c>
      <c r="C58" s="952">
        <f t="shared" si="5"/>
        <v>2.2026069837140728E-7</v>
      </c>
      <c r="D58" s="952">
        <f t="shared" si="2"/>
        <v>0.22026069837140727</v>
      </c>
      <c r="E58" s="952">
        <f t="shared" si="0"/>
        <v>7.230732662395756E-4</v>
      </c>
      <c r="F58" s="256">
        <f t="shared" si="3"/>
        <v>-31.408176950824426</v>
      </c>
      <c r="G58" s="252" t="s">
        <v>860</v>
      </c>
      <c r="H58" s="252"/>
      <c r="I58" s="255">
        <f>(S7*B58)/79.76</f>
        <v>0.44000565381782203</v>
      </c>
      <c r="J58" s="86"/>
      <c r="K58" s="87"/>
      <c r="L58" s="3"/>
      <c r="M58" s="3"/>
      <c r="N58" s="3"/>
      <c r="O58" s="3"/>
      <c r="P58" s="3"/>
      <c r="Q58" s="566"/>
      <c r="R58" s="922"/>
      <c r="S58" s="922"/>
      <c r="T58" s="922"/>
      <c r="U58" s="928"/>
    </row>
    <row r="59" spans="1:21">
      <c r="A59" s="952"/>
      <c r="B59" s="952">
        <v>380</v>
      </c>
      <c r="C59" s="952">
        <f t="shared" si="5"/>
        <v>8.1009541856309637E-7</v>
      </c>
      <c r="D59" s="952">
        <f t="shared" si="2"/>
        <v>0.81009541856309641</v>
      </c>
      <c r="E59" s="952">
        <f t="shared" si="0"/>
        <v>2.6593865569172885E-3</v>
      </c>
      <c r="F59" s="256">
        <f t="shared" si="3"/>
        <v>-25.752185309142369</v>
      </c>
      <c r="G59" s="252" t="s">
        <v>860</v>
      </c>
      <c r="H59" s="252"/>
      <c r="I59" s="255">
        <f>(S7*B59)/79.76</f>
        <v>0.45189769851560102</v>
      </c>
      <c r="J59" s="86"/>
      <c r="K59" s="87"/>
      <c r="L59" s="3"/>
      <c r="M59" s="3"/>
      <c r="N59" s="3"/>
      <c r="O59" s="3"/>
      <c r="P59" s="3"/>
      <c r="Q59" s="566"/>
      <c r="R59" s="922"/>
      <c r="S59" s="922"/>
      <c r="T59" s="922"/>
      <c r="U59" s="928"/>
    </row>
    <row r="60" spans="1:21">
      <c r="A60" s="952"/>
      <c r="B60" s="952">
        <v>390</v>
      </c>
      <c r="C60" s="952">
        <f t="shared" si="5"/>
        <v>1.643655489809336E-6</v>
      </c>
      <c r="D60" s="952">
        <f t="shared" si="2"/>
        <v>1.6436554898093361</v>
      </c>
      <c r="E60" s="952">
        <f t="shared" si="0"/>
        <v>5.39580302966717E-3</v>
      </c>
      <c r="F60" s="256">
        <f t="shared" si="3"/>
        <v>-22.679439123526123</v>
      </c>
      <c r="G60" s="252" t="s">
        <v>860</v>
      </c>
      <c r="H60" s="252"/>
      <c r="I60" s="255">
        <f>(S7*B60)/79.76</f>
        <v>0.46378974321338007</v>
      </c>
      <c r="J60" s="86"/>
      <c r="K60" s="87"/>
      <c r="L60" s="3"/>
      <c r="M60" s="3"/>
      <c r="N60" s="3"/>
      <c r="O60" s="3"/>
      <c r="P60" s="3"/>
      <c r="Q60" s="566"/>
      <c r="R60" s="922"/>
      <c r="S60" s="922"/>
      <c r="T60" s="922"/>
      <c r="U60" s="928"/>
    </row>
    <row r="61" spans="1:21">
      <c r="A61" s="952"/>
      <c r="B61" s="952">
        <v>400</v>
      </c>
      <c r="C61" s="952">
        <f t="shared" si="5"/>
        <v>2.5823494447908412E-6</v>
      </c>
      <c r="D61" s="952">
        <f t="shared" si="2"/>
        <v>2.5823494447908413</v>
      </c>
      <c r="E61" s="952">
        <f t="shared" si="0"/>
        <v>8.4773537059630918E-3</v>
      </c>
      <c r="F61" s="256">
        <f t="shared" si="3"/>
        <v>-20.717396961227067</v>
      </c>
      <c r="G61" s="252" t="s">
        <v>860</v>
      </c>
      <c r="H61" s="252"/>
      <c r="I61" s="255">
        <f>(S7*B61)/79.76</f>
        <v>0.47568178791115906</v>
      </c>
      <c r="J61" s="86"/>
      <c r="K61" s="87"/>
      <c r="L61" s="3"/>
      <c r="M61" s="3"/>
      <c r="N61" s="3"/>
      <c r="O61" s="3"/>
      <c r="P61" s="3"/>
      <c r="Q61" s="566"/>
      <c r="R61" s="922"/>
      <c r="S61" s="922"/>
      <c r="T61" s="922"/>
      <c r="U61" s="928"/>
    </row>
    <row r="62" spans="1:21">
      <c r="A62" s="952"/>
      <c r="B62" s="952">
        <v>410</v>
      </c>
      <c r="C62" s="952">
        <f t="shared" si="5"/>
        <v>3.4909225986523783E-6</v>
      </c>
      <c r="D62" s="952">
        <f t="shared" si="2"/>
        <v>3.4909225986523782</v>
      </c>
      <c r="E62" s="952">
        <f t="shared" si="0"/>
        <v>1.1460023618652048E-2</v>
      </c>
      <c r="F62" s="256">
        <f t="shared" si="3"/>
        <v>-19.40814487304084</v>
      </c>
      <c r="G62" s="252" t="s">
        <v>860</v>
      </c>
      <c r="H62" s="252"/>
      <c r="I62" s="255">
        <f>(S7*B62)/79.76</f>
        <v>0.48757383260893794</v>
      </c>
      <c r="J62" s="86"/>
      <c r="K62" s="87"/>
      <c r="L62" s="3"/>
      <c r="M62" s="3"/>
      <c r="N62" s="3"/>
      <c r="O62" s="3"/>
      <c r="P62" s="3"/>
      <c r="Q62" s="566"/>
      <c r="R62" s="922"/>
      <c r="S62" s="922"/>
      <c r="T62" s="922"/>
      <c r="U62" s="928"/>
    </row>
    <row r="63" spans="1:21">
      <c r="A63" s="952"/>
      <c r="B63" s="952">
        <v>420</v>
      </c>
      <c r="C63" s="952">
        <f t="shared" si="5"/>
        <v>4.2517006802721104E-6</v>
      </c>
      <c r="D63" s="952">
        <f t="shared" si="2"/>
        <v>4.2517006802721102</v>
      </c>
      <c r="E63" s="952">
        <f t="shared" si="0"/>
        <v>1.3957510898169673E-2</v>
      </c>
      <c r="F63" s="256">
        <f t="shared" si="3"/>
        <v>-18.551920243757522</v>
      </c>
      <c r="G63" s="252" t="s">
        <v>860</v>
      </c>
      <c r="H63" s="252"/>
      <c r="I63" s="255">
        <f>(S7*B63)/79.76</f>
        <v>0.49946587730671693</v>
      </c>
      <c r="J63" s="86"/>
      <c r="K63" s="87"/>
      <c r="L63" s="3"/>
      <c r="M63" s="3"/>
      <c r="N63" s="3"/>
      <c r="O63" s="3"/>
      <c r="P63" s="3"/>
      <c r="Q63" s="566"/>
      <c r="R63" s="922"/>
      <c r="S63" s="922"/>
      <c r="T63" s="922"/>
      <c r="U63" s="928"/>
    </row>
    <row r="64" spans="1:21">
      <c r="A64" s="952"/>
      <c r="B64" s="952">
        <v>430</v>
      </c>
      <c r="C64" s="952">
        <f t="shared" si="5"/>
        <v>4.7756745352054575E-6</v>
      </c>
      <c r="D64" s="952">
        <f t="shared" si="2"/>
        <v>4.7756745352054573</v>
      </c>
      <c r="E64" s="952">
        <f t="shared" si="0"/>
        <v>1.5677615708116009E-2</v>
      </c>
      <c r="F64" s="256">
        <f t="shared" si="3"/>
        <v>-18.047199852449516</v>
      </c>
      <c r="G64" s="252" t="s">
        <v>860</v>
      </c>
      <c r="H64" s="252"/>
      <c r="I64" s="255">
        <f>(S7*B64)/79.76</f>
        <v>0.51135792200449592</v>
      </c>
      <c r="J64" s="86"/>
      <c r="K64" s="87"/>
      <c r="L64" s="3"/>
      <c r="M64" s="3"/>
      <c r="N64" s="3"/>
      <c r="O64" s="3"/>
      <c r="P64" s="3"/>
      <c r="Q64" s="566"/>
      <c r="R64" s="922"/>
      <c r="S64" s="923"/>
      <c r="T64" s="922"/>
      <c r="U64" s="928"/>
    </row>
    <row r="65" spans="1:21">
      <c r="A65" s="952"/>
      <c r="B65" s="952">
        <v>440</v>
      </c>
      <c r="C65" s="952">
        <f t="shared" si="5"/>
        <v>5.0095367272363332E-6</v>
      </c>
      <c r="D65" s="952">
        <f t="shared" si="2"/>
        <v>5.0095367272363331</v>
      </c>
      <c r="E65" s="952">
        <f t="shared" si="0"/>
        <v>1.6445340047010884E-2</v>
      </c>
      <c r="F65" s="259">
        <f t="shared" si="3"/>
        <v>-17.839571420041555</v>
      </c>
      <c r="G65" s="252" t="s">
        <v>860</v>
      </c>
      <c r="H65" s="252"/>
      <c r="I65" s="260">
        <f>(S7*B65)/79.76</f>
        <v>0.52324996670227497</v>
      </c>
      <c r="J65" s="261" t="s">
        <v>47</v>
      </c>
      <c r="K65" s="262"/>
      <c r="L65" s="3"/>
      <c r="M65" s="3"/>
      <c r="N65" s="3"/>
      <c r="O65" s="3"/>
      <c r="P65" s="3"/>
      <c r="Q65" s="566"/>
      <c r="R65" s="922"/>
      <c r="S65" s="922"/>
      <c r="T65" s="922"/>
      <c r="U65" s="928"/>
    </row>
    <row r="66" spans="1:21">
      <c r="A66" s="952"/>
      <c r="B66" s="952">
        <v>450</v>
      </c>
      <c r="C66" s="952">
        <f t="shared" si="5"/>
        <v>4.9382716049382717E-6</v>
      </c>
      <c r="D66" s="952">
        <f t="shared" si="2"/>
        <v>4.9382716049382713</v>
      </c>
      <c r="E66" s="952">
        <f t="shared" si="0"/>
        <v>1.6211390435800031E-2</v>
      </c>
      <c r="F66" s="256">
        <f t="shared" si="3"/>
        <v>-17.90179734522339</v>
      </c>
      <c r="G66" s="252" t="s">
        <v>860</v>
      </c>
      <c r="H66" s="252"/>
      <c r="I66" s="255">
        <f>(S7*B66)/79.76</f>
        <v>0.5351420114000538</v>
      </c>
      <c r="J66" s="86"/>
      <c r="K66" s="87"/>
      <c r="L66" s="3"/>
      <c r="M66" s="3"/>
      <c r="N66" s="3"/>
      <c r="O66" s="3"/>
      <c r="P66" s="3"/>
      <c r="Q66" s="566"/>
      <c r="R66" s="922"/>
      <c r="S66" s="922"/>
      <c r="T66" s="922"/>
      <c r="U66" s="928"/>
    </row>
    <row r="67" spans="1:21">
      <c r="A67" s="952"/>
      <c r="B67" s="952">
        <v>460</v>
      </c>
      <c r="C67" s="952">
        <f t="shared" si="5"/>
        <v>4.5833946615924115E-6</v>
      </c>
      <c r="D67" s="952">
        <f t="shared" si="2"/>
        <v>4.5833946615924113</v>
      </c>
      <c r="E67" s="952">
        <f t="shared" si="0"/>
        <v>1.5046398077038316E-2</v>
      </c>
      <c r="F67" s="256">
        <f t="shared" si="3"/>
        <v>-18.225674523949287</v>
      </c>
      <c r="G67" s="252" t="s">
        <v>860</v>
      </c>
      <c r="H67" s="252"/>
      <c r="I67" s="255">
        <f>(S7*B67)/79.76</f>
        <v>0.54703405609783284</v>
      </c>
      <c r="J67" s="86"/>
      <c r="K67" s="87"/>
      <c r="L67" s="3"/>
      <c r="M67" s="3"/>
      <c r="N67" s="3"/>
      <c r="O67" s="3"/>
      <c r="P67" s="3"/>
      <c r="Q67" s="566"/>
      <c r="R67" s="922"/>
      <c r="S67" s="922"/>
      <c r="T67" s="922"/>
      <c r="U67" s="928"/>
    </row>
    <row r="68" spans="1:21">
      <c r="A68" s="952"/>
      <c r="B68" s="952">
        <v>470</v>
      </c>
      <c r="C68" s="952">
        <f t="shared" si="5"/>
        <v>3.9973844344023967E-6</v>
      </c>
      <c r="D68" s="952">
        <f t="shared" si="2"/>
        <v>3.9973844344023965</v>
      </c>
      <c r="E68" s="952">
        <f t="shared" si="0"/>
        <v>1.3122639857087602E-2</v>
      </c>
      <c r="F68" s="256">
        <f t="shared" si="3"/>
        <v>-18.819787899572134</v>
      </c>
      <c r="G68" s="252" t="s">
        <v>860</v>
      </c>
      <c r="H68" s="252"/>
      <c r="I68" s="255">
        <f>(S7*B68)/79.76</f>
        <v>0.55892610079561178</v>
      </c>
      <c r="J68" s="86"/>
      <c r="K68" s="87"/>
      <c r="L68" s="3"/>
      <c r="M68" s="3"/>
      <c r="N68" s="3"/>
      <c r="O68" s="3"/>
      <c r="P68" s="3"/>
      <c r="Q68" s="566"/>
      <c r="R68" s="922"/>
      <c r="S68" s="922"/>
      <c r="T68" s="922"/>
      <c r="U68" s="928"/>
    </row>
    <row r="69" spans="1:21">
      <c r="A69" s="952"/>
      <c r="B69" s="952">
        <v>480</v>
      </c>
      <c r="C69" s="952">
        <f t="shared" si="5"/>
        <v>3.2552083333333374E-6</v>
      </c>
      <c r="D69" s="952">
        <f t="shared" si="2"/>
        <v>3.2552083333333375</v>
      </c>
      <c r="E69" s="952">
        <f t="shared" si="0"/>
        <v>1.0686219281411165E-2</v>
      </c>
      <c r="F69" s="256">
        <f t="shared" si="3"/>
        <v>-19.711759183311251</v>
      </c>
      <c r="G69" s="252" t="s">
        <v>860</v>
      </c>
      <c r="H69" s="252"/>
      <c r="I69" s="255">
        <f>(S7*B69)/79.76</f>
        <v>0.57081814549339083</v>
      </c>
      <c r="J69" s="86"/>
      <c r="K69" s="87"/>
      <c r="L69" s="3"/>
      <c r="M69" s="3"/>
      <c r="N69" s="3"/>
      <c r="O69" s="3"/>
      <c r="P69" s="3"/>
      <c r="Q69" s="566"/>
      <c r="R69" s="922"/>
      <c r="S69" s="922"/>
      <c r="T69" s="922"/>
      <c r="U69" s="928"/>
    </row>
    <row r="70" spans="1:21">
      <c r="A70" s="952"/>
      <c r="B70" s="952">
        <v>490</v>
      </c>
      <c r="C70" s="952">
        <f t="shared" si="5"/>
        <v>2.4440820026383361E-6</v>
      </c>
      <c r="D70" s="952">
        <f t="shared" si="2"/>
        <v>2.4440820026383361</v>
      </c>
      <c r="E70" s="952">
        <f t="shared" si="0"/>
        <v>8.023448439381126E-3</v>
      </c>
      <c r="F70" s="256">
        <f t="shared" si="3"/>
        <v>-20.956389339216408</v>
      </c>
      <c r="G70" s="252" t="s">
        <v>860</v>
      </c>
      <c r="H70" s="252"/>
      <c r="I70" s="255">
        <f>(S7*B70)/79.76</f>
        <v>0.58271019019116987</v>
      </c>
      <c r="J70" s="86"/>
      <c r="K70" s="87"/>
      <c r="L70" s="3"/>
      <c r="M70" s="3"/>
      <c r="N70" s="3"/>
      <c r="O70" s="3"/>
      <c r="P70" s="3"/>
      <c r="Q70" s="566"/>
      <c r="R70" s="922"/>
      <c r="S70" s="922"/>
      <c r="T70" s="922"/>
      <c r="U70" s="928"/>
    </row>
    <row r="71" spans="1:21">
      <c r="A71" s="952"/>
      <c r="B71" s="952">
        <v>500</v>
      </c>
      <c r="C71" s="952">
        <f t="shared" si="5"/>
        <v>1.6527036446661378E-6</v>
      </c>
      <c r="D71" s="952">
        <f t="shared" si="2"/>
        <v>1.6527036446661378</v>
      </c>
      <c r="E71" s="952">
        <f t="shared" si="0"/>
        <v>5.4255063718163764E-3</v>
      </c>
      <c r="F71" s="256">
        <f t="shared" si="3"/>
        <v>-22.655597221388199</v>
      </c>
      <c r="G71" s="252" t="s">
        <v>860</v>
      </c>
      <c r="H71" s="252"/>
      <c r="I71" s="255">
        <f>(S7*B71)/79.76</f>
        <v>0.5946022348889487</v>
      </c>
      <c r="J71" s="86"/>
      <c r="K71" s="87"/>
      <c r="L71" s="3"/>
      <c r="M71" s="3"/>
      <c r="N71" s="3"/>
      <c r="O71" s="3"/>
      <c r="P71" s="3"/>
      <c r="Q71" s="566"/>
      <c r="R71" s="922"/>
      <c r="S71" s="922"/>
      <c r="T71" s="922"/>
      <c r="U71" s="928"/>
    </row>
    <row r="72" spans="1:21">
      <c r="A72" s="952"/>
      <c r="B72" s="952">
        <v>510</v>
      </c>
      <c r="C72" s="952">
        <f t="shared" si="5"/>
        <v>9.6116878123798444E-7</v>
      </c>
      <c r="D72" s="952">
        <f t="shared" si="2"/>
        <v>0.96116878123798444</v>
      </c>
      <c r="E72" s="952">
        <f t="shared" si="0"/>
        <v>3.1553311834385841E-3</v>
      </c>
      <c r="F72" s="256">
        <f t="shared" si="3"/>
        <v>-25.009550504954873</v>
      </c>
      <c r="G72" s="252" t="s">
        <v>860</v>
      </c>
      <c r="H72" s="252"/>
      <c r="I72" s="255">
        <f>(S7*B72)/79.76</f>
        <v>0.60649427958672775</v>
      </c>
      <c r="J72" s="86"/>
      <c r="K72" s="87"/>
      <c r="L72" s="3"/>
      <c r="M72" s="3"/>
      <c r="N72" s="3"/>
      <c r="O72" s="3"/>
      <c r="P72" s="3"/>
      <c r="Q72" s="566"/>
      <c r="R72" s="922"/>
      <c r="S72" s="922"/>
      <c r="T72" s="922"/>
      <c r="U72" s="928"/>
    </row>
    <row r="73" spans="1:21">
      <c r="A73" s="952"/>
      <c r="B73" s="952">
        <v>520</v>
      </c>
      <c r="C73" s="952">
        <f t="shared" si="5"/>
        <v>4.3261012736875356E-7</v>
      </c>
      <c r="D73" s="952">
        <f t="shared" si="2"/>
        <v>0.43261012736875354</v>
      </c>
      <c r="E73" s="952">
        <f t="shared" si="0"/>
        <v>1.4201753654543489E-3</v>
      </c>
      <c r="F73" s="256">
        <f t="shared" si="3"/>
        <v>-28.476580249502152</v>
      </c>
      <c r="G73" s="252" t="s">
        <v>860</v>
      </c>
      <c r="H73" s="252"/>
      <c r="I73" s="255">
        <f>(S7*B73)/79.76</f>
        <v>0.61838632428450668</v>
      </c>
      <c r="J73" s="86"/>
      <c r="K73" s="87"/>
      <c r="L73" s="3"/>
      <c r="M73" s="3"/>
      <c r="N73" s="3"/>
      <c r="O73" s="3"/>
      <c r="P73" s="3"/>
      <c r="Q73" s="566"/>
      <c r="R73" s="922"/>
      <c r="S73" s="922"/>
      <c r="T73" s="922"/>
      <c r="U73" s="928"/>
    </row>
    <row r="74" spans="1:21">
      <c r="A74" s="952"/>
      <c r="B74" s="952">
        <v>530</v>
      </c>
      <c r="C74" s="952">
        <f t="shared" si="5"/>
        <v>1.0734670561426081E-7</v>
      </c>
      <c r="D74" s="952">
        <f t="shared" si="2"/>
        <v>0.10734670561426081</v>
      </c>
      <c r="E74" s="952">
        <f t="shared" si="0"/>
        <v>3.5239846973370801E-4</v>
      </c>
      <c r="F74" s="256">
        <f t="shared" si="3"/>
        <v>-34.529659861500278</v>
      </c>
      <c r="G74" s="252" t="s">
        <v>860</v>
      </c>
      <c r="H74" s="252"/>
      <c r="I74" s="255">
        <f>(S7*B74)/79.76</f>
        <v>0.63027836898228573</v>
      </c>
      <c r="J74" s="86"/>
      <c r="K74" s="87"/>
      <c r="L74" s="3"/>
      <c r="M74" s="3"/>
      <c r="N74" s="3"/>
      <c r="O74" s="3"/>
      <c r="P74" s="3"/>
      <c r="Q74" s="566"/>
      <c r="R74" s="922"/>
      <c r="S74" s="923"/>
      <c r="T74" s="922"/>
      <c r="U74" s="928"/>
    </row>
    <row r="75" spans="1:21">
      <c r="A75" s="952"/>
      <c r="B75" s="952">
        <v>540</v>
      </c>
      <c r="C75" s="952">
        <f t="shared" si="5"/>
        <v>4.6326812856943794E-37</v>
      </c>
      <c r="D75" s="952">
        <f t="shared" si="2"/>
        <v>4.6326812856943792E-31</v>
      </c>
      <c r="E75" s="952">
        <f t="shared" si="0"/>
        <v>1.5208196530120668E-33</v>
      </c>
      <c r="F75" s="257">
        <f t="shared" si="3"/>
        <v>-328.17922283873054</v>
      </c>
      <c r="G75" s="252" t="s">
        <v>860</v>
      </c>
      <c r="H75" s="252"/>
      <c r="I75" s="258">
        <f>(S7*B75)/79.76</f>
        <v>0.64217041368006467</v>
      </c>
      <c r="J75" s="261" t="s">
        <v>48</v>
      </c>
      <c r="K75" s="87"/>
      <c r="L75" s="3"/>
      <c r="M75" s="3"/>
      <c r="N75" s="3"/>
      <c r="O75" s="3"/>
      <c r="P75" s="3"/>
      <c r="Q75" s="566"/>
      <c r="R75" s="922"/>
      <c r="S75" s="922"/>
      <c r="T75" s="922"/>
      <c r="U75" s="928"/>
    </row>
    <row r="76" spans="1:21">
      <c r="A76" s="952"/>
      <c r="B76" s="952">
        <v>550</v>
      </c>
      <c r="C76" s="952">
        <f t="shared" si="5"/>
        <v>9.9681618535687958E-8</v>
      </c>
      <c r="D76" s="952">
        <f t="shared" si="2"/>
        <v>9.9681618535687952E-2</v>
      </c>
      <c r="E76" s="952">
        <f t="shared" si="0"/>
        <v>3.2723547156429005E-4</v>
      </c>
      <c r="F76" s="256">
        <f t="shared" si="3"/>
        <v>-34.851396259369409</v>
      </c>
      <c r="G76" s="252" t="s">
        <v>860</v>
      </c>
      <c r="H76" s="252"/>
      <c r="I76" s="255">
        <f>(S7*B76)/79.76</f>
        <v>0.6540624583778436</v>
      </c>
      <c r="J76" s="86"/>
      <c r="K76" s="87"/>
      <c r="L76" s="3"/>
      <c r="M76" s="3"/>
      <c r="N76" s="3"/>
      <c r="O76" s="3"/>
      <c r="P76" s="3"/>
      <c r="Q76" s="566"/>
      <c r="R76" s="922"/>
      <c r="S76" s="922"/>
      <c r="T76" s="922"/>
      <c r="U76" s="928"/>
    </row>
    <row r="77" spans="1:21">
      <c r="A77" s="952"/>
      <c r="B77" s="952">
        <v>560</v>
      </c>
      <c r="C77" s="952">
        <f t="shared" si="5"/>
        <v>3.7301587512917883E-7</v>
      </c>
      <c r="D77" s="952">
        <f t="shared" si="2"/>
        <v>0.37301587512917883</v>
      </c>
      <c r="E77" s="952">
        <f t="shared" si="0"/>
        <v>1.2245389630703265E-3</v>
      </c>
      <c r="F77" s="256">
        <f t="shared" si="3"/>
        <v>-29.120273916930199</v>
      </c>
      <c r="G77" s="252" t="s">
        <v>860</v>
      </c>
      <c r="H77" s="252"/>
      <c r="I77" s="255">
        <f>(S7*B77)/79.76</f>
        <v>0.66595450307562265</v>
      </c>
      <c r="J77" s="86"/>
      <c r="K77" s="87"/>
      <c r="L77" s="3"/>
      <c r="M77" s="3"/>
      <c r="N77" s="3"/>
      <c r="O77" s="3"/>
      <c r="P77" s="3"/>
      <c r="Q77" s="566"/>
      <c r="R77" s="922"/>
      <c r="S77" s="922"/>
      <c r="T77" s="922"/>
      <c r="U77" s="928"/>
    </row>
    <row r="78" spans="1:21">
      <c r="A78" s="952"/>
      <c r="B78" s="952">
        <v>570</v>
      </c>
      <c r="C78" s="952">
        <f t="shared" si="5"/>
        <v>7.6946752847029604E-7</v>
      </c>
      <c r="D78" s="952">
        <f t="shared" si="2"/>
        <v>0.76946752847029609</v>
      </c>
      <c r="E78" s="952">
        <f t="shared" si="0"/>
        <v>2.5260130526696643E-3</v>
      </c>
      <c r="F78" s="256">
        <f t="shared" si="3"/>
        <v>-25.975644096445979</v>
      </c>
      <c r="G78" s="252" t="s">
        <v>860</v>
      </c>
      <c r="H78" s="252"/>
      <c r="I78" s="255">
        <f>(S7*B78)/79.76</f>
        <v>0.67784654777340159</v>
      </c>
      <c r="J78" s="86"/>
      <c r="K78" s="87"/>
      <c r="L78" s="3"/>
      <c r="M78" s="3"/>
      <c r="N78" s="3"/>
      <c r="O78" s="3"/>
      <c r="P78" s="3"/>
      <c r="Q78" s="566"/>
      <c r="R78" s="922"/>
      <c r="S78" s="922"/>
      <c r="T78" s="922"/>
      <c r="U78" s="928"/>
    </row>
    <row r="79" spans="1:21">
      <c r="A79" s="952"/>
      <c r="B79" s="952">
        <v>580</v>
      </c>
      <c r="C79" s="952">
        <f t="shared" si="5"/>
        <v>1.2282280355723409E-6</v>
      </c>
      <c r="D79" s="952">
        <f t="shared" si="2"/>
        <v>1.2282280355723409</v>
      </c>
      <c r="E79" s="952">
        <f t="shared" si="0"/>
        <v>4.0320350563439284E-3</v>
      </c>
      <c r="F79" s="256">
        <f t="shared" si="3"/>
        <v>-23.944757005926558</v>
      </c>
      <c r="G79" s="252" t="s">
        <v>860</v>
      </c>
      <c r="H79" s="252"/>
      <c r="I79" s="255">
        <f>(S7*B79)/79.76</f>
        <v>0.68973859247118052</v>
      </c>
      <c r="J79" s="86"/>
      <c r="K79" s="87"/>
      <c r="L79" s="3"/>
      <c r="M79" s="3"/>
      <c r="N79" s="3"/>
      <c r="O79" s="3"/>
      <c r="P79" s="3"/>
      <c r="Q79" s="566"/>
      <c r="R79" s="922"/>
      <c r="S79" s="922"/>
      <c r="T79" s="922"/>
      <c r="U79" s="928"/>
    </row>
    <row r="80" spans="1:21">
      <c r="A80" s="952"/>
      <c r="B80" s="952">
        <v>590</v>
      </c>
      <c r="C80" s="952">
        <f t="shared" si="5"/>
        <v>1.6857916944368443E-6</v>
      </c>
      <c r="D80" s="952">
        <f t="shared" si="2"/>
        <v>1.6857916944368443</v>
      </c>
      <c r="E80" s="952">
        <f t="shared" si="0"/>
        <v>5.5341280387687783E-3</v>
      </c>
      <c r="F80" s="256">
        <f t="shared" si="3"/>
        <v>-22.56950797148901</v>
      </c>
      <c r="G80" s="252" t="s">
        <v>860</v>
      </c>
      <c r="H80" s="252"/>
      <c r="I80" s="255">
        <f>(S7*B80)/79.76</f>
        <v>0.70163063716895946</v>
      </c>
      <c r="J80" s="86"/>
      <c r="K80" s="87"/>
      <c r="L80" s="3"/>
      <c r="M80" s="3"/>
      <c r="N80" s="3"/>
      <c r="O80" s="3"/>
      <c r="P80" s="3"/>
      <c r="Q80" s="566"/>
      <c r="R80" s="922"/>
      <c r="S80" s="922"/>
      <c r="T80" s="922"/>
      <c r="U80" s="928"/>
    </row>
    <row r="81" spans="1:21">
      <c r="A81" s="952"/>
      <c r="B81" s="952">
        <v>600</v>
      </c>
      <c r="C81" s="952">
        <f t="shared" si="5"/>
        <v>2.0833333333333334E-6</v>
      </c>
      <c r="D81" s="952">
        <f t="shared" si="2"/>
        <v>2.0833333333333335</v>
      </c>
      <c r="E81" s="952">
        <f t="shared" si="0"/>
        <v>6.8391803401031378E-3</v>
      </c>
      <c r="F81" s="256">
        <f t="shared" si="3"/>
        <v>-21.64995944347239</v>
      </c>
      <c r="G81" s="252" t="s">
        <v>860</v>
      </c>
      <c r="H81" s="252"/>
      <c r="I81" s="255">
        <f>(S7*B81)/79.76</f>
        <v>0.71352268186673851</v>
      </c>
      <c r="J81" s="86"/>
      <c r="K81" s="87"/>
      <c r="L81" s="3"/>
      <c r="M81" s="3"/>
      <c r="N81" s="3"/>
      <c r="O81" s="3"/>
      <c r="P81" s="3"/>
      <c r="Q81" s="566"/>
      <c r="R81" s="922"/>
      <c r="S81" s="922"/>
      <c r="T81" s="922"/>
      <c r="U81" s="928"/>
    </row>
    <row r="82" spans="1:21">
      <c r="A82" s="952"/>
      <c r="B82" s="952">
        <v>610</v>
      </c>
      <c r="C82" s="952">
        <f t="shared" si="5"/>
        <v>2.3730777252337787E-6</v>
      </c>
      <c r="D82" s="952">
        <f t="shared" si="2"/>
        <v>2.3730777252337787</v>
      </c>
      <c r="E82" s="952">
        <f t="shared" ref="E82:E104" si="6">D82/304.6174</f>
        <v>7.7903551314986563E-3</v>
      </c>
      <c r="F82" s="256">
        <f t="shared" si="3"/>
        <v>-21.084427441073128</v>
      </c>
      <c r="G82" s="252" t="s">
        <v>860</v>
      </c>
      <c r="H82" s="252"/>
      <c r="I82" s="255">
        <f>(S7*B82)/79.76</f>
        <v>0.72541472656451755</v>
      </c>
      <c r="J82" s="86"/>
      <c r="K82" s="87"/>
      <c r="L82" s="3"/>
      <c r="M82" s="3"/>
      <c r="N82" s="3"/>
      <c r="O82" s="3"/>
      <c r="P82" s="3"/>
      <c r="Q82" s="566"/>
      <c r="R82" s="922"/>
      <c r="S82" s="923"/>
      <c r="T82" s="922"/>
      <c r="U82" s="928"/>
    </row>
    <row r="83" spans="1:21">
      <c r="A83" s="952"/>
      <c r="B83" s="952">
        <v>620</v>
      </c>
      <c r="C83" s="952">
        <f t="shared" si="5"/>
        <v>2.5230132944665821E-6</v>
      </c>
      <c r="D83" s="952">
        <f t="shared" si="2"/>
        <v>2.523013294466582</v>
      </c>
      <c r="E83" s="952">
        <f t="shared" si="6"/>
        <v>8.2825646022406541E-3</v>
      </c>
      <c r="F83" s="259">
        <f t="shared" si="3"/>
        <v>-20.818351680282881</v>
      </c>
      <c r="G83" s="252" t="s">
        <v>860</v>
      </c>
      <c r="H83" s="252"/>
      <c r="I83" s="260">
        <f>(S7*B83)/79.76</f>
        <v>0.73730677126229638</v>
      </c>
      <c r="J83" s="261" t="s">
        <v>49</v>
      </c>
      <c r="K83" s="262"/>
      <c r="L83" s="3"/>
      <c r="M83" s="3"/>
      <c r="N83" s="3"/>
      <c r="O83" s="3"/>
      <c r="P83" s="3"/>
      <c r="Q83" s="566"/>
      <c r="R83" s="922"/>
      <c r="S83" s="922"/>
      <c r="T83" s="922"/>
      <c r="U83" s="928"/>
    </row>
    <row r="84" spans="1:21">
      <c r="A84" s="952"/>
      <c r="B84" s="952">
        <v>630</v>
      </c>
      <c r="C84" s="952">
        <f t="shared" si="5"/>
        <v>2.5195263290501387E-6</v>
      </c>
      <c r="D84" s="952">
        <f t="shared" ref="D84:D104" si="7">C84*1000000</f>
        <v>2.5195263290501386</v>
      </c>
      <c r="E84" s="952">
        <f t="shared" si="6"/>
        <v>8.2711175692857294E-3</v>
      </c>
      <c r="F84" s="256">
        <f t="shared" si="3"/>
        <v>-20.82435805878815</v>
      </c>
      <c r="G84" s="252" t="s">
        <v>860</v>
      </c>
      <c r="H84" s="252"/>
      <c r="I84" s="255">
        <f>(S7*B84)/79.76</f>
        <v>0.74919881596007543</v>
      </c>
      <c r="J84" s="86"/>
      <c r="K84" s="87"/>
      <c r="L84" s="3"/>
      <c r="M84" s="3"/>
      <c r="N84" s="3"/>
      <c r="O84" s="3"/>
      <c r="P84" s="3"/>
      <c r="Q84" s="566"/>
      <c r="R84" s="922"/>
      <c r="S84" s="922"/>
      <c r="T84" s="922"/>
      <c r="U84" s="928"/>
    </row>
    <row r="85" spans="1:21">
      <c r="A85" s="952"/>
      <c r="B85" s="952">
        <v>640</v>
      </c>
      <c r="C85" s="952">
        <f t="shared" si="5"/>
        <v>2.3677888437327986E-6</v>
      </c>
      <c r="D85" s="952">
        <f t="shared" si="7"/>
        <v>2.3677888437327987</v>
      </c>
      <c r="E85" s="952">
        <f t="shared" si="6"/>
        <v>7.7729927565949909E-3</v>
      </c>
      <c r="F85" s="256">
        <f t="shared" ref="F85:F104" si="8">10*LOG10(E85)</f>
        <v>-21.094117369995548</v>
      </c>
      <c r="G85" s="252" t="s">
        <v>860</v>
      </c>
      <c r="H85" s="252"/>
      <c r="I85" s="255">
        <f>(S7*B85)/79.76</f>
        <v>0.76109086065785436</v>
      </c>
      <c r="J85" s="86"/>
      <c r="K85" s="87"/>
      <c r="L85" s="3"/>
      <c r="M85" s="3"/>
      <c r="N85" s="3"/>
      <c r="O85" s="3"/>
      <c r="P85" s="3"/>
      <c r="Q85" s="566"/>
      <c r="R85" s="922"/>
      <c r="S85" s="922"/>
      <c r="T85" s="922"/>
      <c r="U85" s="928"/>
    </row>
    <row r="86" spans="1:21">
      <c r="A86" s="952"/>
      <c r="B86" s="952">
        <v>650</v>
      </c>
      <c r="C86" s="952">
        <f t="shared" si="5"/>
        <v>2.0899934238094428E-6</v>
      </c>
      <c r="D86" s="952">
        <f t="shared" si="7"/>
        <v>2.0899934238094429</v>
      </c>
      <c r="E86" s="952">
        <f t="shared" si="6"/>
        <v>6.8610441288299451E-3</v>
      </c>
      <c r="F86" s="256">
        <f t="shared" si="8"/>
        <v>-21.636097873714895</v>
      </c>
      <c r="G86" s="252" t="s">
        <v>860</v>
      </c>
      <c r="H86" s="252"/>
      <c r="I86" s="255">
        <f>(S7*B86)/79.76</f>
        <v>0.77298290535563341</v>
      </c>
      <c r="J86" s="86"/>
      <c r="K86" s="87"/>
      <c r="L86" s="3"/>
      <c r="M86" s="3"/>
      <c r="N86" s="3"/>
      <c r="O86" s="3"/>
      <c r="P86" s="3"/>
      <c r="Q86" s="566"/>
      <c r="R86" s="922"/>
      <c r="S86" s="922"/>
      <c r="T86" s="922"/>
      <c r="U86" s="928"/>
    </row>
    <row r="87" spans="1:21">
      <c r="A87" s="952"/>
      <c r="B87" s="952">
        <v>670</v>
      </c>
      <c r="C87" s="952">
        <f t="shared" si="5"/>
        <v>1.3072490283659268E-6</v>
      </c>
      <c r="D87" s="952">
        <f t="shared" si="7"/>
        <v>1.3072490283659268</v>
      </c>
      <c r="E87" s="952">
        <f t="shared" si="6"/>
        <v>4.2914456901212046E-3</v>
      </c>
      <c r="F87" s="256">
        <f t="shared" si="8"/>
        <v>-23.673963792662658</v>
      </c>
      <c r="G87" s="252" t="s">
        <v>860</v>
      </c>
      <c r="H87" s="252"/>
      <c r="I87" s="255">
        <f>(S7*B87)/79.76</f>
        <v>0.79676699475119128</v>
      </c>
      <c r="J87" s="86"/>
      <c r="K87" s="87"/>
      <c r="L87" s="3"/>
      <c r="M87" s="3"/>
      <c r="N87" s="3"/>
      <c r="O87" s="3"/>
      <c r="P87" s="3"/>
      <c r="Q87" s="566"/>
      <c r="R87" s="922"/>
      <c r="S87" s="922"/>
      <c r="T87" s="922"/>
      <c r="U87" s="928"/>
    </row>
    <row r="88" spans="1:21">
      <c r="A88" s="952"/>
      <c r="B88" s="952">
        <v>680</v>
      </c>
      <c r="C88" s="952">
        <f t="shared" si="5"/>
        <v>8.9354652068887208E-7</v>
      </c>
      <c r="D88" s="952">
        <f t="shared" si="7"/>
        <v>0.89354652068887208</v>
      </c>
      <c r="E88" s="952">
        <f t="shared" si="6"/>
        <v>2.93334038268619E-3</v>
      </c>
      <c r="F88" s="256">
        <f t="shared" si="8"/>
        <v>-25.326375388792549</v>
      </c>
      <c r="G88" s="252" t="s">
        <v>860</v>
      </c>
      <c r="H88" s="252"/>
      <c r="I88" s="255">
        <f>(S7*B88)/79.76</f>
        <v>0.80865903944897033</v>
      </c>
      <c r="J88" s="86"/>
      <c r="K88" s="87"/>
      <c r="L88" s="3"/>
      <c r="M88" s="3"/>
      <c r="N88" s="3"/>
      <c r="O88" s="3"/>
      <c r="P88" s="3"/>
      <c r="Q88" s="566"/>
      <c r="R88" s="922"/>
      <c r="S88" s="922"/>
      <c r="T88" s="922"/>
      <c r="U88" s="928"/>
    </row>
    <row r="89" spans="1:21">
      <c r="A89" s="952"/>
      <c r="B89" s="952">
        <v>690</v>
      </c>
      <c r="C89" s="952">
        <f t="shared" ref="C89:C104" si="9">((SIN(RADIANS(B89)))^2)/B89^2</f>
        <v>5.2509976895610143E-7</v>
      </c>
      <c r="D89" s="952">
        <f t="shared" si="7"/>
        <v>0.52509976895610144</v>
      </c>
      <c r="E89" s="952">
        <f t="shared" si="6"/>
        <v>1.7238009678898891E-3</v>
      </c>
      <c r="F89" s="256">
        <f t="shared" si="8"/>
        <v>-27.635128797741245</v>
      </c>
      <c r="G89" s="252" t="s">
        <v>860</v>
      </c>
      <c r="H89" s="252"/>
      <c r="I89" s="255">
        <f>(S7*B89)/79.76</f>
        <v>0.82055108414674915</v>
      </c>
      <c r="J89" s="86"/>
      <c r="K89" s="87"/>
      <c r="L89" s="3"/>
      <c r="M89" s="3"/>
      <c r="N89" s="3"/>
      <c r="O89" s="3"/>
      <c r="P89" s="3"/>
      <c r="Q89" s="566"/>
      <c r="R89" s="922"/>
      <c r="S89" s="922"/>
      <c r="T89" s="922"/>
      <c r="U89" s="928"/>
    </row>
    <row r="90" spans="1:21">
      <c r="A90" s="952"/>
      <c r="B90" s="952">
        <v>700</v>
      </c>
      <c r="C90" s="952">
        <f t="shared" si="9"/>
        <v>2.3873016008267562E-7</v>
      </c>
      <c r="D90" s="952">
        <f t="shared" si="7"/>
        <v>0.23873016008267561</v>
      </c>
      <c r="E90" s="952">
        <f t="shared" si="6"/>
        <v>7.8370493636501274E-4</v>
      </c>
      <c r="F90" s="256">
        <f t="shared" si="8"/>
        <v>-31.058474177091306</v>
      </c>
      <c r="G90" s="252" t="s">
        <v>860</v>
      </c>
      <c r="H90" s="252"/>
      <c r="I90" s="255">
        <f>(S7*B90)/79.76</f>
        <v>0.83244312884452831</v>
      </c>
      <c r="J90" s="86"/>
      <c r="K90" s="87"/>
      <c r="L90" s="3"/>
      <c r="M90" s="3"/>
      <c r="N90" s="3"/>
      <c r="O90" s="3"/>
      <c r="P90" s="3"/>
      <c r="Q90" s="566"/>
      <c r="R90" s="922"/>
      <c r="S90" s="922"/>
      <c r="T90" s="922"/>
      <c r="U90" s="928"/>
    </row>
    <row r="91" spans="1:21">
      <c r="A91" s="952"/>
      <c r="B91" s="952">
        <v>710</v>
      </c>
      <c r="C91" s="952">
        <f t="shared" si="9"/>
        <v>5.981688079160069E-8</v>
      </c>
      <c r="D91" s="952">
        <f t="shared" si="7"/>
        <v>5.9816880791600691E-2</v>
      </c>
      <c r="E91" s="952">
        <f t="shared" si="6"/>
        <v>1.9636724885578006E-4</v>
      </c>
      <c r="F91" s="256">
        <f t="shared" si="8"/>
        <v>-37.069309443865997</v>
      </c>
      <c r="G91" s="252" t="s">
        <v>860</v>
      </c>
      <c r="H91" s="252"/>
      <c r="I91" s="255">
        <f>(S7*B91)/79.76</f>
        <v>0.84433517354230725</v>
      </c>
      <c r="J91" s="86"/>
      <c r="K91" s="87"/>
      <c r="L91" s="3"/>
      <c r="M91" s="3"/>
      <c r="N91" s="3"/>
      <c r="O91" s="3"/>
      <c r="P91" s="3"/>
      <c r="Q91" s="566"/>
      <c r="R91" s="922"/>
      <c r="S91" s="923"/>
      <c r="T91" s="922"/>
      <c r="U91" s="928"/>
    </row>
    <row r="92" spans="1:21">
      <c r="A92" s="952"/>
      <c r="B92" s="952">
        <v>720</v>
      </c>
      <c r="C92" s="952">
        <f t="shared" si="9"/>
        <v>4.6326812856943794E-37</v>
      </c>
      <c r="D92" s="952">
        <f t="shared" si="7"/>
        <v>4.6326812856943792E-31</v>
      </c>
      <c r="E92" s="952">
        <f t="shared" si="6"/>
        <v>1.5208196530120668E-33</v>
      </c>
      <c r="F92" s="257">
        <f t="shared" si="8"/>
        <v>-328.17922283873054</v>
      </c>
      <c r="G92" s="252" t="s">
        <v>860</v>
      </c>
      <c r="H92" s="252"/>
      <c r="I92" s="258">
        <f>(S7*B92)/79.76</f>
        <v>0.8562272182400863</v>
      </c>
      <c r="J92" s="261" t="s">
        <v>50</v>
      </c>
      <c r="K92" s="87"/>
      <c r="L92" s="3"/>
      <c r="M92" s="3"/>
      <c r="N92" s="3"/>
      <c r="O92" s="3"/>
      <c r="P92" s="3"/>
      <c r="Q92" s="566"/>
      <c r="R92" s="922"/>
      <c r="S92" s="922"/>
      <c r="T92" s="922"/>
      <c r="U92" s="928"/>
    </row>
    <row r="93" spans="1:21">
      <c r="A93" s="952"/>
      <c r="B93" s="952">
        <v>730</v>
      </c>
      <c r="C93" s="952">
        <f t="shared" si="9"/>
        <v>5.6584142629096589E-8</v>
      </c>
      <c r="D93" s="952">
        <f t="shared" si="7"/>
        <v>5.6584142629096591E-2</v>
      </c>
      <c r="E93" s="952">
        <f t="shared" si="6"/>
        <v>1.8575479479864446E-4</v>
      </c>
      <c r="F93" s="256">
        <f t="shared" si="8"/>
        <v>-37.310599671893655</v>
      </c>
      <c r="G93" s="252" t="s">
        <v>860</v>
      </c>
      <c r="H93" s="252"/>
      <c r="I93" s="255">
        <f>(S7*B93)/79.76</f>
        <v>0.86811926293786523</v>
      </c>
      <c r="J93" s="86"/>
      <c r="K93" s="87"/>
      <c r="L93" s="3"/>
      <c r="M93" s="3"/>
      <c r="N93" s="3"/>
      <c r="O93" s="3"/>
      <c r="P93" s="3"/>
      <c r="Q93" s="566"/>
      <c r="R93" s="922"/>
      <c r="S93" s="922"/>
      <c r="T93" s="922"/>
      <c r="U93" s="928"/>
    </row>
    <row r="94" spans="1:21">
      <c r="A94" s="952"/>
      <c r="B94" s="952">
        <v>740</v>
      </c>
      <c r="C94" s="952">
        <f t="shared" si="9"/>
        <v>2.1361902564008473E-7</v>
      </c>
      <c r="D94" s="952">
        <f t="shared" si="7"/>
        <v>0.21361902564008473</v>
      </c>
      <c r="E94" s="952">
        <f t="shared" si="6"/>
        <v>7.0126993940623468E-4</v>
      </c>
      <c r="F94" s="256">
        <f t="shared" si="8"/>
        <v>-31.541147771425713</v>
      </c>
      <c r="G94" s="252" t="s">
        <v>860</v>
      </c>
      <c r="H94" s="252"/>
      <c r="I94" s="255">
        <f>(S7*B94)/79.76</f>
        <v>0.88001130763564406</v>
      </c>
      <c r="J94" s="86"/>
      <c r="K94" s="87"/>
      <c r="L94" s="3"/>
      <c r="M94" s="3"/>
      <c r="N94" s="3"/>
      <c r="O94" s="3"/>
      <c r="P94" s="3"/>
      <c r="Q94" s="566"/>
      <c r="R94" s="922"/>
      <c r="S94" s="922"/>
      <c r="T94" s="922"/>
      <c r="U94" s="928"/>
    </row>
    <row r="95" spans="1:21">
      <c r="A95" s="952"/>
      <c r="B95" s="952">
        <v>750</v>
      </c>
      <c r="C95" s="952">
        <f t="shared" si="9"/>
        <v>4.4444444444444274E-7</v>
      </c>
      <c r="D95" s="952">
        <f t="shared" si="7"/>
        <v>0.44444444444444275</v>
      </c>
      <c r="E95" s="952">
        <f t="shared" si="6"/>
        <v>1.4590251392219971E-3</v>
      </c>
      <c r="F95" s="256">
        <f t="shared" si="8"/>
        <v>-28.359372250830155</v>
      </c>
      <c r="G95" s="252" t="s">
        <v>860</v>
      </c>
      <c r="H95" s="252"/>
      <c r="I95" s="255">
        <f>(S7*B95)/79.76</f>
        <v>0.89190335233342322</v>
      </c>
      <c r="J95" s="86"/>
      <c r="K95" s="87"/>
      <c r="L95" s="3"/>
      <c r="M95" s="3"/>
      <c r="N95" s="3"/>
      <c r="O95" s="3"/>
      <c r="P95" s="3"/>
      <c r="Q95" s="566"/>
      <c r="R95" s="922"/>
      <c r="S95" s="922"/>
      <c r="T95" s="922"/>
      <c r="U95" s="928"/>
    </row>
    <row r="96" spans="1:21">
      <c r="A96" s="952"/>
      <c r="B96" s="952">
        <v>760</v>
      </c>
      <c r="C96" s="952">
        <f t="shared" si="9"/>
        <v>7.1533225617474943E-7</v>
      </c>
      <c r="D96" s="952">
        <f t="shared" si="7"/>
        <v>0.71533225617474938</v>
      </c>
      <c r="E96" s="952">
        <f t="shared" si="6"/>
        <v>2.3482974254745441E-3</v>
      </c>
      <c r="F96" s="256">
        <f t="shared" si="8"/>
        <v>-26.292468980283637</v>
      </c>
      <c r="G96" s="252" t="s">
        <v>860</v>
      </c>
      <c r="H96" s="252"/>
      <c r="I96" s="255">
        <f>(S7*B96)/79.76</f>
        <v>0.90379539703120204</v>
      </c>
      <c r="J96" s="86"/>
      <c r="K96" s="87"/>
      <c r="L96" s="3"/>
      <c r="M96" s="3"/>
      <c r="N96" s="3"/>
      <c r="O96" s="3"/>
      <c r="P96" s="3"/>
      <c r="Q96" s="566"/>
      <c r="R96" s="922"/>
      <c r="S96" s="922"/>
      <c r="T96" s="922"/>
      <c r="U96" s="928"/>
    </row>
    <row r="97" spans="1:21">
      <c r="A97" s="952"/>
      <c r="B97" s="952">
        <v>770</v>
      </c>
      <c r="C97" s="952">
        <f t="shared" si="9"/>
        <v>9.8975221594445192E-7</v>
      </c>
      <c r="D97" s="952">
        <f t="shared" si="7"/>
        <v>0.98975221594445195</v>
      </c>
      <c r="E97" s="952">
        <f t="shared" si="6"/>
        <v>3.2491650704931894E-3</v>
      </c>
      <c r="F97" s="256">
        <f t="shared" si="8"/>
        <v>-24.882282242095762</v>
      </c>
      <c r="G97" s="252" t="s">
        <v>860</v>
      </c>
      <c r="H97" s="252"/>
      <c r="I97" s="255">
        <f>(S7*B97)/79.76</f>
        <v>0.91568744172898098</v>
      </c>
      <c r="J97" s="86"/>
      <c r="K97" s="87"/>
      <c r="L97" s="3"/>
      <c r="M97" s="3"/>
      <c r="N97" s="3"/>
      <c r="O97" s="3"/>
      <c r="P97" s="3"/>
      <c r="Q97" s="566"/>
      <c r="R97" s="922"/>
      <c r="S97" s="922"/>
      <c r="T97" s="922"/>
      <c r="U97" s="928"/>
    </row>
    <row r="98" spans="1:21">
      <c r="A98" s="952"/>
      <c r="B98" s="952">
        <v>780</v>
      </c>
      <c r="C98" s="952">
        <f t="shared" si="9"/>
        <v>1.2327416173570021E-6</v>
      </c>
      <c r="D98" s="952">
        <f t="shared" si="7"/>
        <v>1.2327416173570021</v>
      </c>
      <c r="E98" s="952">
        <f t="shared" si="6"/>
        <v>4.0468522722503777E-3</v>
      </c>
      <c r="F98" s="256">
        <f t="shared" si="8"/>
        <v>-23.928826489609122</v>
      </c>
      <c r="G98" s="252" t="s">
        <v>860</v>
      </c>
      <c r="H98" s="252"/>
      <c r="I98" s="255">
        <f>(S7*B98)/79.76</f>
        <v>0.92757948642676014</v>
      </c>
      <c r="J98" s="86"/>
      <c r="K98" s="87"/>
      <c r="L98" s="3"/>
      <c r="M98" s="3"/>
      <c r="N98" s="3"/>
      <c r="O98" s="3"/>
      <c r="P98" s="3"/>
      <c r="Q98" s="566"/>
      <c r="R98" s="922"/>
      <c r="S98" s="922"/>
      <c r="T98" s="922"/>
      <c r="U98" s="928"/>
    </row>
    <row r="99" spans="1:21">
      <c r="A99" s="952"/>
      <c r="B99" s="952">
        <v>790</v>
      </c>
      <c r="C99" s="952">
        <f t="shared" si="9"/>
        <v>1.4148729715742491E-6</v>
      </c>
      <c r="D99" s="952">
        <f t="shared" si="7"/>
        <v>1.414872971574249</v>
      </c>
      <c r="E99" s="952">
        <f t="shared" si="6"/>
        <v>4.6447542772482765E-3</v>
      </c>
      <c r="F99" s="256">
        <f t="shared" si="8"/>
        <v>-23.330372566666618</v>
      </c>
      <c r="G99" s="252" t="s">
        <v>860</v>
      </c>
      <c r="H99" s="252"/>
      <c r="I99" s="255">
        <f>(S7*B99)/79.76</f>
        <v>0.93947153112453896</v>
      </c>
      <c r="J99" s="86"/>
      <c r="K99" s="87"/>
      <c r="L99" s="3"/>
      <c r="M99" s="3"/>
      <c r="N99" s="3"/>
      <c r="O99" s="3"/>
      <c r="P99" s="3"/>
      <c r="Q99" s="566"/>
      <c r="R99" s="922"/>
      <c r="S99" s="922"/>
      <c r="T99" s="922"/>
      <c r="U99" s="928"/>
    </row>
    <row r="100" spans="1:21">
      <c r="A100" s="952"/>
      <c r="B100" s="952">
        <v>800</v>
      </c>
      <c r="C100" s="952">
        <f t="shared" si="9"/>
        <v>1.5153848599889908E-6</v>
      </c>
      <c r="D100" s="952">
        <f t="shared" si="7"/>
        <v>1.5153848599889908</v>
      </c>
      <c r="E100" s="952">
        <f t="shared" si="6"/>
        <v>4.9747153642207926E-3</v>
      </c>
      <c r="F100" s="256">
        <f t="shared" si="8"/>
        <v>-23.032317630156676</v>
      </c>
      <c r="G100" s="252" t="s">
        <v>860</v>
      </c>
      <c r="H100" s="252"/>
      <c r="I100" s="255">
        <f>(S7*B100)/79.76</f>
        <v>0.95136357582231812</v>
      </c>
      <c r="J100" s="86"/>
      <c r="K100" s="87"/>
      <c r="L100" s="3"/>
      <c r="M100" s="3"/>
      <c r="N100" s="3"/>
      <c r="O100" s="3"/>
      <c r="P100" s="3"/>
      <c r="Q100" s="566"/>
      <c r="R100" s="922"/>
      <c r="S100" s="923"/>
      <c r="T100" s="922"/>
      <c r="U100" s="928"/>
    </row>
    <row r="101" spans="1:21">
      <c r="A101" s="952"/>
      <c r="B101" s="952">
        <v>810</v>
      </c>
      <c r="C101" s="952">
        <f t="shared" si="9"/>
        <v>1.5241579027587259E-6</v>
      </c>
      <c r="D101" s="952">
        <f t="shared" si="7"/>
        <v>1.5241579027587258</v>
      </c>
      <c r="E101" s="952">
        <f t="shared" si="6"/>
        <v>5.003515566604947E-3</v>
      </c>
      <c r="F101" s="259">
        <f t="shared" si="8"/>
        <v>-23.007247447289512</v>
      </c>
      <c r="G101" s="252" t="s">
        <v>860</v>
      </c>
      <c r="H101" s="252"/>
      <c r="I101" s="260">
        <f>(S7*B101)/79.76</f>
        <v>0.96325562052009694</v>
      </c>
      <c r="J101" s="261" t="s">
        <v>51</v>
      </c>
      <c r="K101" s="262"/>
      <c r="L101" s="3"/>
      <c r="M101" s="3"/>
      <c r="N101" s="3"/>
      <c r="O101" s="3"/>
      <c r="P101" s="3"/>
      <c r="Q101" s="566"/>
      <c r="R101" s="922"/>
      <c r="S101" s="922"/>
      <c r="T101" s="922"/>
      <c r="U101" s="928"/>
    </row>
    <row r="102" spans="1:21">
      <c r="A102" s="952"/>
      <c r="B102" s="952">
        <v>820</v>
      </c>
      <c r="C102" s="952">
        <f t="shared" si="9"/>
        <v>1.4423651255100455E-6</v>
      </c>
      <c r="D102" s="952">
        <f t="shared" si="7"/>
        <v>1.4423651255100456</v>
      </c>
      <c r="E102" s="952">
        <f t="shared" si="6"/>
        <v>4.7350057006265754E-3</v>
      </c>
      <c r="F102" s="256">
        <f t="shared" si="8"/>
        <v>-23.246794937992135</v>
      </c>
      <c r="G102" s="252" t="s">
        <v>860</v>
      </c>
      <c r="H102" s="252"/>
      <c r="I102" s="255">
        <f>(S7*B102)/79.76</f>
        <v>0.97514766521787588</v>
      </c>
      <c r="J102" s="86"/>
      <c r="K102" s="87"/>
      <c r="L102" s="3"/>
      <c r="M102" s="3"/>
      <c r="N102" s="3"/>
      <c r="O102" s="3"/>
      <c r="P102" s="3"/>
      <c r="Q102" s="566"/>
      <c r="R102" s="922"/>
      <c r="S102" s="922"/>
      <c r="T102" s="922"/>
      <c r="U102" s="928"/>
    </row>
    <row r="103" spans="1:21">
      <c r="A103" s="952"/>
      <c r="B103" s="952">
        <v>830</v>
      </c>
      <c r="C103" s="952">
        <f t="shared" si="9"/>
        <v>1.281785776686732E-6</v>
      </c>
      <c r="D103" s="952">
        <f t="shared" si="7"/>
        <v>1.281785776686732</v>
      </c>
      <c r="E103" s="952">
        <f t="shared" si="6"/>
        <v>4.2078547603870697E-3</v>
      </c>
      <c r="F103" s="256">
        <f t="shared" si="8"/>
        <v>-23.75939258837926</v>
      </c>
      <c r="G103" s="252" t="s">
        <v>860</v>
      </c>
      <c r="H103" s="252"/>
      <c r="I103" s="255">
        <f>(S7*B103)/79.76</f>
        <v>0.98703970991565493</v>
      </c>
      <c r="J103" s="86"/>
      <c r="K103" s="87"/>
      <c r="L103" s="3"/>
      <c r="M103" s="3"/>
      <c r="N103" s="3"/>
      <c r="O103" s="3"/>
      <c r="P103" s="3"/>
      <c r="Q103" s="566"/>
      <c r="R103" s="922"/>
      <c r="S103" s="922"/>
      <c r="T103" s="922"/>
      <c r="U103" s="928"/>
    </row>
    <row r="104" spans="1:21">
      <c r="A104" s="952"/>
      <c r="B104" s="952">
        <v>840</v>
      </c>
      <c r="C104" s="952">
        <f t="shared" si="9"/>
        <v>1.0629251700680265E-6</v>
      </c>
      <c r="D104" s="952">
        <f t="shared" si="7"/>
        <v>1.0629251700680264</v>
      </c>
      <c r="E104" s="952">
        <f t="shared" si="6"/>
        <v>3.4893777245424145E-3</v>
      </c>
      <c r="F104" s="256">
        <f t="shared" si="8"/>
        <v>-24.572520157037154</v>
      </c>
      <c r="G104" s="252" t="s">
        <v>860</v>
      </c>
      <c r="H104" s="252"/>
      <c r="I104" s="255">
        <f>(S7*B104)/79.76</f>
        <v>0.99893175461343386</v>
      </c>
      <c r="J104" s="86"/>
      <c r="K104" s="87"/>
      <c r="L104" s="3"/>
      <c r="M104" s="3"/>
      <c r="N104" s="3"/>
      <c r="O104" s="3"/>
      <c r="P104" s="3"/>
      <c r="Q104" s="566"/>
      <c r="R104" s="922"/>
      <c r="S104" s="922"/>
      <c r="T104" s="922"/>
      <c r="U104" s="928"/>
    </row>
    <row r="105" spans="1:21">
      <c r="A105" s="952"/>
      <c r="B105" s="952"/>
      <c r="C105" s="952"/>
      <c r="D105" s="952"/>
      <c r="E105" s="952"/>
      <c r="F105" s="85"/>
      <c r="G105" s="86"/>
      <c r="H105" s="86"/>
      <c r="I105" s="86"/>
      <c r="J105" s="86"/>
      <c r="K105" s="87"/>
      <c r="L105" s="3"/>
      <c r="M105" s="3"/>
      <c r="N105" s="3"/>
      <c r="O105" s="3"/>
      <c r="P105" s="3"/>
      <c r="Q105" s="3"/>
      <c r="R105" s="922"/>
      <c r="S105" s="922"/>
      <c r="T105" s="922"/>
      <c r="U105" s="922"/>
    </row>
    <row r="106" spans="1:21">
      <c r="A106" s="952"/>
      <c r="B106" s="952"/>
      <c r="C106" s="952"/>
      <c r="D106" s="952"/>
      <c r="E106" s="952"/>
      <c r="F106" s="88"/>
      <c r="G106" s="89"/>
      <c r="H106" s="89"/>
      <c r="I106" s="89"/>
      <c r="J106" s="89"/>
      <c r="K106" s="90"/>
      <c r="L106" s="3"/>
      <c r="M106" s="3"/>
      <c r="N106" s="3"/>
      <c r="O106" s="3"/>
      <c r="P106" s="3"/>
      <c r="Q106" s="3"/>
      <c r="R106" s="922"/>
      <c r="S106" s="922"/>
      <c r="T106" s="922"/>
      <c r="U106" s="922"/>
    </row>
    <row r="107" spans="1:21">
      <c r="A107" s="543"/>
      <c r="B107" s="543"/>
      <c r="C107" s="543"/>
      <c r="D107" s="543"/>
      <c r="E107" s="543"/>
      <c r="F107" s="3"/>
      <c r="G107" s="3"/>
      <c r="H107" s="3"/>
      <c r="I107" s="3"/>
      <c r="J107" s="3"/>
      <c r="K107" s="3"/>
      <c r="L107" s="3"/>
      <c r="M107" s="3"/>
      <c r="N107" s="3"/>
      <c r="O107" s="3"/>
      <c r="P107" s="3"/>
      <c r="Q107" s="3"/>
      <c r="R107" s="922"/>
      <c r="S107" s="922"/>
      <c r="T107" s="922"/>
      <c r="U107" s="922"/>
    </row>
    <row r="108" spans="1:21">
      <c r="A108" s="543"/>
      <c r="B108" s="543"/>
      <c r="C108" s="543"/>
      <c r="D108" s="543"/>
      <c r="E108" s="543"/>
      <c r="F108" s="3"/>
      <c r="G108" s="3"/>
      <c r="H108" s="3"/>
      <c r="I108" s="3"/>
      <c r="J108" s="3"/>
      <c r="K108" s="3"/>
      <c r="L108" s="3"/>
      <c r="M108" s="3"/>
      <c r="N108" s="3"/>
      <c r="O108" s="3"/>
      <c r="P108" s="3"/>
      <c r="Q108" s="3"/>
      <c r="R108" s="922"/>
      <c r="S108" s="922"/>
      <c r="T108" s="922"/>
      <c r="U108" s="922"/>
    </row>
    <row r="109" spans="1:21">
      <c r="A109" s="543"/>
      <c r="B109" s="543"/>
      <c r="C109" s="543"/>
      <c r="D109" s="543"/>
      <c r="E109" s="543"/>
      <c r="F109" s="3"/>
      <c r="G109" s="3"/>
      <c r="H109" s="3"/>
      <c r="I109" s="3"/>
      <c r="J109" s="3"/>
      <c r="K109" s="3"/>
      <c r="L109" s="3"/>
      <c r="M109" s="3"/>
      <c r="N109" s="3"/>
      <c r="O109" s="3"/>
      <c r="P109" s="3"/>
      <c r="Q109" s="3"/>
      <c r="R109" s="922"/>
      <c r="S109" s="922"/>
      <c r="T109" s="922"/>
      <c r="U109" s="922"/>
    </row>
    <row r="110" spans="1:21">
      <c r="A110" s="543"/>
      <c r="B110" s="543"/>
      <c r="C110" s="543"/>
      <c r="D110" s="543"/>
      <c r="E110" s="543"/>
      <c r="F110" s="3"/>
      <c r="G110" s="3"/>
      <c r="H110" s="3"/>
      <c r="I110" s="3"/>
      <c r="J110" s="3"/>
      <c r="K110" s="3"/>
      <c r="L110" s="3"/>
      <c r="M110" s="3"/>
      <c r="N110" s="3"/>
      <c r="O110" s="3"/>
      <c r="P110" s="3"/>
      <c r="Q110" s="3"/>
      <c r="R110" s="922"/>
      <c r="S110" s="922"/>
      <c r="T110" s="922"/>
      <c r="U110" s="922"/>
    </row>
    <row r="111" spans="1:21">
      <c r="A111" s="543"/>
      <c r="B111" s="543"/>
      <c r="C111" s="543"/>
      <c r="D111" s="543"/>
      <c r="E111" s="543"/>
      <c r="F111" s="3"/>
      <c r="G111" s="3"/>
      <c r="H111" s="3"/>
      <c r="I111" s="3"/>
      <c r="J111" s="3"/>
      <c r="K111" s="3"/>
      <c r="L111" s="3"/>
      <c r="M111" s="3"/>
      <c r="N111" s="3"/>
      <c r="O111" s="3"/>
      <c r="P111" s="3"/>
      <c r="Q111" s="3"/>
      <c r="R111" s="922"/>
      <c r="S111" s="922"/>
      <c r="T111" s="922"/>
      <c r="U111" s="922"/>
    </row>
    <row r="112" spans="1:21">
      <c r="A112" s="3"/>
      <c r="B112" s="3"/>
      <c r="C112" s="3"/>
      <c r="D112" s="3"/>
      <c r="E112" s="3"/>
      <c r="F112" s="3"/>
      <c r="G112" s="3"/>
      <c r="H112" s="3"/>
      <c r="I112" s="3"/>
      <c r="J112" s="3"/>
      <c r="K112" s="3"/>
      <c r="L112" s="3"/>
      <c r="M112" s="3"/>
      <c r="N112" s="3"/>
      <c r="O112" s="3"/>
      <c r="P112" s="3"/>
      <c r="Q112" s="3"/>
      <c r="R112" s="922"/>
      <c r="S112" s="922"/>
      <c r="T112" s="922"/>
      <c r="U112" s="922"/>
    </row>
    <row r="113" spans="1:21">
      <c r="A113" s="3"/>
      <c r="B113" s="3"/>
      <c r="C113" s="3"/>
      <c r="D113" s="3"/>
      <c r="E113" s="3"/>
      <c r="F113" s="3"/>
      <c r="G113" s="3"/>
      <c r="H113" s="3"/>
      <c r="I113" s="3"/>
      <c r="J113" s="3"/>
      <c r="K113" s="3"/>
      <c r="L113" s="3"/>
      <c r="M113" s="3"/>
      <c r="N113" s="3"/>
      <c r="O113" s="3"/>
      <c r="P113" s="3"/>
      <c r="Q113" s="3"/>
      <c r="R113" s="922"/>
      <c r="S113" s="922"/>
      <c r="T113" s="922"/>
      <c r="U113" s="922"/>
    </row>
    <row r="114" spans="1:21">
      <c r="A114" s="3"/>
      <c r="B114" s="3"/>
      <c r="C114" s="3"/>
      <c r="D114" s="3"/>
      <c r="E114" s="3"/>
      <c r="F114" s="3"/>
      <c r="G114" s="3"/>
      <c r="H114" s="3"/>
      <c r="I114" s="3"/>
      <c r="J114" s="3"/>
      <c r="K114" s="3"/>
      <c r="L114" s="3"/>
      <c r="M114" s="3"/>
      <c r="N114" s="3"/>
      <c r="O114" s="3"/>
      <c r="P114" s="3"/>
      <c r="Q114" s="3"/>
      <c r="R114" s="922"/>
      <c r="S114" s="922"/>
      <c r="T114" s="922"/>
      <c r="U114" s="922"/>
    </row>
    <row r="115" spans="1:21">
      <c r="A115" s="3"/>
      <c r="B115" s="3"/>
      <c r="C115" s="3"/>
      <c r="D115" s="3"/>
      <c r="E115" s="3"/>
      <c r="F115" s="3"/>
      <c r="G115" s="3"/>
      <c r="H115" s="3"/>
      <c r="I115" s="3"/>
      <c r="J115" s="3"/>
      <c r="K115" s="3"/>
      <c r="L115" s="3"/>
      <c r="M115" s="3"/>
      <c r="N115" s="3"/>
      <c r="O115" s="3"/>
      <c r="P115" s="3"/>
      <c r="Q115" s="3"/>
      <c r="R115" s="922"/>
      <c r="S115" s="922"/>
      <c r="T115" s="922"/>
      <c r="U115" s="922"/>
    </row>
    <row r="116" spans="1:21">
      <c r="A116" s="3"/>
      <c r="B116" s="3"/>
      <c r="C116" s="3"/>
      <c r="D116" s="3"/>
      <c r="E116" s="3"/>
      <c r="F116" s="3"/>
      <c r="G116" s="3"/>
      <c r="H116" s="3"/>
      <c r="I116" s="3"/>
      <c r="J116" s="3"/>
      <c r="K116" s="3"/>
      <c r="L116" s="3"/>
      <c r="M116" s="3"/>
      <c r="N116" s="3"/>
      <c r="O116" s="3"/>
      <c r="P116" s="3"/>
      <c r="Q116" s="3"/>
      <c r="R116" s="922"/>
      <c r="S116" s="922"/>
      <c r="T116" s="922"/>
      <c r="U116" s="922"/>
    </row>
    <row r="117" spans="1:21">
      <c r="A117" s="3"/>
      <c r="B117" s="3"/>
      <c r="C117" s="3"/>
      <c r="D117" s="3"/>
      <c r="E117" s="3"/>
      <c r="F117" s="3"/>
      <c r="G117" s="3"/>
      <c r="H117" s="3"/>
      <c r="I117" s="3"/>
      <c r="J117" s="3"/>
      <c r="K117" s="3"/>
      <c r="L117" s="3"/>
      <c r="M117" s="3"/>
      <c r="N117" s="3"/>
      <c r="O117" s="3"/>
      <c r="P117" s="3"/>
      <c r="Q117" s="3"/>
      <c r="R117" s="922"/>
      <c r="S117" s="922"/>
      <c r="T117" s="922"/>
      <c r="U117" s="922"/>
    </row>
    <row r="118" spans="1:21">
      <c r="A118" s="3"/>
      <c r="B118" s="3"/>
      <c r="C118" s="3"/>
      <c r="D118" s="3"/>
      <c r="E118" s="3"/>
      <c r="F118" s="3"/>
      <c r="G118" s="3"/>
      <c r="H118" s="3"/>
      <c r="I118" s="3"/>
      <c r="J118" s="3"/>
      <c r="K118" s="3"/>
      <c r="L118" s="3"/>
      <c r="M118" s="3"/>
      <c r="N118" s="3"/>
      <c r="O118" s="3"/>
      <c r="P118" s="3"/>
      <c r="Q118" s="3"/>
      <c r="R118" s="922"/>
      <c r="S118" s="922"/>
      <c r="T118" s="922"/>
      <c r="U118" s="922"/>
    </row>
    <row r="119" spans="1:21">
      <c r="A119" s="3"/>
      <c r="B119" s="3"/>
      <c r="C119" s="3"/>
      <c r="D119" s="3"/>
      <c r="E119" s="3"/>
      <c r="F119" s="3"/>
      <c r="G119" s="3"/>
      <c r="H119" s="3"/>
      <c r="I119" s="3"/>
      <c r="J119" s="3"/>
      <c r="K119" s="3"/>
      <c r="L119" s="3"/>
      <c r="M119" s="3"/>
      <c r="N119" s="3"/>
      <c r="O119" s="3"/>
      <c r="P119" s="3"/>
      <c r="Q119" s="3"/>
      <c r="R119" s="922"/>
      <c r="S119" s="922"/>
      <c r="T119" s="922"/>
      <c r="U119" s="922"/>
    </row>
    <row r="120" spans="1:21">
      <c r="A120" s="3"/>
      <c r="B120" s="3"/>
      <c r="C120" s="3"/>
      <c r="D120" s="3"/>
      <c r="E120" s="3"/>
      <c r="F120" s="3"/>
      <c r="G120" s="3"/>
      <c r="H120" s="3"/>
      <c r="I120" s="3"/>
      <c r="J120" s="3"/>
      <c r="K120" s="3"/>
      <c r="L120" s="3"/>
      <c r="M120" s="3"/>
      <c r="N120" s="3"/>
      <c r="O120" s="3"/>
      <c r="P120" s="3"/>
      <c r="Q120" s="3"/>
      <c r="R120" s="922"/>
      <c r="S120" s="922"/>
      <c r="T120" s="922"/>
      <c r="U120" s="922"/>
    </row>
    <row r="121" spans="1:21">
      <c r="A121" s="3"/>
      <c r="B121" s="3"/>
      <c r="C121" s="3"/>
      <c r="D121" s="3"/>
      <c r="E121" s="3"/>
      <c r="F121" s="3"/>
      <c r="G121" s="3"/>
      <c r="H121" s="3"/>
      <c r="I121" s="3"/>
      <c r="J121" s="3"/>
      <c r="K121" s="3"/>
      <c r="L121" s="3"/>
      <c r="M121" s="3"/>
      <c r="N121" s="3"/>
      <c r="O121" s="3"/>
      <c r="P121" s="3"/>
      <c r="Q121" s="3"/>
      <c r="R121" s="922"/>
      <c r="S121" s="922"/>
      <c r="T121" s="922"/>
      <c r="U121" s="922"/>
    </row>
    <row r="122" spans="1:21">
      <c r="A122" s="3"/>
      <c r="B122" s="3"/>
      <c r="C122" s="3"/>
      <c r="D122" s="3"/>
      <c r="E122" s="3"/>
      <c r="F122" s="3"/>
      <c r="G122" s="3"/>
      <c r="H122" s="3"/>
      <c r="I122" s="3"/>
      <c r="J122" s="3"/>
      <c r="K122" s="3"/>
      <c r="L122" s="3"/>
      <c r="M122" s="3"/>
      <c r="N122" s="3"/>
      <c r="O122" s="3"/>
      <c r="P122" s="3"/>
      <c r="Q122" s="3"/>
      <c r="R122" s="922"/>
      <c r="S122" s="922"/>
      <c r="T122" s="922"/>
      <c r="U122" s="922"/>
    </row>
    <row r="123" spans="1:21">
      <c r="A123" s="3"/>
      <c r="B123" s="3"/>
      <c r="C123" s="3"/>
      <c r="D123" s="3"/>
      <c r="E123" s="3"/>
      <c r="F123" s="3"/>
      <c r="G123" s="3"/>
      <c r="H123" s="3"/>
      <c r="I123" s="3"/>
      <c r="J123" s="3"/>
      <c r="K123" s="3"/>
      <c r="L123" s="3"/>
      <c r="M123" s="3"/>
      <c r="N123" s="3"/>
      <c r="O123" s="3"/>
      <c r="P123" s="3"/>
      <c r="Q123" s="3"/>
      <c r="R123" s="922"/>
      <c r="S123" s="922"/>
      <c r="T123" s="922"/>
      <c r="U123" s="922"/>
    </row>
    <row r="124" spans="1:21">
      <c r="A124" s="3"/>
      <c r="B124" s="3"/>
      <c r="C124" s="3"/>
      <c r="D124" s="3"/>
      <c r="E124" s="3"/>
      <c r="F124" s="3"/>
      <c r="G124" s="3"/>
      <c r="H124" s="3"/>
      <c r="I124" s="3"/>
      <c r="J124" s="3"/>
      <c r="K124" s="3"/>
      <c r="L124" s="3"/>
      <c r="M124" s="3"/>
      <c r="N124" s="3"/>
      <c r="O124" s="3"/>
      <c r="P124" s="3"/>
      <c r="Q124" s="3"/>
      <c r="R124" s="922"/>
      <c r="S124" s="922"/>
      <c r="T124" s="922"/>
      <c r="U124" s="922"/>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5546875" defaultRowHeight="12.7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46" zoomScale="150" zoomScaleNormal="150" workbookViewId="0">
      <selection activeCell="H64" sqref="H64"/>
    </sheetView>
  </sheetViews>
  <sheetFormatPr defaultColWidth="8.85546875" defaultRowHeight="12.75"/>
  <cols>
    <col min="3" max="3" width="9.5703125" customWidth="1"/>
    <col min="11" max="11" width="12.85546875" customWidth="1"/>
    <col min="12" max="12" width="10.42578125" customWidth="1"/>
    <col min="13" max="13" width="13.42578125" customWidth="1"/>
  </cols>
  <sheetData>
    <row r="1" spans="1:19" ht="18.75" thickBot="1">
      <c r="A1" s="125" t="s">
        <v>661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51" t="s">
        <v>278</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c r="A7" s="3"/>
      <c r="B7" s="248" t="s">
        <v>541</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c r="A10" s="3"/>
      <c r="B10" s="3"/>
      <c r="C10" s="4" t="s">
        <v>542</v>
      </c>
      <c r="D10" s="3"/>
      <c r="E10" s="3"/>
      <c r="F10" s="3"/>
      <c r="G10" s="599" t="s">
        <v>545</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c r="A13" s="3"/>
      <c r="B13" s="3"/>
      <c r="C13" s="4" t="s">
        <v>544</v>
      </c>
      <c r="D13" s="3"/>
      <c r="E13" s="3"/>
      <c r="F13" s="3"/>
      <c r="G13" s="599" t="s">
        <v>543</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c r="A16" s="3"/>
      <c r="B16" s="3"/>
      <c r="C16" s="4" t="s">
        <v>546</v>
      </c>
      <c r="D16" s="3"/>
      <c r="E16" s="3"/>
      <c r="F16" s="3"/>
      <c r="G16" s="3"/>
      <c r="H16" s="3"/>
      <c r="I16" s="3"/>
      <c r="J16" s="3"/>
      <c r="K16" s="3"/>
      <c r="L16" s="3"/>
      <c r="M16" s="3"/>
      <c r="N16" s="3"/>
      <c r="O16" s="3"/>
      <c r="P16" s="3"/>
      <c r="Q16" s="3"/>
      <c r="R16" s="3"/>
      <c r="S16" s="3"/>
    </row>
    <row r="17" spans="1:19">
      <c r="A17" s="3"/>
      <c r="B17" s="3"/>
      <c r="C17" s="3"/>
      <c r="D17" s="3"/>
      <c r="E17" s="3"/>
      <c r="F17" s="3"/>
      <c r="G17" s="599" t="s">
        <v>547</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99" t="s">
        <v>548</v>
      </c>
      <c r="H19" s="3"/>
      <c r="I19" s="3"/>
      <c r="J19" s="3"/>
      <c r="K19" s="3"/>
      <c r="L19" s="3"/>
      <c r="M19" s="3"/>
      <c r="N19" s="3"/>
      <c r="O19" s="3"/>
      <c r="P19" s="3"/>
      <c r="Q19" s="3"/>
      <c r="R19" s="3"/>
      <c r="S19" s="3"/>
    </row>
    <row r="20" spans="1:19">
      <c r="A20" s="3"/>
      <c r="B20" s="3"/>
      <c r="C20" s="3"/>
      <c r="D20" s="3"/>
      <c r="E20" s="3"/>
      <c r="F20" s="3"/>
      <c r="G20" s="599"/>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c r="A22" s="3"/>
      <c r="B22" s="3"/>
      <c r="C22" s="4" t="s">
        <v>549</v>
      </c>
      <c r="D22" s="3"/>
      <c r="E22" s="3"/>
      <c r="F22" s="3"/>
      <c r="G22" s="599" t="s">
        <v>660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c r="A24" s="3"/>
      <c r="B24" s="3"/>
      <c r="C24" s="4" t="s">
        <v>658</v>
      </c>
      <c r="D24" s="3"/>
      <c r="E24" s="3"/>
      <c r="F24" s="3"/>
      <c r="G24" s="599" t="s">
        <v>659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c r="A28" s="3"/>
      <c r="B28" s="248" t="s">
        <v>550</v>
      </c>
      <c r="C28" s="249"/>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5" thickBot="1">
      <c r="A30" s="3"/>
      <c r="B30" s="3"/>
      <c r="C30" s="3"/>
      <c r="D30" s="3"/>
      <c r="E30" s="3"/>
      <c r="F30" s="3"/>
      <c r="G30" s="3"/>
      <c r="H30" s="3"/>
      <c r="I30" s="3"/>
      <c r="J30" s="3"/>
      <c r="K30" s="3"/>
      <c r="L30" s="3"/>
      <c r="M30" s="3"/>
      <c r="N30" s="3"/>
      <c r="O30" s="3"/>
      <c r="P30" s="3"/>
      <c r="Q30" s="3"/>
      <c r="R30" s="3"/>
      <c r="S30" s="3"/>
    </row>
    <row r="31" spans="1:19">
      <c r="A31" s="3"/>
      <c r="B31" s="598" t="s">
        <v>572</v>
      </c>
      <c r="C31" s="575"/>
      <c r="D31" s="575"/>
      <c r="E31" s="575"/>
      <c r="F31" s="575"/>
      <c r="G31" s="575"/>
      <c r="H31" s="575"/>
      <c r="I31" s="575"/>
      <c r="J31" s="575"/>
      <c r="K31" s="575"/>
      <c r="L31" s="575"/>
      <c r="M31" s="576"/>
      <c r="N31" s="3"/>
      <c r="O31" s="3"/>
      <c r="P31" s="3"/>
      <c r="Q31" s="3"/>
      <c r="R31" s="3"/>
      <c r="S31" s="3"/>
    </row>
    <row r="32" spans="1:19">
      <c r="A32" s="3"/>
      <c r="B32" s="577"/>
      <c r="C32" s="141" t="s">
        <v>217</v>
      </c>
      <c r="D32" s="141"/>
      <c r="E32" s="141"/>
      <c r="F32" s="141"/>
      <c r="G32" s="141"/>
      <c r="H32" s="141"/>
      <c r="I32" s="141"/>
      <c r="J32" s="141"/>
      <c r="K32" s="141"/>
      <c r="L32" s="141"/>
      <c r="M32" s="143"/>
      <c r="N32" s="3"/>
      <c r="O32" s="3"/>
      <c r="P32" s="3"/>
      <c r="Q32" s="3"/>
      <c r="R32" s="3"/>
      <c r="S32" s="3"/>
    </row>
    <row r="33" spans="1:19">
      <c r="A33" s="3"/>
      <c r="B33" s="577"/>
      <c r="C33" s="141" t="s">
        <v>560</v>
      </c>
      <c r="D33" s="141"/>
      <c r="E33" s="141"/>
      <c r="F33" s="141"/>
      <c r="G33" s="141"/>
      <c r="H33" s="141"/>
      <c r="I33" s="141"/>
      <c r="J33" s="141"/>
      <c r="K33" s="141"/>
      <c r="L33" s="141"/>
      <c r="M33" s="143"/>
      <c r="N33" s="3"/>
      <c r="O33" s="3"/>
      <c r="P33" s="3"/>
      <c r="Q33" s="3"/>
      <c r="R33" s="3"/>
      <c r="S33" s="3"/>
    </row>
    <row r="34" spans="1:19" ht="13.5" thickBot="1">
      <c r="A34" s="3"/>
      <c r="B34" s="578"/>
      <c r="C34" s="146" t="s">
        <v>631</v>
      </c>
      <c r="D34" s="146"/>
      <c r="E34" s="146"/>
      <c r="F34" s="146"/>
      <c r="G34" s="146"/>
      <c r="H34" s="146"/>
      <c r="I34" s="146"/>
      <c r="J34" s="146"/>
      <c r="K34" s="146"/>
      <c r="L34" s="146"/>
      <c r="M34" s="150"/>
      <c r="N34" s="3"/>
      <c r="O34" s="3"/>
      <c r="P34" s="3"/>
      <c r="Q34" s="3"/>
      <c r="R34" s="3"/>
      <c r="S34" s="3"/>
    </row>
    <row r="35" spans="1:19">
      <c r="A35" s="3"/>
      <c r="B35" s="593" t="s">
        <v>557</v>
      </c>
      <c r="C35" s="594" t="s">
        <v>556</v>
      </c>
      <c r="D35" s="595"/>
      <c r="E35" s="596" t="s">
        <v>551</v>
      </c>
      <c r="F35" s="595"/>
      <c r="G35" s="595"/>
      <c r="H35" s="594" t="s">
        <v>552</v>
      </c>
      <c r="I35" s="597"/>
      <c r="J35" s="310"/>
      <c r="K35" s="298"/>
      <c r="L35" s="298"/>
      <c r="M35" s="312"/>
      <c r="N35" s="3"/>
      <c r="O35" s="3"/>
      <c r="P35" s="3"/>
      <c r="Q35" s="3"/>
      <c r="R35" s="3"/>
      <c r="S35" s="3"/>
    </row>
    <row r="36" spans="1:19">
      <c r="A36" s="3"/>
      <c r="B36" s="587">
        <v>1</v>
      </c>
      <c r="C36" s="579">
        <v>10</v>
      </c>
      <c r="D36" s="579" t="s">
        <v>857</v>
      </c>
      <c r="E36" s="581">
        <v>12</v>
      </c>
      <c r="F36" s="579" t="s">
        <v>553</v>
      </c>
      <c r="G36" s="579"/>
      <c r="H36" s="582">
        <f>E36/100</f>
        <v>0.12</v>
      </c>
      <c r="I36" s="580" t="s">
        <v>555</v>
      </c>
      <c r="J36" s="310"/>
      <c r="K36" s="298" t="s">
        <v>818</v>
      </c>
      <c r="L36" s="298"/>
      <c r="M36" s="312"/>
      <c r="N36" s="3"/>
      <c r="O36" s="3"/>
      <c r="P36" s="3"/>
      <c r="Q36" s="3"/>
      <c r="R36" s="3"/>
      <c r="S36" s="3"/>
    </row>
    <row r="37" spans="1:19">
      <c r="A37" s="3"/>
      <c r="B37" s="587">
        <v>2</v>
      </c>
      <c r="C37" s="589">
        <v>30</v>
      </c>
      <c r="D37" s="589" t="s">
        <v>857</v>
      </c>
      <c r="E37" s="581">
        <v>17</v>
      </c>
      <c r="F37" s="579" t="s">
        <v>553</v>
      </c>
      <c r="G37" s="579" t="s">
        <v>818</v>
      </c>
      <c r="H37" s="582">
        <f t="shared" ref="H37:H47" si="0">E37/100</f>
        <v>0.17</v>
      </c>
      <c r="I37" s="580" t="s">
        <v>555</v>
      </c>
      <c r="J37" s="310"/>
      <c r="K37" s="298" t="s">
        <v>557</v>
      </c>
      <c r="L37" s="265">
        <v>8</v>
      </c>
      <c r="M37" s="312"/>
      <c r="N37" s="3"/>
      <c r="O37" s="3"/>
      <c r="P37" s="3"/>
      <c r="Q37" s="3"/>
      <c r="R37" s="3"/>
      <c r="S37" s="3"/>
    </row>
    <row r="38" spans="1:19">
      <c r="A38" s="3"/>
      <c r="B38" s="587">
        <v>3</v>
      </c>
      <c r="C38" s="579">
        <v>50</v>
      </c>
      <c r="D38" s="579" t="s">
        <v>857</v>
      </c>
      <c r="E38" s="581" t="s">
        <v>554</v>
      </c>
      <c r="F38" s="579" t="s">
        <v>553</v>
      </c>
      <c r="G38" s="579"/>
      <c r="H38" s="582" t="s">
        <v>554</v>
      </c>
      <c r="I38" s="580" t="s">
        <v>555</v>
      </c>
      <c r="J38" s="310"/>
      <c r="K38" s="298"/>
      <c r="L38" s="298"/>
      <c r="M38" s="312"/>
      <c r="N38" s="3"/>
      <c r="O38" s="3"/>
      <c r="P38" s="3"/>
      <c r="Q38" s="3"/>
      <c r="R38" s="3"/>
      <c r="S38" s="3"/>
    </row>
    <row r="39" spans="1:19">
      <c r="A39" s="3"/>
      <c r="B39" s="587">
        <v>4</v>
      </c>
      <c r="C39" s="579">
        <v>100</v>
      </c>
      <c r="D39" s="579" t="s">
        <v>857</v>
      </c>
      <c r="E39" s="581">
        <v>28</v>
      </c>
      <c r="F39" s="579" t="s">
        <v>553</v>
      </c>
      <c r="G39" s="579"/>
      <c r="H39" s="582">
        <f t="shared" si="0"/>
        <v>0.28000000000000003</v>
      </c>
      <c r="I39" s="580" t="s">
        <v>555</v>
      </c>
      <c r="J39" s="310"/>
      <c r="K39" s="298" t="s">
        <v>856</v>
      </c>
      <c r="L39" s="590">
        <f>INDEX(C36:C48,L37,1)</f>
        <v>435</v>
      </c>
      <c r="M39" s="312"/>
      <c r="N39" s="3"/>
      <c r="O39" s="3"/>
      <c r="P39" s="3"/>
      <c r="Q39" s="3"/>
      <c r="R39" s="3"/>
      <c r="S39" s="3"/>
    </row>
    <row r="40" spans="1:19">
      <c r="A40" s="3"/>
      <c r="B40" s="587">
        <v>5</v>
      </c>
      <c r="C40" s="589">
        <v>145</v>
      </c>
      <c r="D40" s="589" t="s">
        <v>857</v>
      </c>
      <c r="E40" s="581">
        <v>32</v>
      </c>
      <c r="F40" s="579" t="s">
        <v>553</v>
      </c>
      <c r="G40" s="579"/>
      <c r="H40" s="582">
        <f t="shared" si="0"/>
        <v>0.32</v>
      </c>
      <c r="I40" s="580" t="s">
        <v>555</v>
      </c>
      <c r="J40" s="310"/>
      <c r="K40" s="298"/>
      <c r="L40" s="298"/>
      <c r="M40" s="312"/>
      <c r="N40" s="3"/>
      <c r="O40" s="3"/>
      <c r="P40" s="3"/>
      <c r="Q40" s="3"/>
      <c r="R40" s="3"/>
      <c r="S40" s="3"/>
    </row>
    <row r="41" spans="1:19">
      <c r="A41" s="3"/>
      <c r="B41" s="587">
        <v>6</v>
      </c>
      <c r="C41" s="579">
        <v>200</v>
      </c>
      <c r="D41" s="579" t="s">
        <v>857</v>
      </c>
      <c r="E41" s="581">
        <v>40</v>
      </c>
      <c r="F41" s="579" t="s">
        <v>553</v>
      </c>
      <c r="G41" s="579" t="s">
        <v>818</v>
      </c>
      <c r="H41" s="582">
        <f t="shared" si="0"/>
        <v>0.4</v>
      </c>
      <c r="I41" s="580" t="s">
        <v>555</v>
      </c>
      <c r="J41" s="310"/>
      <c r="K41" s="298" t="s">
        <v>558</v>
      </c>
      <c r="L41" s="591">
        <v>0.25</v>
      </c>
      <c r="M41" s="312"/>
      <c r="N41" s="3"/>
      <c r="O41" s="3"/>
      <c r="P41" s="3"/>
      <c r="Q41" s="3"/>
      <c r="R41" s="3"/>
      <c r="S41" s="3"/>
    </row>
    <row r="42" spans="1:19">
      <c r="A42" s="3"/>
      <c r="B42" s="587">
        <v>7</v>
      </c>
      <c r="C42" s="579">
        <v>400</v>
      </c>
      <c r="D42" s="579" t="s">
        <v>857</v>
      </c>
      <c r="E42" s="581" t="s">
        <v>554</v>
      </c>
      <c r="F42" s="579" t="s">
        <v>553</v>
      </c>
      <c r="G42" s="579"/>
      <c r="H42" s="582" t="s">
        <v>554</v>
      </c>
      <c r="I42" s="580" t="s">
        <v>555</v>
      </c>
      <c r="J42" s="310"/>
      <c r="K42" s="298"/>
      <c r="L42" s="298"/>
      <c r="M42" s="312"/>
      <c r="N42" s="3"/>
      <c r="O42" s="3"/>
      <c r="P42" s="3"/>
      <c r="Q42" s="3"/>
      <c r="R42" s="3"/>
      <c r="S42" s="3"/>
    </row>
    <row r="43" spans="1:19">
      <c r="A43" s="3"/>
      <c r="B43" s="587">
        <v>8</v>
      </c>
      <c r="C43" s="589">
        <v>435</v>
      </c>
      <c r="D43" s="589" t="s">
        <v>857</v>
      </c>
      <c r="E43" s="581">
        <v>58</v>
      </c>
      <c r="F43" s="579" t="s">
        <v>553</v>
      </c>
      <c r="G43" s="579"/>
      <c r="H43" s="582">
        <f t="shared" si="0"/>
        <v>0.57999999999999996</v>
      </c>
      <c r="I43" s="580" t="s">
        <v>555</v>
      </c>
      <c r="J43" s="310"/>
      <c r="K43" s="298" t="s">
        <v>559</v>
      </c>
      <c r="L43" s="592">
        <f>(INDEX(H36:H48,L37,1))*L41</f>
        <v>0.14499999999999999</v>
      </c>
      <c r="M43" s="312"/>
      <c r="N43" s="3"/>
      <c r="O43" s="3"/>
      <c r="P43" s="3"/>
      <c r="Q43" s="3"/>
      <c r="R43" s="3"/>
      <c r="S43" s="3"/>
    </row>
    <row r="44" spans="1:19">
      <c r="A44" s="3"/>
      <c r="B44" s="587">
        <v>9</v>
      </c>
      <c r="C44" s="579">
        <v>500</v>
      </c>
      <c r="D44" s="579" t="s">
        <v>857</v>
      </c>
      <c r="E44" s="581">
        <v>68</v>
      </c>
      <c r="F44" s="579" t="s">
        <v>553</v>
      </c>
      <c r="G44" s="579"/>
      <c r="H44" s="582">
        <f t="shared" si="0"/>
        <v>0.68</v>
      </c>
      <c r="I44" s="580" t="s">
        <v>555</v>
      </c>
      <c r="J44" s="310"/>
      <c r="K44" s="298"/>
      <c r="L44" s="298"/>
      <c r="M44" s="312"/>
      <c r="N44" s="3"/>
      <c r="O44" s="3"/>
      <c r="P44" s="3"/>
      <c r="Q44" s="3"/>
      <c r="R44" s="3"/>
      <c r="S44" s="3"/>
    </row>
    <row r="45" spans="1:19">
      <c r="A45" s="3"/>
      <c r="B45" s="587">
        <v>10</v>
      </c>
      <c r="C45" s="589">
        <v>1270</v>
      </c>
      <c r="D45" s="589" t="s">
        <v>857</v>
      </c>
      <c r="E45" s="581">
        <v>113</v>
      </c>
      <c r="F45" s="579" t="s">
        <v>553</v>
      </c>
      <c r="G45" s="579"/>
      <c r="H45" s="582">
        <f t="shared" si="0"/>
        <v>1.1299999999999999</v>
      </c>
      <c r="I45" s="580" t="s">
        <v>555</v>
      </c>
      <c r="J45" s="310"/>
      <c r="K45" s="298"/>
      <c r="L45" s="298"/>
      <c r="M45" s="312"/>
      <c r="N45" s="3"/>
      <c r="O45" s="3"/>
      <c r="P45" s="3"/>
      <c r="Q45" s="3"/>
      <c r="R45" s="3"/>
      <c r="S45" s="3"/>
    </row>
    <row r="46" spans="1:19">
      <c r="A46" s="3"/>
      <c r="B46" s="587">
        <v>11</v>
      </c>
      <c r="C46" s="589">
        <v>2400</v>
      </c>
      <c r="D46" s="589" t="s">
        <v>857</v>
      </c>
      <c r="E46" s="581">
        <v>165</v>
      </c>
      <c r="F46" s="579" t="s">
        <v>553</v>
      </c>
      <c r="G46" s="579"/>
      <c r="H46" s="582">
        <f t="shared" si="0"/>
        <v>1.65</v>
      </c>
      <c r="I46" s="580" t="s">
        <v>555</v>
      </c>
      <c r="J46" s="310"/>
      <c r="K46" s="298"/>
      <c r="L46" s="351" t="s">
        <v>140</v>
      </c>
      <c r="M46" s="312"/>
      <c r="N46" s="3"/>
      <c r="O46" s="3"/>
      <c r="P46" s="3"/>
      <c r="Q46" s="3"/>
      <c r="R46" s="3"/>
      <c r="S46" s="3"/>
    </row>
    <row r="47" spans="1:19">
      <c r="A47" s="3"/>
      <c r="B47" s="587">
        <v>12</v>
      </c>
      <c r="C47" s="579">
        <v>3300</v>
      </c>
      <c r="D47" s="579" t="s">
        <v>857</v>
      </c>
      <c r="E47" s="581">
        <v>268</v>
      </c>
      <c r="F47" s="579" t="s">
        <v>553</v>
      </c>
      <c r="G47" s="579"/>
      <c r="H47" s="582">
        <f t="shared" si="0"/>
        <v>2.68</v>
      </c>
      <c r="I47" s="580" t="s">
        <v>555</v>
      </c>
      <c r="J47" s="310"/>
      <c r="K47" s="298"/>
      <c r="L47" s="298"/>
      <c r="M47" s="312"/>
      <c r="N47" s="3"/>
      <c r="O47" s="3"/>
      <c r="P47" s="3"/>
      <c r="Q47" s="3"/>
      <c r="R47" s="3"/>
      <c r="S47" s="3"/>
    </row>
    <row r="48" spans="1:19" ht="13.5" thickBot="1">
      <c r="A48" s="3"/>
      <c r="B48" s="588">
        <v>13</v>
      </c>
      <c r="C48" s="583">
        <v>5000</v>
      </c>
      <c r="D48" s="583" t="s">
        <v>857</v>
      </c>
      <c r="E48" s="584" t="s">
        <v>554</v>
      </c>
      <c r="F48" s="583" t="s">
        <v>553</v>
      </c>
      <c r="G48" s="583"/>
      <c r="H48" s="585" t="s">
        <v>554</v>
      </c>
      <c r="I48" s="586" t="s">
        <v>555</v>
      </c>
      <c r="J48" s="313" t="s">
        <v>634</v>
      </c>
      <c r="K48" s="314"/>
      <c r="L48" s="314"/>
      <c r="M48" s="315"/>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818</v>
      </c>
      <c r="M50" s="3"/>
      <c r="N50" s="3"/>
      <c r="O50" s="3"/>
      <c r="P50" s="3"/>
      <c r="Q50" s="3"/>
      <c r="R50" s="3"/>
      <c r="S50" s="3"/>
    </row>
    <row r="51" spans="1:19" ht="13.5" thickBot="1">
      <c r="A51" s="3"/>
      <c r="B51" s="3"/>
      <c r="C51" s="3"/>
      <c r="D51" s="3"/>
      <c r="E51" s="3"/>
      <c r="F51" s="3"/>
      <c r="G51" s="3"/>
      <c r="H51" s="3"/>
      <c r="I51" s="3"/>
      <c r="J51" s="3"/>
      <c r="K51" s="3"/>
      <c r="L51" s="3"/>
      <c r="M51" s="3"/>
      <c r="N51" s="3"/>
      <c r="O51" s="3"/>
      <c r="P51" s="3"/>
      <c r="Q51" s="3"/>
      <c r="R51" s="3"/>
      <c r="S51" s="3"/>
    </row>
    <row r="52" spans="1:19">
      <c r="A52" s="3"/>
      <c r="B52" s="598" t="s">
        <v>635</v>
      </c>
      <c r="C52" s="575"/>
      <c r="D52" s="575"/>
      <c r="E52" s="575"/>
      <c r="F52" s="575"/>
      <c r="G52" s="575"/>
      <c r="H52" s="575"/>
      <c r="I52" s="575"/>
      <c r="J52" s="575"/>
      <c r="K52" s="575"/>
      <c r="L52" s="575"/>
      <c r="M52" s="576"/>
      <c r="N52" s="3"/>
      <c r="O52" s="3"/>
      <c r="P52" s="3"/>
      <c r="Q52" s="3"/>
      <c r="R52" s="3"/>
      <c r="S52" s="3"/>
    </row>
    <row r="53" spans="1:19">
      <c r="A53" s="3"/>
      <c r="B53" s="577"/>
      <c r="C53" s="141" t="s">
        <v>575</v>
      </c>
      <c r="D53" s="141"/>
      <c r="E53" s="141"/>
      <c r="F53" s="141"/>
      <c r="G53" s="141"/>
      <c r="H53" s="141"/>
      <c r="I53" s="141"/>
      <c r="J53" s="141"/>
      <c r="K53" s="141"/>
      <c r="L53" s="141"/>
      <c r="M53" s="143"/>
      <c r="N53" s="3"/>
      <c r="O53" s="3"/>
      <c r="P53" s="3"/>
      <c r="Q53" s="3"/>
      <c r="R53" s="3"/>
      <c r="S53" s="3"/>
    </row>
    <row r="54" spans="1:19">
      <c r="A54" s="3"/>
      <c r="B54" s="577"/>
      <c r="C54" s="141" t="s">
        <v>629</v>
      </c>
      <c r="D54" s="141"/>
      <c r="E54" s="141"/>
      <c r="F54" s="141"/>
      <c r="G54" s="141"/>
      <c r="H54" s="141"/>
      <c r="I54" s="141"/>
      <c r="J54" s="141"/>
      <c r="K54" s="141"/>
      <c r="L54" s="141"/>
      <c r="M54" s="143"/>
      <c r="N54" s="3"/>
      <c r="O54" s="3"/>
      <c r="P54" s="3"/>
      <c r="Q54" s="3"/>
      <c r="R54" s="3"/>
      <c r="S54" s="3"/>
    </row>
    <row r="55" spans="1:19" ht="13.5" thickBot="1">
      <c r="A55" s="3"/>
      <c r="B55" s="578"/>
      <c r="C55" s="146" t="s">
        <v>632</v>
      </c>
      <c r="D55" s="146"/>
      <c r="E55" s="146"/>
      <c r="F55" s="146"/>
      <c r="G55" s="146"/>
      <c r="H55" s="146"/>
      <c r="I55" s="146"/>
      <c r="J55" s="146"/>
      <c r="K55" s="146"/>
      <c r="L55" s="146"/>
      <c r="M55" s="150"/>
      <c r="N55" s="3"/>
      <c r="O55" s="3"/>
      <c r="P55" s="3"/>
      <c r="Q55" s="3"/>
      <c r="R55" s="3"/>
      <c r="S55" s="3"/>
    </row>
    <row r="56" spans="1:19">
      <c r="A56" s="3"/>
      <c r="B56" s="593" t="s">
        <v>557</v>
      </c>
      <c r="C56" s="594" t="s">
        <v>556</v>
      </c>
      <c r="D56" s="595"/>
      <c r="E56" s="596" t="s">
        <v>551</v>
      </c>
      <c r="F56" s="595"/>
      <c r="G56" s="595"/>
      <c r="H56" s="594" t="s">
        <v>552</v>
      </c>
      <c r="I56" s="597"/>
      <c r="J56" s="310"/>
      <c r="K56" s="298"/>
      <c r="L56" s="298"/>
      <c r="M56" s="312"/>
      <c r="N56" s="3"/>
      <c r="O56" s="3"/>
      <c r="P56" s="3"/>
      <c r="Q56" s="3"/>
      <c r="R56" s="3"/>
      <c r="S56" s="3"/>
    </row>
    <row r="57" spans="1:19">
      <c r="A57" s="3"/>
      <c r="B57" s="587">
        <v>1</v>
      </c>
      <c r="C57" s="579">
        <v>10</v>
      </c>
      <c r="D57" s="579" t="s">
        <v>857</v>
      </c>
      <c r="E57" s="581">
        <v>7</v>
      </c>
      <c r="F57" s="579" t="s">
        <v>553</v>
      </c>
      <c r="G57" s="579"/>
      <c r="H57" s="582">
        <f>E57/100</f>
        <v>7.0000000000000007E-2</v>
      </c>
      <c r="I57" s="580" t="s">
        <v>555</v>
      </c>
      <c r="J57" s="310"/>
      <c r="K57" s="298" t="s">
        <v>818</v>
      </c>
      <c r="L57" s="298"/>
      <c r="M57" s="312"/>
      <c r="N57" s="3"/>
      <c r="O57" s="3"/>
      <c r="P57" s="3"/>
      <c r="Q57" s="3"/>
      <c r="R57" s="3"/>
      <c r="S57" s="3"/>
    </row>
    <row r="58" spans="1:19">
      <c r="A58" s="3"/>
      <c r="B58" s="587">
        <v>2</v>
      </c>
      <c r="C58" s="589">
        <v>30</v>
      </c>
      <c r="D58" s="589" t="s">
        <v>857</v>
      </c>
      <c r="E58" s="581">
        <v>9</v>
      </c>
      <c r="F58" s="579" t="s">
        <v>553</v>
      </c>
      <c r="G58" s="579" t="s">
        <v>818</v>
      </c>
      <c r="H58" s="582">
        <f>E58/100</f>
        <v>0.09</v>
      </c>
      <c r="I58" s="580" t="s">
        <v>555</v>
      </c>
      <c r="J58" s="310"/>
      <c r="K58" s="298" t="s">
        <v>557</v>
      </c>
      <c r="L58" s="265">
        <v>10</v>
      </c>
      <c r="M58" s="312"/>
      <c r="N58" s="3"/>
      <c r="O58" s="3"/>
      <c r="P58" s="3"/>
      <c r="Q58" s="3"/>
      <c r="R58" s="3"/>
      <c r="S58" s="3"/>
    </row>
    <row r="59" spans="1:19">
      <c r="A59" s="3"/>
      <c r="B59" s="587">
        <v>3</v>
      </c>
      <c r="C59" s="579">
        <v>50</v>
      </c>
      <c r="D59" s="579" t="s">
        <v>857</v>
      </c>
      <c r="E59" s="581" t="s">
        <v>554</v>
      </c>
      <c r="F59" s="579" t="s">
        <v>553</v>
      </c>
      <c r="G59" s="579"/>
      <c r="H59" s="582" t="s">
        <v>554</v>
      </c>
      <c r="I59" s="580" t="s">
        <v>555</v>
      </c>
      <c r="J59" s="310"/>
      <c r="K59" s="298"/>
      <c r="L59" s="298"/>
      <c r="M59" s="312"/>
      <c r="N59" s="3"/>
      <c r="O59" s="3"/>
      <c r="P59" s="3"/>
      <c r="Q59" s="3"/>
      <c r="R59" s="3"/>
      <c r="S59" s="3"/>
    </row>
    <row r="60" spans="1:19">
      <c r="A60" s="3"/>
      <c r="B60" s="587">
        <v>4</v>
      </c>
      <c r="C60" s="579">
        <v>100</v>
      </c>
      <c r="D60" s="579" t="s">
        <v>857</v>
      </c>
      <c r="E60" s="581">
        <v>14</v>
      </c>
      <c r="F60" s="579" t="s">
        <v>553</v>
      </c>
      <c r="G60" s="579"/>
      <c r="H60" s="582">
        <f t="shared" ref="H60:H69" si="1">E60/100</f>
        <v>0.14000000000000001</v>
      </c>
      <c r="I60" s="580" t="s">
        <v>555</v>
      </c>
      <c r="J60" s="310"/>
      <c r="K60" s="298" t="s">
        <v>856</v>
      </c>
      <c r="L60" s="590">
        <f>INDEX(C57:C69,L58,1)</f>
        <v>1270</v>
      </c>
      <c r="M60" s="312"/>
      <c r="N60" s="3"/>
      <c r="O60" s="3"/>
      <c r="P60" s="3"/>
      <c r="Q60" s="3"/>
      <c r="R60" s="3"/>
      <c r="S60" s="3"/>
    </row>
    <row r="61" spans="1:19">
      <c r="A61" s="3"/>
      <c r="B61" s="587">
        <v>5</v>
      </c>
      <c r="C61" s="589">
        <v>145</v>
      </c>
      <c r="D61" s="589" t="s">
        <v>857</v>
      </c>
      <c r="E61" s="581">
        <v>15</v>
      </c>
      <c r="F61" s="579" t="s">
        <v>553</v>
      </c>
      <c r="G61" s="579"/>
      <c r="H61" s="582">
        <f t="shared" si="1"/>
        <v>0.15</v>
      </c>
      <c r="I61" s="580" t="s">
        <v>555</v>
      </c>
      <c r="J61" s="310"/>
      <c r="K61" s="298"/>
      <c r="L61" s="298"/>
      <c r="M61" s="312"/>
      <c r="N61" s="3"/>
      <c r="O61" s="3"/>
      <c r="P61" s="3"/>
      <c r="Q61" s="3"/>
      <c r="R61" s="3"/>
      <c r="S61" s="3"/>
    </row>
    <row r="62" spans="1:19">
      <c r="A62" s="3"/>
      <c r="B62" s="587">
        <v>6</v>
      </c>
      <c r="C62" s="579">
        <v>200</v>
      </c>
      <c r="D62" s="579" t="s">
        <v>857</v>
      </c>
      <c r="E62" s="581">
        <v>20</v>
      </c>
      <c r="F62" s="579" t="s">
        <v>553</v>
      </c>
      <c r="G62" s="579" t="s">
        <v>818</v>
      </c>
      <c r="H62" s="582">
        <f t="shared" si="1"/>
        <v>0.2</v>
      </c>
      <c r="I62" s="580" t="s">
        <v>555</v>
      </c>
      <c r="J62" s="310"/>
      <c r="K62" s="298" t="s">
        <v>558</v>
      </c>
      <c r="L62" s="591">
        <v>0.75</v>
      </c>
      <c r="M62" s="312"/>
      <c r="N62" s="3"/>
      <c r="O62" s="3"/>
      <c r="P62" s="3"/>
      <c r="Q62" s="3"/>
      <c r="R62" s="3"/>
      <c r="S62" s="3"/>
    </row>
    <row r="63" spans="1:19">
      <c r="A63" s="3"/>
      <c r="B63" s="587">
        <v>7</v>
      </c>
      <c r="C63" s="579">
        <v>400</v>
      </c>
      <c r="D63" s="579" t="s">
        <v>857</v>
      </c>
      <c r="E63" s="581">
        <v>28</v>
      </c>
      <c r="F63" s="579" t="s">
        <v>553</v>
      </c>
      <c r="G63" s="579"/>
      <c r="H63" s="582">
        <f t="shared" si="1"/>
        <v>0.28000000000000003</v>
      </c>
      <c r="I63" s="580" t="s">
        <v>555</v>
      </c>
      <c r="J63" s="310"/>
      <c r="K63" s="298"/>
      <c r="L63" s="298"/>
      <c r="M63" s="312"/>
      <c r="N63" s="3"/>
      <c r="O63" s="3"/>
      <c r="P63" s="3"/>
      <c r="Q63" s="3"/>
      <c r="R63" s="3"/>
      <c r="S63" s="3"/>
    </row>
    <row r="64" spans="1:19">
      <c r="A64" s="3"/>
      <c r="B64" s="587">
        <v>8</v>
      </c>
      <c r="C64" s="589">
        <v>435</v>
      </c>
      <c r="D64" s="589" t="s">
        <v>857</v>
      </c>
      <c r="E64" s="581">
        <v>30</v>
      </c>
      <c r="F64" s="579" t="s">
        <v>553</v>
      </c>
      <c r="G64" s="579"/>
      <c r="H64" s="582">
        <f t="shared" si="1"/>
        <v>0.3</v>
      </c>
      <c r="I64" s="580" t="s">
        <v>555</v>
      </c>
      <c r="J64" s="310"/>
      <c r="K64" s="298" t="s">
        <v>559</v>
      </c>
      <c r="L64" s="592">
        <f>(INDEX(H57:H69,L58,1))*L62</f>
        <v>0.36749999999999999</v>
      </c>
      <c r="M64" s="312"/>
      <c r="N64" s="3"/>
      <c r="O64" s="3"/>
      <c r="P64" s="3"/>
      <c r="Q64" s="3"/>
      <c r="R64" s="3"/>
      <c r="S64" s="3"/>
    </row>
    <row r="65" spans="1:19">
      <c r="A65" s="3"/>
      <c r="B65" s="587">
        <v>9</v>
      </c>
      <c r="C65" s="579">
        <v>500</v>
      </c>
      <c r="D65" s="579" t="s">
        <v>857</v>
      </c>
      <c r="E65" s="581">
        <v>35</v>
      </c>
      <c r="F65" s="579" t="s">
        <v>553</v>
      </c>
      <c r="G65" s="579"/>
      <c r="H65" s="582">
        <f t="shared" si="1"/>
        <v>0.35</v>
      </c>
      <c r="I65" s="580" t="s">
        <v>555</v>
      </c>
      <c r="J65" s="310"/>
      <c r="K65" s="298"/>
      <c r="L65" s="298"/>
      <c r="M65" s="312"/>
      <c r="N65" s="3"/>
      <c r="O65" s="3"/>
      <c r="P65" s="3"/>
      <c r="Q65" s="3"/>
      <c r="R65" s="3"/>
      <c r="S65" s="3"/>
    </row>
    <row r="66" spans="1:19">
      <c r="A66" s="3"/>
      <c r="B66" s="587">
        <v>10</v>
      </c>
      <c r="C66" s="589">
        <v>1270</v>
      </c>
      <c r="D66" s="589" t="s">
        <v>857</v>
      </c>
      <c r="E66" s="581">
        <v>49</v>
      </c>
      <c r="F66" s="579" t="s">
        <v>553</v>
      </c>
      <c r="G66" s="579"/>
      <c r="H66" s="582">
        <f t="shared" si="1"/>
        <v>0.49</v>
      </c>
      <c r="I66" s="580" t="s">
        <v>555</v>
      </c>
      <c r="J66" s="310"/>
      <c r="K66" s="298"/>
      <c r="L66" s="298"/>
      <c r="M66" s="312"/>
      <c r="N66" s="3"/>
      <c r="O66" s="3"/>
      <c r="P66" s="3"/>
      <c r="Q66" s="3"/>
      <c r="R66" s="3"/>
      <c r="S66" s="3"/>
    </row>
    <row r="67" spans="1:19">
      <c r="A67" s="3"/>
      <c r="B67" s="587">
        <v>11</v>
      </c>
      <c r="C67" s="589">
        <v>2400</v>
      </c>
      <c r="D67" s="589" t="s">
        <v>857</v>
      </c>
      <c r="E67" s="581">
        <v>72</v>
      </c>
      <c r="F67" s="579" t="s">
        <v>553</v>
      </c>
      <c r="G67" s="579"/>
      <c r="H67" s="582">
        <f t="shared" si="1"/>
        <v>0.72</v>
      </c>
      <c r="I67" s="580" t="s">
        <v>555</v>
      </c>
      <c r="J67" s="310"/>
      <c r="K67" s="298"/>
      <c r="L67" s="351" t="s">
        <v>140</v>
      </c>
      <c r="M67" s="312"/>
      <c r="N67" s="3"/>
      <c r="O67" s="3"/>
      <c r="P67" s="3"/>
      <c r="Q67" s="3"/>
      <c r="R67" s="3"/>
      <c r="S67" s="3"/>
    </row>
    <row r="68" spans="1:19">
      <c r="A68" s="3"/>
      <c r="B68" s="587">
        <v>12</v>
      </c>
      <c r="C68" s="579">
        <v>3300</v>
      </c>
      <c r="D68" s="579" t="s">
        <v>857</v>
      </c>
      <c r="E68" s="581">
        <v>95</v>
      </c>
      <c r="F68" s="579" t="s">
        <v>553</v>
      </c>
      <c r="G68" s="579"/>
      <c r="H68" s="582">
        <f t="shared" si="1"/>
        <v>0.95</v>
      </c>
      <c r="I68" s="580" t="s">
        <v>555</v>
      </c>
      <c r="J68" s="310"/>
      <c r="K68" s="298"/>
      <c r="L68" s="298"/>
      <c r="M68" s="312"/>
      <c r="N68" s="3"/>
      <c r="O68" s="3"/>
      <c r="P68" s="3"/>
      <c r="Q68" s="3"/>
      <c r="R68" s="3"/>
      <c r="S68" s="3"/>
    </row>
    <row r="69" spans="1:19" ht="13.5" thickBot="1">
      <c r="A69" s="3"/>
      <c r="B69" s="588">
        <v>13</v>
      </c>
      <c r="C69" s="583">
        <v>5000</v>
      </c>
      <c r="D69" s="583" t="s">
        <v>857</v>
      </c>
      <c r="E69" s="584">
        <v>128</v>
      </c>
      <c r="F69" s="583" t="s">
        <v>553</v>
      </c>
      <c r="G69" s="583"/>
      <c r="H69" s="585">
        <f t="shared" si="1"/>
        <v>1.28</v>
      </c>
      <c r="I69" s="586" t="s">
        <v>555</v>
      </c>
      <c r="J69" s="313" t="s">
        <v>633</v>
      </c>
      <c r="K69" s="314"/>
      <c r="L69" s="314"/>
      <c r="M69" s="315"/>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818</v>
      </c>
      <c r="B71" s="3"/>
      <c r="C71" s="3"/>
      <c r="D71" s="3"/>
      <c r="E71" s="3"/>
      <c r="F71" s="3"/>
      <c r="G71" s="3"/>
      <c r="H71" s="3"/>
      <c r="I71" s="3"/>
      <c r="J71" s="3"/>
      <c r="K71" s="3"/>
      <c r="L71" s="3"/>
      <c r="M71" s="3"/>
      <c r="N71" s="3"/>
      <c r="O71" s="3"/>
      <c r="P71" s="3"/>
      <c r="Q71" s="3"/>
      <c r="R71" s="3"/>
      <c r="S71" s="3"/>
    </row>
    <row r="72" spans="1:19" ht="13.5" thickBot="1">
      <c r="A72" s="3"/>
      <c r="B72" s="3"/>
      <c r="C72" s="3"/>
      <c r="D72" s="3"/>
      <c r="E72" s="3"/>
      <c r="F72" s="3"/>
      <c r="G72" s="3"/>
      <c r="H72" s="3"/>
      <c r="I72" s="3"/>
      <c r="J72" s="3"/>
      <c r="K72" s="3"/>
      <c r="L72" s="3"/>
      <c r="M72" s="3"/>
      <c r="N72" s="3"/>
      <c r="O72" s="3"/>
      <c r="P72" s="3"/>
      <c r="Q72" s="3"/>
      <c r="R72" s="3"/>
      <c r="S72" s="3"/>
    </row>
    <row r="73" spans="1:19">
      <c r="A73" s="3"/>
      <c r="B73" s="598" t="s">
        <v>638</v>
      </c>
      <c r="C73" s="575"/>
      <c r="D73" s="575"/>
      <c r="E73" s="575"/>
      <c r="F73" s="575"/>
      <c r="G73" s="575"/>
      <c r="H73" s="575"/>
      <c r="I73" s="575"/>
      <c r="J73" s="575"/>
      <c r="K73" s="575"/>
      <c r="L73" s="575"/>
      <c r="M73" s="576"/>
      <c r="N73" s="3"/>
      <c r="O73" s="3"/>
      <c r="P73" s="3"/>
      <c r="Q73" s="3"/>
      <c r="R73" s="3"/>
      <c r="S73" s="3"/>
    </row>
    <row r="74" spans="1:19">
      <c r="A74" s="3"/>
      <c r="B74" s="577"/>
      <c r="C74" s="141" t="s">
        <v>630</v>
      </c>
      <c r="D74" s="141"/>
      <c r="E74" s="141"/>
      <c r="F74" s="141"/>
      <c r="G74" s="141"/>
      <c r="H74" s="141"/>
      <c r="I74" s="141"/>
      <c r="J74" s="141"/>
      <c r="K74" s="141"/>
      <c r="L74" s="141"/>
      <c r="M74" s="143"/>
      <c r="N74" s="3"/>
      <c r="O74" s="3"/>
      <c r="P74" s="3"/>
      <c r="Q74" s="3"/>
      <c r="R74" s="3"/>
      <c r="S74" s="3"/>
    </row>
    <row r="75" spans="1:19">
      <c r="A75" s="3"/>
      <c r="B75" s="577"/>
      <c r="C75" s="141" t="s">
        <v>216</v>
      </c>
      <c r="D75" s="141"/>
      <c r="E75" s="141"/>
      <c r="F75" s="141"/>
      <c r="G75" s="141"/>
      <c r="H75" s="141"/>
      <c r="I75" s="141"/>
      <c r="J75" s="141"/>
      <c r="K75" s="141"/>
      <c r="L75" s="141"/>
      <c r="M75" s="143"/>
      <c r="N75" s="3"/>
      <c r="O75" s="3"/>
      <c r="P75" s="3"/>
      <c r="Q75" s="3"/>
      <c r="R75" s="3"/>
      <c r="S75" s="3"/>
    </row>
    <row r="76" spans="1:19" ht="13.5" thickBot="1">
      <c r="A76" s="3"/>
      <c r="B76" s="578"/>
      <c r="C76" s="146" t="s">
        <v>519</v>
      </c>
      <c r="D76" s="146"/>
      <c r="E76" s="146"/>
      <c r="F76" s="146"/>
      <c r="G76" s="146"/>
      <c r="H76" s="146"/>
      <c r="I76" s="146"/>
      <c r="J76" s="146"/>
      <c r="K76" s="146"/>
      <c r="L76" s="146"/>
      <c r="M76" s="150"/>
      <c r="N76" s="3"/>
      <c r="O76" s="3"/>
      <c r="P76" s="3"/>
      <c r="Q76" s="3"/>
      <c r="R76" s="3"/>
      <c r="S76" s="3"/>
    </row>
    <row r="77" spans="1:19">
      <c r="A77" s="3"/>
      <c r="B77" s="593" t="s">
        <v>557</v>
      </c>
      <c r="C77" s="594" t="s">
        <v>556</v>
      </c>
      <c r="D77" s="595"/>
      <c r="E77" s="596" t="s">
        <v>551</v>
      </c>
      <c r="F77" s="595"/>
      <c r="G77" s="595"/>
      <c r="H77" s="594" t="s">
        <v>552</v>
      </c>
      <c r="I77" s="597"/>
      <c r="J77" s="310"/>
      <c r="K77" s="298"/>
      <c r="L77" s="298"/>
      <c r="M77" s="312"/>
      <c r="N77" s="3"/>
      <c r="O77" s="3"/>
      <c r="P77" s="3"/>
      <c r="Q77" s="3"/>
      <c r="R77" s="3"/>
      <c r="S77" s="3"/>
    </row>
    <row r="78" spans="1:19">
      <c r="A78" s="3"/>
      <c r="B78" s="587">
        <v>1</v>
      </c>
      <c r="C78" s="579">
        <v>10</v>
      </c>
      <c r="D78" s="579" t="s">
        <v>857</v>
      </c>
      <c r="E78" s="581">
        <v>9.31</v>
      </c>
      <c r="F78" s="579" t="s">
        <v>553</v>
      </c>
      <c r="G78" s="579"/>
      <c r="H78" s="582">
        <f>E78/100</f>
        <v>9.3100000000000002E-2</v>
      </c>
      <c r="I78" s="580" t="s">
        <v>555</v>
      </c>
      <c r="J78" s="310"/>
      <c r="K78" s="298" t="s">
        <v>818</v>
      </c>
      <c r="L78" s="298"/>
      <c r="M78" s="312"/>
      <c r="N78" s="3"/>
      <c r="O78" s="3"/>
      <c r="P78" s="3"/>
      <c r="Q78" s="3"/>
      <c r="R78" s="3"/>
      <c r="S78" s="3"/>
    </row>
    <row r="79" spans="1:19">
      <c r="A79" s="3"/>
      <c r="B79" s="587">
        <v>2</v>
      </c>
      <c r="C79" s="589">
        <v>30</v>
      </c>
      <c r="D79" s="589" t="s">
        <v>857</v>
      </c>
      <c r="E79" s="581">
        <v>12</v>
      </c>
      <c r="F79" s="579" t="s">
        <v>553</v>
      </c>
      <c r="G79" s="579" t="s">
        <v>818</v>
      </c>
      <c r="H79" s="582">
        <f>E79/100</f>
        <v>0.12</v>
      </c>
      <c r="I79" s="580" t="s">
        <v>555</v>
      </c>
      <c r="J79" s="310"/>
      <c r="K79" s="298" t="s">
        <v>557</v>
      </c>
      <c r="L79" s="265">
        <v>11</v>
      </c>
      <c r="M79" s="312"/>
      <c r="N79" s="3"/>
      <c r="O79" s="3"/>
      <c r="P79" s="3"/>
      <c r="Q79" s="3"/>
      <c r="R79" s="3"/>
      <c r="S79" s="3"/>
    </row>
    <row r="80" spans="1:19">
      <c r="A80" s="3"/>
      <c r="B80" s="587">
        <v>3</v>
      </c>
      <c r="C80" s="579">
        <v>50</v>
      </c>
      <c r="D80" s="579" t="s">
        <v>857</v>
      </c>
      <c r="E80" s="581" t="s">
        <v>554</v>
      </c>
      <c r="F80" s="579" t="s">
        <v>553</v>
      </c>
      <c r="G80" s="579"/>
      <c r="H80" s="582" t="s">
        <v>554</v>
      </c>
      <c r="I80" s="580" t="s">
        <v>555</v>
      </c>
      <c r="J80" s="310"/>
      <c r="K80" s="298"/>
      <c r="L80" s="298"/>
      <c r="M80" s="312"/>
      <c r="N80" s="3"/>
      <c r="O80" s="3"/>
      <c r="P80" s="3"/>
      <c r="Q80" s="3"/>
      <c r="R80" s="3"/>
      <c r="S80" s="3"/>
    </row>
    <row r="81" spans="1:19">
      <c r="A81" s="3"/>
      <c r="B81" s="587">
        <v>4</v>
      </c>
      <c r="C81" s="579">
        <v>100</v>
      </c>
      <c r="D81" s="579" t="s">
        <v>857</v>
      </c>
      <c r="E81" s="581">
        <v>18.600000000000001</v>
      </c>
      <c r="F81" s="579" t="s">
        <v>553</v>
      </c>
      <c r="G81" s="579"/>
      <c r="H81" s="582">
        <f t="shared" ref="H81:H90" si="2">E81/100</f>
        <v>0.18600000000000003</v>
      </c>
      <c r="I81" s="580" t="s">
        <v>555</v>
      </c>
      <c r="J81" s="310"/>
      <c r="K81" s="298" t="s">
        <v>856</v>
      </c>
      <c r="L81" s="590">
        <f>INDEX(C78:C90,L79,1)</f>
        <v>2400</v>
      </c>
      <c r="M81" s="312"/>
      <c r="N81" s="3"/>
      <c r="O81" s="3"/>
      <c r="P81" s="3"/>
      <c r="Q81" s="3"/>
      <c r="R81" s="3"/>
      <c r="S81" s="3"/>
    </row>
    <row r="82" spans="1:19">
      <c r="A82" s="3"/>
      <c r="B82" s="587">
        <v>5</v>
      </c>
      <c r="C82" s="589">
        <v>145</v>
      </c>
      <c r="D82" s="589" t="s">
        <v>857</v>
      </c>
      <c r="E82" s="581">
        <v>19.95</v>
      </c>
      <c r="F82" s="579" t="s">
        <v>553</v>
      </c>
      <c r="G82" s="579"/>
      <c r="H82" s="582">
        <f t="shared" si="2"/>
        <v>0.19949999999999998</v>
      </c>
      <c r="I82" s="580" t="s">
        <v>555</v>
      </c>
      <c r="J82" s="310"/>
      <c r="K82" s="298"/>
      <c r="L82" s="298"/>
      <c r="M82" s="312"/>
      <c r="N82" s="3"/>
      <c r="O82" s="3"/>
      <c r="P82" s="3"/>
      <c r="Q82" s="3"/>
      <c r="R82" s="3"/>
      <c r="S82" s="3"/>
    </row>
    <row r="83" spans="1:19">
      <c r="A83" s="3"/>
      <c r="B83" s="587">
        <v>6</v>
      </c>
      <c r="C83" s="579">
        <v>200</v>
      </c>
      <c r="D83" s="579" t="s">
        <v>857</v>
      </c>
      <c r="E83" s="581">
        <v>26.6</v>
      </c>
      <c r="F83" s="579" t="s">
        <v>553</v>
      </c>
      <c r="G83" s="579" t="s">
        <v>818</v>
      </c>
      <c r="H83" s="582">
        <f t="shared" si="2"/>
        <v>0.26600000000000001</v>
      </c>
      <c r="I83" s="580" t="s">
        <v>555</v>
      </c>
      <c r="J83" s="310"/>
      <c r="K83" s="298" t="s">
        <v>558</v>
      </c>
      <c r="L83" s="591">
        <v>0.5</v>
      </c>
      <c r="M83" s="312"/>
      <c r="N83" s="3"/>
      <c r="O83" s="3"/>
      <c r="P83" s="3"/>
      <c r="Q83" s="3"/>
      <c r="R83" s="3"/>
      <c r="S83" s="3"/>
    </row>
    <row r="84" spans="1:19">
      <c r="A84" s="3"/>
      <c r="B84" s="587">
        <v>7</v>
      </c>
      <c r="C84" s="579">
        <v>400</v>
      </c>
      <c r="D84" s="579" t="s">
        <v>857</v>
      </c>
      <c r="E84" s="581">
        <v>37.24</v>
      </c>
      <c r="F84" s="579" t="s">
        <v>553</v>
      </c>
      <c r="G84" s="579"/>
      <c r="H84" s="582">
        <f>E84/100</f>
        <v>0.37240000000000001</v>
      </c>
      <c r="I84" s="580" t="s">
        <v>555</v>
      </c>
      <c r="J84" s="310"/>
      <c r="K84" s="298"/>
      <c r="L84" s="298"/>
      <c r="M84" s="312"/>
      <c r="N84" s="3"/>
      <c r="O84" s="3"/>
      <c r="P84" s="3"/>
      <c r="Q84" s="3"/>
      <c r="R84" s="3"/>
      <c r="S84" s="3"/>
    </row>
    <row r="85" spans="1:19">
      <c r="A85" s="3"/>
      <c r="B85" s="587">
        <v>8</v>
      </c>
      <c r="C85" s="589">
        <v>435</v>
      </c>
      <c r="D85" s="589" t="s">
        <v>857</v>
      </c>
      <c r="E85" s="581">
        <v>40</v>
      </c>
      <c r="F85" s="579" t="s">
        <v>553</v>
      </c>
      <c r="G85" s="579"/>
      <c r="H85" s="582">
        <f t="shared" si="2"/>
        <v>0.4</v>
      </c>
      <c r="I85" s="580" t="s">
        <v>555</v>
      </c>
      <c r="J85" s="310"/>
      <c r="K85" s="298" t="s">
        <v>559</v>
      </c>
      <c r="L85" s="592">
        <f>(INDEX(H78:H90,L79,1))*L83</f>
        <v>0.47875000000000001</v>
      </c>
      <c r="M85" s="312"/>
      <c r="N85" s="3"/>
      <c r="O85" s="3"/>
      <c r="P85" s="3"/>
      <c r="Q85" s="3"/>
      <c r="R85" s="3"/>
      <c r="S85" s="3"/>
    </row>
    <row r="86" spans="1:19">
      <c r="A86" s="3"/>
      <c r="B86" s="587">
        <v>9</v>
      </c>
      <c r="C86" s="579">
        <v>500</v>
      </c>
      <c r="D86" s="579" t="s">
        <v>857</v>
      </c>
      <c r="E86" s="581">
        <v>46.55</v>
      </c>
      <c r="F86" s="579" t="s">
        <v>553</v>
      </c>
      <c r="G86" s="579"/>
      <c r="H86" s="582">
        <f t="shared" si="2"/>
        <v>0.46549999999999997</v>
      </c>
      <c r="I86" s="580" t="s">
        <v>555</v>
      </c>
      <c r="J86" s="310"/>
      <c r="K86" s="298"/>
      <c r="L86" s="298"/>
      <c r="M86" s="312"/>
      <c r="N86" s="3"/>
      <c r="O86" s="3"/>
      <c r="P86" s="3"/>
      <c r="Q86" s="3"/>
      <c r="R86" s="3"/>
      <c r="S86" s="3"/>
    </row>
    <row r="87" spans="1:19">
      <c r="A87" s="3"/>
      <c r="B87" s="587">
        <v>10</v>
      </c>
      <c r="C87" s="589">
        <v>1270</v>
      </c>
      <c r="D87" s="589" t="s">
        <v>857</v>
      </c>
      <c r="E87" s="581">
        <v>65.2</v>
      </c>
      <c r="F87" s="579" t="s">
        <v>553</v>
      </c>
      <c r="G87" s="579"/>
      <c r="H87" s="582">
        <f t="shared" si="2"/>
        <v>0.65200000000000002</v>
      </c>
      <c r="I87" s="580" t="s">
        <v>555</v>
      </c>
      <c r="J87" s="310"/>
      <c r="K87" s="298"/>
      <c r="L87" s="298"/>
      <c r="M87" s="312"/>
      <c r="N87" s="3"/>
      <c r="O87" s="3"/>
      <c r="P87" s="3"/>
      <c r="Q87" s="3"/>
      <c r="R87" s="3"/>
      <c r="S87" s="3"/>
    </row>
    <row r="88" spans="1:19">
      <c r="A88" s="3"/>
      <c r="B88" s="587">
        <v>11</v>
      </c>
      <c r="C88" s="589">
        <v>2400</v>
      </c>
      <c r="D88" s="589" t="s">
        <v>857</v>
      </c>
      <c r="E88" s="581">
        <v>95.75</v>
      </c>
      <c r="F88" s="579" t="s">
        <v>553</v>
      </c>
      <c r="G88" s="579"/>
      <c r="H88" s="582">
        <f t="shared" si="2"/>
        <v>0.95750000000000002</v>
      </c>
      <c r="I88" s="580" t="s">
        <v>555</v>
      </c>
      <c r="J88" s="310"/>
      <c r="K88" s="298"/>
      <c r="L88" s="351" t="s">
        <v>140</v>
      </c>
      <c r="M88" s="312"/>
      <c r="N88" s="3"/>
      <c r="O88" s="3"/>
      <c r="P88" s="3"/>
      <c r="Q88" s="3"/>
      <c r="R88" s="3"/>
      <c r="S88" s="3"/>
    </row>
    <row r="89" spans="1:19">
      <c r="A89" s="3"/>
      <c r="B89" s="587">
        <v>12</v>
      </c>
      <c r="C89" s="579">
        <v>3300</v>
      </c>
      <c r="D89" s="579" t="s">
        <v>857</v>
      </c>
      <c r="E89" s="581">
        <v>126.4</v>
      </c>
      <c r="F89" s="579" t="s">
        <v>553</v>
      </c>
      <c r="G89" s="579"/>
      <c r="H89" s="582">
        <f t="shared" si="2"/>
        <v>1.264</v>
      </c>
      <c r="I89" s="580" t="s">
        <v>555</v>
      </c>
      <c r="J89" s="310"/>
      <c r="K89" s="298"/>
      <c r="L89" s="298"/>
      <c r="M89" s="312"/>
      <c r="N89" s="3"/>
      <c r="O89" s="3"/>
      <c r="P89" s="3"/>
      <c r="Q89" s="3"/>
      <c r="R89" s="3"/>
      <c r="S89" s="3"/>
    </row>
    <row r="90" spans="1:19" ht="13.5" thickBot="1">
      <c r="A90" s="3"/>
      <c r="B90" s="588">
        <v>13</v>
      </c>
      <c r="C90" s="583">
        <v>5000</v>
      </c>
      <c r="D90" s="583" t="s">
        <v>857</v>
      </c>
      <c r="E90" s="584">
        <v>170.2</v>
      </c>
      <c r="F90" s="583" t="s">
        <v>553</v>
      </c>
      <c r="G90" s="583"/>
      <c r="H90" s="585">
        <f t="shared" si="2"/>
        <v>1.702</v>
      </c>
      <c r="I90" s="586" t="s">
        <v>555</v>
      </c>
      <c r="J90" s="313" t="s">
        <v>636</v>
      </c>
      <c r="K90" s="314"/>
      <c r="L90" s="314"/>
      <c r="M90" s="315"/>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5" thickBot="1">
      <c r="A93" s="3"/>
      <c r="B93" s="3"/>
      <c r="C93" s="3"/>
      <c r="D93" s="3"/>
      <c r="E93" s="3"/>
      <c r="F93" s="3"/>
      <c r="G93" s="3"/>
      <c r="H93" s="3"/>
      <c r="I93" s="3"/>
      <c r="J93" s="3"/>
      <c r="K93" s="3"/>
      <c r="L93" s="3"/>
      <c r="M93" s="3"/>
      <c r="N93" s="3" t="s">
        <v>818</v>
      </c>
      <c r="O93" s="3"/>
      <c r="P93" s="3"/>
      <c r="Q93" s="3"/>
      <c r="R93" s="3"/>
      <c r="S93" s="3"/>
    </row>
    <row r="94" spans="1:19">
      <c r="A94" s="3"/>
      <c r="B94" s="598" t="s">
        <v>639</v>
      </c>
      <c r="C94" s="575"/>
      <c r="D94" s="575"/>
      <c r="E94" s="575"/>
      <c r="F94" s="575"/>
      <c r="G94" s="575"/>
      <c r="H94" s="575"/>
      <c r="I94" s="575"/>
      <c r="J94" s="575"/>
      <c r="K94" s="575"/>
      <c r="L94" s="575"/>
      <c r="M94" s="576"/>
      <c r="N94" s="3"/>
      <c r="O94" s="3"/>
      <c r="P94" s="3"/>
      <c r="Q94" s="3"/>
      <c r="R94" s="3"/>
      <c r="S94" s="3"/>
    </row>
    <row r="95" spans="1:19">
      <c r="A95" s="3"/>
      <c r="B95" s="577"/>
      <c r="C95" s="141" t="s">
        <v>911</v>
      </c>
      <c r="D95" s="141"/>
      <c r="E95" s="141"/>
      <c r="F95" s="141"/>
      <c r="G95" s="141"/>
      <c r="H95" s="141"/>
      <c r="I95" s="141"/>
      <c r="J95" s="141"/>
      <c r="K95" s="141"/>
      <c r="L95" s="141"/>
      <c r="M95" s="143"/>
      <c r="N95" s="3"/>
      <c r="O95" s="3"/>
      <c r="P95" s="3"/>
      <c r="Q95" s="3"/>
      <c r="R95" s="3"/>
      <c r="S95" s="3"/>
    </row>
    <row r="96" spans="1:19">
      <c r="A96" s="3"/>
      <c r="B96" s="577"/>
      <c r="C96" s="141" t="s">
        <v>643</v>
      </c>
      <c r="D96" s="141"/>
      <c r="E96" s="141"/>
      <c r="F96" s="141"/>
      <c r="G96" s="141"/>
      <c r="H96" s="141"/>
      <c r="I96" s="141"/>
      <c r="J96" s="141"/>
      <c r="K96" s="141"/>
      <c r="L96" s="141"/>
      <c r="M96" s="143"/>
      <c r="N96" s="3"/>
      <c r="O96" s="3"/>
      <c r="P96" s="3"/>
      <c r="Q96" s="3"/>
      <c r="R96" s="3"/>
      <c r="S96" s="3"/>
    </row>
    <row r="97" spans="1:19" ht="13.5" thickBot="1">
      <c r="A97" s="3"/>
      <c r="B97" s="578"/>
      <c r="C97" s="146" t="s">
        <v>644</v>
      </c>
      <c r="D97" s="146"/>
      <c r="E97" s="146"/>
      <c r="F97" s="146"/>
      <c r="G97" s="146"/>
      <c r="H97" s="146"/>
      <c r="I97" s="146"/>
      <c r="J97" s="146"/>
      <c r="K97" s="146"/>
      <c r="L97" s="146"/>
      <c r="M97" s="150"/>
      <c r="N97" s="3"/>
      <c r="O97" s="3"/>
      <c r="P97" s="3"/>
      <c r="Q97" s="3"/>
      <c r="R97" s="3"/>
      <c r="S97" s="3"/>
    </row>
    <row r="98" spans="1:19">
      <c r="A98" s="3"/>
      <c r="B98" s="593" t="s">
        <v>557</v>
      </c>
      <c r="C98" s="594" t="s">
        <v>556</v>
      </c>
      <c r="D98" s="595"/>
      <c r="E98" s="596" t="s">
        <v>551</v>
      </c>
      <c r="F98" s="595"/>
      <c r="G98" s="595"/>
      <c r="H98" s="594" t="s">
        <v>552</v>
      </c>
      <c r="I98" s="595"/>
      <c r="J98" s="604"/>
      <c r="K98" s="308"/>
      <c r="L98" s="308"/>
      <c r="M98" s="309"/>
      <c r="N98" s="3"/>
      <c r="O98" s="3"/>
      <c r="P98" s="3"/>
      <c r="Q98" s="3"/>
      <c r="R98" s="3"/>
      <c r="S98" s="3"/>
    </row>
    <row r="99" spans="1:19">
      <c r="A99" s="3"/>
      <c r="B99" s="587">
        <v>1</v>
      </c>
      <c r="C99" s="589">
        <v>30</v>
      </c>
      <c r="D99" s="589" t="s">
        <v>857</v>
      </c>
      <c r="E99" s="581">
        <v>13</v>
      </c>
      <c r="F99" s="579" t="s">
        <v>553</v>
      </c>
      <c r="G99" s="579" t="s">
        <v>818</v>
      </c>
      <c r="H99" s="582">
        <v>0.13</v>
      </c>
      <c r="I99" s="579" t="s">
        <v>555</v>
      </c>
      <c r="J99" s="310"/>
      <c r="K99" s="298" t="s">
        <v>818</v>
      </c>
      <c r="L99" s="298"/>
      <c r="M99" s="312"/>
      <c r="N99" s="3"/>
      <c r="O99" s="3"/>
      <c r="P99" s="3"/>
      <c r="Q99" s="3"/>
      <c r="R99" s="3"/>
      <c r="S99" s="3"/>
    </row>
    <row r="100" spans="1:19">
      <c r="A100" s="3"/>
      <c r="B100" s="587">
        <v>2</v>
      </c>
      <c r="C100" s="589">
        <v>145</v>
      </c>
      <c r="D100" s="589" t="s">
        <v>857</v>
      </c>
      <c r="E100" s="581">
        <v>25</v>
      </c>
      <c r="F100" s="579" t="s">
        <v>553</v>
      </c>
      <c r="G100" s="579"/>
      <c r="H100" s="582">
        <v>0.25</v>
      </c>
      <c r="I100" s="579" t="s">
        <v>555</v>
      </c>
      <c r="J100" s="310"/>
      <c r="K100" s="298" t="s">
        <v>557</v>
      </c>
      <c r="L100" s="265">
        <v>3</v>
      </c>
      <c r="M100" s="312"/>
      <c r="N100" s="3"/>
      <c r="O100" s="3"/>
      <c r="P100" s="3"/>
      <c r="Q100" s="3"/>
      <c r="R100" s="3"/>
      <c r="S100" s="3"/>
    </row>
    <row r="101" spans="1:19">
      <c r="A101" s="3"/>
      <c r="B101" s="587">
        <v>3</v>
      </c>
      <c r="C101" s="589">
        <v>435</v>
      </c>
      <c r="D101" s="589" t="s">
        <v>857</v>
      </c>
      <c r="E101" s="581">
        <v>33</v>
      </c>
      <c r="F101" s="579" t="s">
        <v>553</v>
      </c>
      <c r="G101" s="579"/>
      <c r="H101" s="582">
        <v>0.33</v>
      </c>
      <c r="I101" s="579" t="s">
        <v>555</v>
      </c>
      <c r="J101" s="310"/>
      <c r="K101" s="298"/>
      <c r="L101" s="298"/>
      <c r="M101" s="312"/>
      <c r="N101" s="3"/>
      <c r="O101" s="3"/>
      <c r="P101" s="3"/>
      <c r="Q101" s="3"/>
      <c r="R101" s="3"/>
      <c r="S101" s="3"/>
    </row>
    <row r="102" spans="1:19">
      <c r="A102" s="3"/>
      <c r="B102" s="587">
        <v>4</v>
      </c>
      <c r="C102" s="589">
        <v>1270</v>
      </c>
      <c r="D102" s="589" t="s">
        <v>857</v>
      </c>
      <c r="E102" s="581">
        <v>53</v>
      </c>
      <c r="F102" s="579" t="s">
        <v>553</v>
      </c>
      <c r="G102" s="579"/>
      <c r="H102" s="582">
        <v>0.53</v>
      </c>
      <c r="I102" s="579" t="s">
        <v>555</v>
      </c>
      <c r="J102" s="310"/>
      <c r="K102" s="298" t="s">
        <v>856</v>
      </c>
      <c r="L102" s="612">
        <f>INDEX(C99:C112,L100,1)</f>
        <v>435</v>
      </c>
      <c r="M102" s="312"/>
      <c r="N102" s="3"/>
      <c r="O102" s="3"/>
      <c r="P102" s="3"/>
      <c r="Q102" s="3"/>
      <c r="R102" s="3"/>
      <c r="S102" s="3"/>
    </row>
    <row r="103" spans="1:19">
      <c r="A103" s="3"/>
      <c r="B103" s="587">
        <v>5</v>
      </c>
      <c r="C103" s="579">
        <v>2000</v>
      </c>
      <c r="D103" s="579" t="s">
        <v>857</v>
      </c>
      <c r="E103" s="603">
        <v>88.6</v>
      </c>
      <c r="F103" s="579" t="s">
        <v>553</v>
      </c>
      <c r="G103" s="579"/>
      <c r="H103" s="602">
        <v>0.88600000000000001</v>
      </c>
      <c r="I103" s="579" t="s">
        <v>555</v>
      </c>
      <c r="J103" s="310"/>
      <c r="K103" s="298"/>
      <c r="L103" s="298"/>
      <c r="M103" s="312"/>
      <c r="N103" s="3"/>
      <c r="O103" s="3"/>
      <c r="P103" s="3"/>
      <c r="Q103" s="3"/>
      <c r="R103" s="3"/>
      <c r="S103" s="3"/>
    </row>
    <row r="104" spans="1:19">
      <c r="A104" s="3"/>
      <c r="B104" s="587">
        <v>6</v>
      </c>
      <c r="C104" s="589">
        <v>2400</v>
      </c>
      <c r="D104" s="589" t="s">
        <v>857</v>
      </c>
      <c r="E104" s="581">
        <v>96</v>
      </c>
      <c r="F104" s="579" t="s">
        <v>553</v>
      </c>
      <c r="G104" s="579"/>
      <c r="H104" s="582">
        <v>0.96</v>
      </c>
      <c r="I104" s="579" t="s">
        <v>555</v>
      </c>
      <c r="J104" s="310"/>
      <c r="K104" s="298" t="s">
        <v>558</v>
      </c>
      <c r="L104" s="591">
        <v>0.5</v>
      </c>
      <c r="M104" s="312"/>
      <c r="N104" s="3"/>
      <c r="O104" s="3"/>
      <c r="P104" s="3"/>
      <c r="Q104" s="3"/>
      <c r="R104" s="3"/>
      <c r="S104" s="3"/>
    </row>
    <row r="105" spans="1:19">
      <c r="A105" s="3"/>
      <c r="B105" s="587">
        <v>7</v>
      </c>
      <c r="C105" s="611">
        <v>10000</v>
      </c>
      <c r="D105" s="579" t="s">
        <v>857</v>
      </c>
      <c r="E105" s="603">
        <v>200.1</v>
      </c>
      <c r="F105" s="579" t="s">
        <v>553</v>
      </c>
      <c r="G105" s="579"/>
      <c r="H105" s="602">
        <v>2.0009999999999999</v>
      </c>
      <c r="I105" s="579" t="s">
        <v>555</v>
      </c>
      <c r="J105" s="310"/>
      <c r="K105" s="298"/>
      <c r="L105" s="298"/>
      <c r="M105" s="312"/>
      <c r="N105" s="3"/>
      <c r="O105" s="3"/>
      <c r="P105" s="3"/>
      <c r="Q105" s="3"/>
      <c r="R105" s="3"/>
      <c r="S105" s="3"/>
    </row>
    <row r="106" spans="1:19">
      <c r="A106" s="3"/>
      <c r="B106" s="587">
        <v>8</v>
      </c>
      <c r="C106" s="611">
        <v>18000</v>
      </c>
      <c r="D106" s="579" t="s">
        <v>857</v>
      </c>
      <c r="E106" s="603">
        <v>275.5</v>
      </c>
      <c r="F106" s="579" t="s">
        <v>553</v>
      </c>
      <c r="G106" s="579"/>
      <c r="H106" s="602">
        <v>2.7549999999999999</v>
      </c>
      <c r="I106" s="579" t="s">
        <v>555</v>
      </c>
      <c r="J106" s="310"/>
      <c r="K106" s="298" t="s">
        <v>559</v>
      </c>
      <c r="L106" s="592">
        <f>(INDEX(H99:H112,L100,1))*L104</f>
        <v>0.16500000000000001</v>
      </c>
      <c r="M106" s="312"/>
      <c r="N106" s="3"/>
      <c r="O106" s="3"/>
      <c r="P106" s="3"/>
      <c r="Q106" s="3"/>
      <c r="R106" s="3"/>
      <c r="S106" s="3"/>
    </row>
    <row r="107" spans="1:19">
      <c r="A107" s="3"/>
      <c r="B107" s="587"/>
      <c r="C107" s="600"/>
      <c r="D107" s="579"/>
      <c r="E107" s="581"/>
      <c r="F107" s="579"/>
      <c r="G107" s="579"/>
      <c r="H107" s="582"/>
      <c r="I107" s="579"/>
      <c r="J107" s="310"/>
      <c r="K107" s="298"/>
      <c r="L107" s="298"/>
      <c r="M107" s="312"/>
      <c r="N107" s="3"/>
      <c r="O107" s="3"/>
      <c r="P107" s="3"/>
      <c r="Q107" s="3"/>
      <c r="R107" s="3"/>
      <c r="S107" s="3"/>
    </row>
    <row r="108" spans="1:19">
      <c r="A108" s="3"/>
      <c r="B108" s="587"/>
      <c r="C108" s="600"/>
      <c r="D108" s="579"/>
      <c r="E108" s="581"/>
      <c r="F108" s="579" t="s">
        <v>818</v>
      </c>
      <c r="G108" s="579"/>
      <c r="H108" s="582"/>
      <c r="I108" s="579"/>
      <c r="J108" s="310"/>
      <c r="K108" s="298"/>
      <c r="L108" s="298"/>
      <c r="M108" s="312"/>
      <c r="N108" s="3" t="s">
        <v>818</v>
      </c>
      <c r="O108" s="3"/>
      <c r="P108" s="3"/>
      <c r="Q108" s="3"/>
      <c r="R108" s="3"/>
      <c r="S108" s="3"/>
    </row>
    <row r="109" spans="1:19">
      <c r="A109" s="3"/>
      <c r="B109" s="587"/>
      <c r="C109" s="600"/>
      <c r="D109" s="579"/>
      <c r="E109" s="581"/>
      <c r="F109" s="579"/>
      <c r="G109" s="579"/>
      <c r="H109" s="582"/>
      <c r="I109" s="579"/>
      <c r="J109" s="310"/>
      <c r="K109" s="298"/>
      <c r="L109" s="298"/>
      <c r="M109" s="312"/>
      <c r="N109" s="3"/>
      <c r="O109" s="3"/>
      <c r="P109" s="3"/>
      <c r="Q109" s="3"/>
      <c r="R109" s="3"/>
      <c r="S109" s="3"/>
    </row>
    <row r="110" spans="1:19">
      <c r="A110" s="3"/>
      <c r="B110" s="587"/>
      <c r="C110" s="600"/>
      <c r="D110" s="579"/>
      <c r="E110" s="581"/>
      <c r="F110" s="579"/>
      <c r="G110" s="579"/>
      <c r="H110" s="582"/>
      <c r="I110" s="579"/>
      <c r="J110" s="310"/>
      <c r="K110" s="298"/>
      <c r="L110" s="351" t="s">
        <v>140</v>
      </c>
      <c r="M110" s="312"/>
      <c r="N110" s="3"/>
      <c r="O110" s="3"/>
      <c r="P110" s="3"/>
      <c r="Q110" s="3"/>
      <c r="R110" s="3"/>
      <c r="S110" s="3"/>
    </row>
    <row r="111" spans="1:19">
      <c r="A111" s="3"/>
      <c r="B111" s="587"/>
      <c r="C111" s="600"/>
      <c r="D111" s="579"/>
      <c r="E111" s="581"/>
      <c r="F111" s="579"/>
      <c r="G111" s="579"/>
      <c r="H111" s="582"/>
      <c r="I111" s="579"/>
      <c r="J111" s="310" t="s">
        <v>648</v>
      </c>
      <c r="K111" s="298"/>
      <c r="L111" s="298"/>
      <c r="M111" s="312"/>
      <c r="N111" s="3"/>
      <c r="O111" s="3"/>
      <c r="P111" s="3"/>
      <c r="Q111" s="3"/>
      <c r="R111" s="3"/>
      <c r="S111" s="3"/>
    </row>
    <row r="112" spans="1:19" ht="13.5" thickBot="1">
      <c r="A112" s="3"/>
      <c r="B112" s="588" t="s">
        <v>818</v>
      </c>
      <c r="C112" s="583" t="s">
        <v>818</v>
      </c>
      <c r="D112" s="583" t="s">
        <v>818</v>
      </c>
      <c r="E112" s="584"/>
      <c r="F112" s="583"/>
      <c r="G112" s="583"/>
      <c r="H112" s="585"/>
      <c r="I112" s="583"/>
      <c r="J112" s="313" t="s">
        <v>645</v>
      </c>
      <c r="K112" s="314"/>
      <c r="L112" s="314"/>
      <c r="M112" s="315"/>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818</v>
      </c>
      <c r="C114" s="3"/>
      <c r="D114" s="3"/>
      <c r="E114" s="3"/>
      <c r="F114" s="3"/>
      <c r="G114" s="3"/>
      <c r="H114" s="3"/>
      <c r="I114" s="3"/>
      <c r="J114" s="3"/>
      <c r="K114" s="3"/>
      <c r="L114" s="3"/>
      <c r="M114" s="3"/>
      <c r="N114" s="3"/>
      <c r="O114" s="3"/>
      <c r="P114" s="3"/>
      <c r="Q114" s="3"/>
      <c r="R114" s="3"/>
      <c r="S114" s="3"/>
    </row>
    <row r="115" spans="1:19" ht="13.5" thickBot="1">
      <c r="A115" s="3"/>
      <c r="B115" s="3"/>
      <c r="C115" s="3"/>
      <c r="D115" s="3"/>
      <c r="E115" s="3"/>
      <c r="F115" s="3"/>
      <c r="G115" s="3"/>
      <c r="H115" s="3"/>
      <c r="I115" s="3"/>
      <c r="J115" s="3"/>
      <c r="K115" s="3"/>
      <c r="L115" s="3"/>
      <c r="M115" s="3"/>
      <c r="N115" s="3"/>
      <c r="O115" s="3"/>
      <c r="P115" s="3"/>
      <c r="Q115" s="3"/>
      <c r="R115" s="3"/>
      <c r="S115" s="3"/>
    </row>
    <row r="116" spans="1:19">
      <c r="A116" s="3"/>
      <c r="B116" s="598" t="s">
        <v>646</v>
      </c>
      <c r="C116" s="575"/>
      <c r="D116" s="575"/>
      <c r="E116" s="575"/>
      <c r="F116" s="575"/>
      <c r="G116" s="575"/>
      <c r="H116" s="575"/>
      <c r="I116" s="575"/>
      <c r="J116" s="575"/>
      <c r="K116" s="575"/>
      <c r="L116" s="575"/>
      <c r="M116" s="576"/>
      <c r="N116" s="3"/>
      <c r="O116" s="3"/>
      <c r="P116" s="3"/>
      <c r="Q116" s="3"/>
      <c r="R116" s="3"/>
      <c r="S116" s="3"/>
    </row>
    <row r="117" spans="1:19">
      <c r="A117" s="3"/>
      <c r="B117" s="577"/>
      <c r="C117" s="141" t="s">
        <v>912</v>
      </c>
      <c r="D117" s="141"/>
      <c r="E117" s="141"/>
      <c r="F117" s="141"/>
      <c r="G117" s="141"/>
      <c r="H117" s="141"/>
      <c r="I117" s="141"/>
      <c r="J117" s="141"/>
      <c r="K117" s="141"/>
      <c r="L117" s="141"/>
      <c r="M117" s="143"/>
      <c r="N117" s="3"/>
      <c r="O117" s="3"/>
      <c r="P117" s="3"/>
      <c r="Q117" s="3"/>
      <c r="R117" s="3"/>
      <c r="S117" s="3"/>
    </row>
    <row r="118" spans="1:19">
      <c r="A118" s="3"/>
      <c r="B118" s="577"/>
      <c r="C118" s="141" t="s">
        <v>647</v>
      </c>
      <c r="D118" s="141"/>
      <c r="E118" s="141"/>
      <c r="F118" s="141"/>
      <c r="G118" s="141"/>
      <c r="H118" s="141"/>
      <c r="I118" s="141"/>
      <c r="J118" s="141"/>
      <c r="K118" s="141"/>
      <c r="L118" s="141"/>
      <c r="M118" s="143"/>
      <c r="N118" s="3"/>
      <c r="O118" s="3"/>
      <c r="P118" s="3"/>
      <c r="Q118" s="3"/>
      <c r="R118" s="3"/>
      <c r="S118" s="3"/>
    </row>
    <row r="119" spans="1:19" ht="13.5" thickBot="1">
      <c r="A119" s="3"/>
      <c r="B119" s="578"/>
      <c r="C119" s="146" t="s">
        <v>644</v>
      </c>
      <c r="D119" s="146"/>
      <c r="E119" s="146"/>
      <c r="F119" s="146"/>
      <c r="G119" s="146"/>
      <c r="H119" s="146"/>
      <c r="I119" s="146"/>
      <c r="J119" s="146"/>
      <c r="K119" s="146"/>
      <c r="L119" s="146"/>
      <c r="M119" s="150"/>
      <c r="N119" s="3"/>
      <c r="O119" s="3"/>
      <c r="P119" s="3"/>
      <c r="Q119" s="3"/>
      <c r="R119" s="3"/>
      <c r="S119" s="3"/>
    </row>
    <row r="120" spans="1:19">
      <c r="A120" s="3"/>
      <c r="B120" s="593" t="s">
        <v>557</v>
      </c>
      <c r="C120" s="594" t="s">
        <v>556</v>
      </c>
      <c r="D120" s="595"/>
      <c r="E120" s="596" t="s">
        <v>551</v>
      </c>
      <c r="F120" s="595"/>
      <c r="G120" s="595"/>
      <c r="H120" s="594" t="s">
        <v>552</v>
      </c>
      <c r="I120" s="595"/>
      <c r="J120" s="604"/>
      <c r="K120" s="308"/>
      <c r="L120" s="308"/>
      <c r="M120" s="309"/>
      <c r="N120" s="3"/>
      <c r="O120" s="3"/>
      <c r="P120" s="3"/>
      <c r="Q120" s="3"/>
      <c r="R120" s="3"/>
      <c r="S120" s="3"/>
    </row>
    <row r="121" spans="1:19">
      <c r="A121" s="3"/>
      <c r="B121" s="587">
        <v>1</v>
      </c>
      <c r="C121" s="589">
        <v>30</v>
      </c>
      <c r="D121" s="589" t="s">
        <v>857</v>
      </c>
      <c r="E121" s="581">
        <v>8</v>
      </c>
      <c r="F121" s="579" t="s">
        <v>553</v>
      </c>
      <c r="G121" s="579" t="s">
        <v>818</v>
      </c>
      <c r="H121" s="582">
        <v>0.08</v>
      </c>
      <c r="I121" s="579" t="s">
        <v>555</v>
      </c>
      <c r="J121" s="310"/>
      <c r="K121" s="298" t="s">
        <v>818</v>
      </c>
      <c r="L121" s="298"/>
      <c r="M121" s="312"/>
      <c r="N121" s="3"/>
      <c r="O121" s="3"/>
      <c r="P121" s="3"/>
      <c r="Q121" s="3"/>
      <c r="R121" s="3"/>
      <c r="S121" s="3"/>
    </row>
    <row r="122" spans="1:19">
      <c r="A122" s="3"/>
      <c r="B122" s="587">
        <v>2</v>
      </c>
      <c r="C122" s="589">
        <v>145</v>
      </c>
      <c r="D122" s="589" t="s">
        <v>857</v>
      </c>
      <c r="E122" s="581">
        <v>15</v>
      </c>
      <c r="F122" s="579" t="s">
        <v>553</v>
      </c>
      <c r="G122" s="579"/>
      <c r="H122" s="582">
        <v>0.15</v>
      </c>
      <c r="I122" s="579" t="s">
        <v>555</v>
      </c>
      <c r="J122" s="310"/>
      <c r="K122" s="298" t="s">
        <v>557</v>
      </c>
      <c r="L122" s="265">
        <v>7</v>
      </c>
      <c r="M122" s="312"/>
      <c r="N122" s="3"/>
      <c r="O122" s="3"/>
      <c r="P122" s="3"/>
      <c r="Q122" s="3"/>
      <c r="R122" s="3"/>
      <c r="S122" s="3"/>
    </row>
    <row r="123" spans="1:19">
      <c r="A123" s="3"/>
      <c r="B123" s="587">
        <v>3</v>
      </c>
      <c r="C123" s="589">
        <v>435</v>
      </c>
      <c r="D123" s="589" t="s">
        <v>857</v>
      </c>
      <c r="E123" s="581">
        <v>24</v>
      </c>
      <c r="F123" s="579" t="s">
        <v>553</v>
      </c>
      <c r="G123" s="579"/>
      <c r="H123" s="582">
        <v>0.24</v>
      </c>
      <c r="I123" s="579" t="s">
        <v>555</v>
      </c>
      <c r="J123" s="310"/>
      <c r="K123" s="298"/>
      <c r="L123" s="298"/>
      <c r="M123" s="312"/>
      <c r="N123" s="3"/>
      <c r="O123" s="3"/>
      <c r="P123" s="3"/>
      <c r="Q123" s="3"/>
      <c r="R123" s="3"/>
      <c r="S123" s="3"/>
    </row>
    <row r="124" spans="1:19">
      <c r="A124" s="3"/>
      <c r="B124" s="587">
        <v>4</v>
      </c>
      <c r="C124" s="589">
        <v>1270</v>
      </c>
      <c r="D124" s="589" t="s">
        <v>857</v>
      </c>
      <c r="E124" s="581">
        <v>57.5</v>
      </c>
      <c r="F124" s="579" t="s">
        <v>553</v>
      </c>
      <c r="G124" s="579"/>
      <c r="H124" s="601">
        <v>0.57499999999999996</v>
      </c>
      <c r="I124" s="579" t="s">
        <v>555</v>
      </c>
      <c r="J124" s="310"/>
      <c r="K124" s="298" t="s">
        <v>856</v>
      </c>
      <c r="L124" s="590">
        <f>INDEX(C121:C134,L122,1)</f>
        <v>10000</v>
      </c>
      <c r="M124" s="312"/>
      <c r="N124" s="3"/>
      <c r="O124" s="3"/>
      <c r="P124" s="3"/>
      <c r="Q124" s="3"/>
      <c r="R124" s="3"/>
      <c r="S124" s="3"/>
    </row>
    <row r="125" spans="1:19">
      <c r="A125" s="3"/>
      <c r="B125" s="587">
        <v>5</v>
      </c>
      <c r="C125" s="579">
        <v>2000</v>
      </c>
      <c r="D125" s="579" t="s">
        <v>857</v>
      </c>
      <c r="E125" s="603">
        <v>65.599999999999994</v>
      </c>
      <c r="F125" s="579" t="s">
        <v>553</v>
      </c>
      <c r="G125" s="579"/>
      <c r="H125" s="602">
        <v>0.65600000000000003</v>
      </c>
      <c r="I125" s="579" t="s">
        <v>555</v>
      </c>
      <c r="J125" s="310"/>
      <c r="K125" s="298"/>
      <c r="L125" s="298"/>
      <c r="M125" s="312"/>
      <c r="N125" s="3"/>
      <c r="O125" s="3"/>
      <c r="P125" s="3"/>
      <c r="Q125" s="3"/>
      <c r="R125" s="3"/>
      <c r="S125" s="3"/>
    </row>
    <row r="126" spans="1:19">
      <c r="A126" s="3"/>
      <c r="B126" s="587">
        <v>6</v>
      </c>
      <c r="C126" s="589">
        <v>2400</v>
      </c>
      <c r="D126" s="589" t="s">
        <v>857</v>
      </c>
      <c r="E126" s="581">
        <v>68.5</v>
      </c>
      <c r="F126" s="579" t="s">
        <v>553</v>
      </c>
      <c r="G126" s="579"/>
      <c r="H126" s="601">
        <v>0.68500000000000005</v>
      </c>
      <c r="I126" s="579" t="s">
        <v>555</v>
      </c>
      <c r="J126" s="310"/>
      <c r="K126" s="298" t="s">
        <v>558</v>
      </c>
      <c r="L126" s="591">
        <v>0.5</v>
      </c>
      <c r="M126" s="312"/>
      <c r="N126" s="3"/>
      <c r="O126" s="3"/>
      <c r="P126" s="3"/>
      <c r="Q126" s="3"/>
      <c r="R126" s="3"/>
      <c r="S126" s="3"/>
    </row>
    <row r="127" spans="1:19">
      <c r="A127" s="3"/>
      <c r="B127" s="587">
        <v>7</v>
      </c>
      <c r="C127" s="611">
        <v>10000</v>
      </c>
      <c r="D127" s="579" t="s">
        <v>857</v>
      </c>
      <c r="E127" s="603">
        <v>91.8</v>
      </c>
      <c r="F127" s="579" t="s">
        <v>553</v>
      </c>
      <c r="G127" s="579"/>
      <c r="H127" s="602">
        <v>0.91800000000000004</v>
      </c>
      <c r="I127" s="579" t="s">
        <v>555</v>
      </c>
      <c r="J127" s="310"/>
      <c r="K127" s="298"/>
      <c r="L127" s="298"/>
      <c r="M127" s="312"/>
      <c r="N127" s="3"/>
      <c r="O127" s="3"/>
      <c r="P127" s="3"/>
      <c r="Q127" s="3"/>
      <c r="R127" s="3"/>
      <c r="S127" s="3"/>
    </row>
    <row r="128" spans="1:19">
      <c r="A128" s="3"/>
      <c r="B128" s="587">
        <v>8</v>
      </c>
      <c r="C128" s="611">
        <v>18000</v>
      </c>
      <c r="D128" s="579" t="s">
        <v>857</v>
      </c>
      <c r="E128" s="603">
        <v>124.6</v>
      </c>
      <c r="F128" s="579" t="s">
        <v>553</v>
      </c>
      <c r="G128" s="579"/>
      <c r="H128" s="602">
        <v>1.246</v>
      </c>
      <c r="I128" s="579" t="s">
        <v>555</v>
      </c>
      <c r="J128" s="310"/>
      <c r="K128" s="298" t="s">
        <v>559</v>
      </c>
      <c r="L128" s="592">
        <f>(INDEX(H121:H134,L122,1))*L126</f>
        <v>0.45900000000000002</v>
      </c>
      <c r="M128" s="312"/>
      <c r="N128" s="3"/>
      <c r="O128" s="3"/>
      <c r="P128" s="3"/>
      <c r="Q128" s="3"/>
      <c r="R128" s="3"/>
      <c r="S128" s="3"/>
    </row>
    <row r="129" spans="1:19">
      <c r="A129" s="3"/>
      <c r="B129" s="587"/>
      <c r="C129" s="600"/>
      <c r="D129" s="579"/>
      <c r="E129" s="581"/>
      <c r="F129" s="579"/>
      <c r="G129" s="579"/>
      <c r="H129" s="582"/>
      <c r="I129" s="579"/>
      <c r="J129" s="310"/>
      <c r="K129" s="298"/>
      <c r="L129" s="298"/>
      <c r="M129" s="312"/>
      <c r="N129" s="3"/>
      <c r="O129" s="3"/>
      <c r="P129" s="3"/>
      <c r="Q129" s="3"/>
      <c r="R129" s="3"/>
      <c r="S129" s="3"/>
    </row>
    <row r="130" spans="1:19">
      <c r="A130" s="3"/>
      <c r="B130" s="587"/>
      <c r="C130" s="600"/>
      <c r="D130" s="579"/>
      <c r="E130" s="581"/>
      <c r="F130" s="579" t="s">
        <v>818</v>
      </c>
      <c r="G130" s="579"/>
      <c r="H130" s="582"/>
      <c r="I130" s="579"/>
      <c r="J130" s="310"/>
      <c r="K130" s="298"/>
      <c r="L130" s="298"/>
      <c r="M130" s="312"/>
      <c r="N130" s="3"/>
      <c r="O130" s="3"/>
      <c r="P130" s="3"/>
      <c r="Q130" s="3"/>
      <c r="R130" s="3"/>
      <c r="S130" s="3"/>
    </row>
    <row r="131" spans="1:19">
      <c r="A131" s="3"/>
      <c r="B131" s="587"/>
      <c r="C131" s="600"/>
      <c r="D131" s="579"/>
      <c r="E131" s="581"/>
      <c r="F131" s="579"/>
      <c r="G131" s="579"/>
      <c r="H131" s="582"/>
      <c r="I131" s="579"/>
      <c r="J131" s="310"/>
      <c r="K131" s="298"/>
      <c r="L131" s="298"/>
      <c r="M131" s="312"/>
      <c r="N131" s="3"/>
      <c r="O131" s="3"/>
      <c r="P131" s="3"/>
      <c r="Q131" s="3"/>
      <c r="R131" s="3"/>
      <c r="S131" s="3"/>
    </row>
    <row r="132" spans="1:19">
      <c r="A132" s="3"/>
      <c r="B132" s="587"/>
      <c r="C132" s="600"/>
      <c r="D132" s="579"/>
      <c r="E132" s="581"/>
      <c r="F132" s="579"/>
      <c r="G132" s="579"/>
      <c r="H132" s="582"/>
      <c r="I132" s="579"/>
      <c r="J132" s="310"/>
      <c r="K132" s="298"/>
      <c r="L132" s="351" t="s">
        <v>140</v>
      </c>
      <c r="M132" s="312"/>
      <c r="N132" s="3"/>
      <c r="O132" s="3"/>
      <c r="P132" s="3"/>
      <c r="Q132" s="3"/>
      <c r="R132" s="3"/>
      <c r="S132" s="3"/>
    </row>
    <row r="133" spans="1:19">
      <c r="A133" s="3"/>
      <c r="B133" s="587"/>
      <c r="C133" s="600"/>
      <c r="D133" s="579"/>
      <c r="E133" s="581"/>
      <c r="F133" s="579"/>
      <c r="G133" s="579"/>
      <c r="H133" s="582"/>
      <c r="I133" s="579"/>
      <c r="J133" s="310" t="s">
        <v>649</v>
      </c>
      <c r="K133" s="298"/>
      <c r="L133" s="298"/>
      <c r="M133" s="312"/>
      <c r="N133" s="3"/>
      <c r="O133" s="3"/>
      <c r="P133" s="3"/>
      <c r="Q133" s="3"/>
      <c r="R133" s="3"/>
      <c r="S133" s="3"/>
    </row>
    <row r="134" spans="1:19" ht="13.5" thickBot="1">
      <c r="A134" s="3"/>
      <c r="B134" s="588" t="s">
        <v>818</v>
      </c>
      <c r="C134" s="583" t="s">
        <v>818</v>
      </c>
      <c r="D134" s="583" t="s">
        <v>818</v>
      </c>
      <c r="E134" s="584"/>
      <c r="F134" s="583"/>
      <c r="G134" s="583"/>
      <c r="H134" s="585"/>
      <c r="I134" s="583"/>
      <c r="J134" s="313" t="s">
        <v>645</v>
      </c>
      <c r="K134" s="314"/>
      <c r="L134" s="314"/>
      <c r="M134" s="315"/>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5546875" defaultRowHeight="12.75"/>
  <cols>
    <col min="11" max="11" width="10.42578125" bestFit="1" customWidth="1"/>
    <col min="16" max="16" width="1.5703125" customWidth="1"/>
    <col min="17" max="17" width="10.85546875" customWidth="1"/>
  </cols>
  <sheetData>
    <row r="1" spans="1:24" ht="18.75" thickBot="1">
      <c r="A1" s="125" t="s">
        <v>705</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542"/>
      <c r="I2" s="542"/>
      <c r="J2" s="542"/>
      <c r="K2" s="542"/>
      <c r="L2" s="542"/>
      <c r="M2" s="542"/>
      <c r="N2" s="542"/>
      <c r="O2" s="542"/>
      <c r="P2" s="542"/>
      <c r="Q2" s="542"/>
      <c r="R2" s="542"/>
      <c r="S2" s="542"/>
      <c r="T2" s="3"/>
      <c r="U2" s="3"/>
      <c r="V2" s="3"/>
      <c r="W2" s="3"/>
      <c r="X2" s="3"/>
    </row>
    <row r="3" spans="1:24">
      <c r="A3" s="3"/>
      <c r="B3" s="351" t="s">
        <v>140</v>
      </c>
      <c r="C3" s="3"/>
      <c r="D3" s="3"/>
      <c r="E3" s="3"/>
      <c r="F3" s="3"/>
      <c r="G3" s="3"/>
      <c r="H3" s="542"/>
      <c r="I3" s="542"/>
      <c r="J3" s="542"/>
      <c r="K3" s="542"/>
      <c r="L3" s="542"/>
      <c r="M3" s="542"/>
      <c r="N3" s="542"/>
      <c r="O3" s="542"/>
      <c r="P3" s="542"/>
      <c r="Q3" s="542"/>
      <c r="R3" s="542"/>
      <c r="S3" s="542"/>
      <c r="T3" s="3"/>
      <c r="U3" s="3"/>
      <c r="V3" s="3"/>
      <c r="W3" s="3"/>
      <c r="X3" s="3"/>
    </row>
    <row r="4" spans="1:24">
      <c r="A4" s="3"/>
      <c r="B4" s="540"/>
      <c r="C4" s="3"/>
      <c r="D4" s="3"/>
      <c r="E4" s="3"/>
      <c r="F4" s="3"/>
      <c r="G4" s="3"/>
      <c r="H4" s="542"/>
      <c r="I4" s="542"/>
      <c r="J4" s="542"/>
      <c r="K4" s="542"/>
      <c r="L4" s="542"/>
      <c r="M4" s="542"/>
      <c r="N4" s="542"/>
      <c r="O4" s="542"/>
      <c r="P4" s="542"/>
      <c r="Q4" s="542"/>
      <c r="R4" s="542"/>
      <c r="S4" s="542"/>
      <c r="T4" s="3"/>
      <c r="U4" s="3"/>
      <c r="V4" s="3"/>
      <c r="W4" s="3"/>
      <c r="X4" s="3"/>
    </row>
    <row r="5" spans="1:24">
      <c r="A5" s="3"/>
      <c r="B5" s="540"/>
      <c r="C5" s="3"/>
      <c r="D5" s="3"/>
      <c r="E5" s="3"/>
      <c r="F5" s="3"/>
      <c r="G5" s="3"/>
      <c r="H5" s="542"/>
      <c r="I5" s="542"/>
      <c r="J5" s="542"/>
      <c r="K5" s="542"/>
      <c r="L5" s="542"/>
      <c r="M5" s="542"/>
      <c r="N5" s="542"/>
      <c r="O5" s="542"/>
      <c r="P5" s="542"/>
      <c r="Q5" s="542"/>
      <c r="R5" s="542"/>
      <c r="S5" s="542"/>
      <c r="T5" s="3"/>
      <c r="U5" s="3"/>
      <c r="V5" s="3"/>
      <c r="W5" s="3"/>
      <c r="X5" s="3"/>
    </row>
    <row r="6" spans="1:24">
      <c r="A6" s="3"/>
      <c r="B6" s="3"/>
      <c r="C6" s="3"/>
      <c r="D6" s="3" t="s">
        <v>531</v>
      </c>
      <c r="E6" s="3"/>
      <c r="F6" s="3"/>
      <c r="G6" s="3" t="s">
        <v>818</v>
      </c>
      <c r="H6" s="544">
        <v>2</v>
      </c>
      <c r="I6" s="288" t="s">
        <v>884</v>
      </c>
      <c r="J6" s="543"/>
      <c r="K6" s="543"/>
      <c r="L6" s="543"/>
      <c r="M6" s="543"/>
      <c r="N6" s="543"/>
      <c r="O6" s="543"/>
      <c r="P6" s="543"/>
      <c r="Q6" s="543"/>
      <c r="R6" s="543"/>
      <c r="S6" s="543"/>
      <c r="T6" s="3"/>
      <c r="U6" s="3"/>
      <c r="V6" s="3"/>
      <c r="W6" s="3"/>
      <c r="X6" s="3"/>
    </row>
    <row r="7" spans="1:24">
      <c r="A7" s="3"/>
      <c r="B7" s="3"/>
      <c r="C7" s="3"/>
      <c r="D7" s="3"/>
      <c r="E7" s="3"/>
      <c r="F7" s="3"/>
      <c r="G7" s="3"/>
      <c r="H7" s="3"/>
      <c r="I7" s="3"/>
      <c r="J7" s="3"/>
      <c r="K7" s="3" t="s">
        <v>655</v>
      </c>
      <c r="L7" s="3"/>
      <c r="M7" s="3"/>
      <c r="N7" s="3"/>
      <c r="O7" s="3"/>
      <c r="P7" s="3"/>
      <c r="Q7" s="3"/>
      <c r="R7" s="3"/>
      <c r="S7" s="3"/>
      <c r="T7" s="3"/>
      <c r="U7" s="3"/>
      <c r="V7" s="3"/>
      <c r="W7" s="3"/>
      <c r="X7" s="3"/>
    </row>
    <row r="8" spans="1:24">
      <c r="A8" s="3"/>
      <c r="B8" s="3"/>
      <c r="C8" s="3"/>
      <c r="D8" s="3" t="s">
        <v>530</v>
      </c>
      <c r="E8" s="3"/>
      <c r="F8" s="3"/>
      <c r="G8" s="541" t="s">
        <v>818</v>
      </c>
      <c r="H8" s="545">
        <v>1.5</v>
      </c>
      <c r="I8" s="535" t="s">
        <v>534</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532</v>
      </c>
      <c r="E10" s="3"/>
      <c r="F10" s="3"/>
      <c r="G10" s="3"/>
      <c r="H10" s="536">
        <f>(H6*((H8-1)^2))/((H8+1)^2)</f>
        <v>0.08</v>
      </c>
      <c r="I10" s="185" t="s">
        <v>884</v>
      </c>
      <c r="J10" s="3"/>
      <c r="K10" s="538">
        <f>H10/H6</f>
        <v>0.04</v>
      </c>
      <c r="L10" s="3" t="s">
        <v>654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533</v>
      </c>
      <c r="E12" s="3"/>
      <c r="F12" s="3"/>
      <c r="G12" s="3"/>
      <c r="H12" s="536">
        <f>H6-H10</f>
        <v>1.92</v>
      </c>
      <c r="I12" s="185" t="s">
        <v>884</v>
      </c>
      <c r="J12" s="3"/>
      <c r="K12" s="537">
        <f>1-K10</f>
        <v>0.96</v>
      </c>
      <c r="L12" s="3" t="s">
        <v>654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c r="A14" s="3"/>
      <c r="B14" s="3"/>
      <c r="C14" s="3"/>
      <c r="D14" s="3" t="s">
        <v>537</v>
      </c>
      <c r="E14" s="3"/>
      <c r="F14" s="3"/>
      <c r="G14" s="3"/>
      <c r="H14" s="539">
        <f>-10*LOG10(H12/H6)</f>
        <v>0.17728766960431602</v>
      </c>
      <c r="I14" s="185" t="s">
        <v>860</v>
      </c>
      <c r="J14" s="3"/>
      <c r="K14" s="3" t="s">
        <v>535</v>
      </c>
      <c r="L14" s="3"/>
      <c r="M14" s="3"/>
      <c r="N14" s="3"/>
      <c r="O14" s="3"/>
      <c r="P14" s="3"/>
      <c r="Q14" s="3"/>
      <c r="R14" s="3"/>
      <c r="S14" s="3"/>
      <c r="T14" s="3"/>
      <c r="U14" s="3"/>
      <c r="V14" s="3"/>
      <c r="W14" s="3"/>
      <c r="X14" s="3"/>
    </row>
    <row r="15" spans="1:24">
      <c r="A15" s="3"/>
      <c r="B15" s="3"/>
      <c r="C15" s="3"/>
      <c r="D15" s="3"/>
      <c r="E15" s="3"/>
      <c r="F15" s="3"/>
      <c r="G15" s="3"/>
      <c r="H15" s="543"/>
      <c r="I15" s="543"/>
      <c r="J15" s="543"/>
      <c r="K15" s="542" t="s">
        <v>536</v>
      </c>
      <c r="L15" s="543"/>
      <c r="M15" s="543"/>
      <c r="N15" s="543"/>
      <c r="O15" s="543"/>
      <c r="P15" s="543"/>
      <c r="Q15" s="543"/>
      <c r="R15" s="543"/>
      <c r="S15" s="543"/>
      <c r="T15" s="3"/>
      <c r="U15" s="3"/>
      <c r="V15" s="3"/>
      <c r="W15" s="3"/>
      <c r="X15" s="3"/>
    </row>
    <row r="16" spans="1:24">
      <c r="A16" s="3"/>
      <c r="B16" s="3"/>
      <c r="C16" s="3"/>
      <c r="D16" s="3"/>
      <c r="E16" s="3"/>
      <c r="F16" s="3"/>
      <c r="G16" s="3"/>
      <c r="H16" s="543"/>
      <c r="I16" s="543"/>
      <c r="J16" s="543"/>
      <c r="K16" s="543"/>
      <c r="L16" s="543"/>
      <c r="M16" s="543"/>
      <c r="N16" s="543"/>
      <c r="O16" s="543"/>
      <c r="P16" s="543"/>
      <c r="Q16" s="543"/>
      <c r="R16" s="543"/>
      <c r="S16" s="543"/>
      <c r="T16" s="3"/>
      <c r="U16" s="3"/>
      <c r="V16" s="3"/>
      <c r="W16" s="3"/>
      <c r="X16" s="3"/>
    </row>
    <row r="17" spans="1:24">
      <c r="A17" s="3"/>
      <c r="B17" s="3"/>
      <c r="C17" s="3"/>
      <c r="D17" s="3"/>
      <c r="E17" s="3"/>
      <c r="F17" s="3"/>
      <c r="G17" s="3"/>
      <c r="H17" s="543"/>
      <c r="I17" s="543"/>
      <c r="J17" s="543"/>
      <c r="K17" s="543"/>
      <c r="L17" s="543"/>
      <c r="M17" s="543"/>
      <c r="N17" s="543"/>
      <c r="O17" s="543"/>
      <c r="P17" s="543"/>
      <c r="Q17" s="543"/>
      <c r="R17" s="543"/>
      <c r="S17" s="543"/>
      <c r="T17" s="3"/>
      <c r="U17" s="37" t="s">
        <v>650</v>
      </c>
      <c r="V17" s="37"/>
      <c r="W17" s="37"/>
      <c r="X17" s="3"/>
    </row>
    <row r="18" spans="1:24">
      <c r="A18" s="3"/>
      <c r="B18" s="3"/>
      <c r="C18" s="3"/>
      <c r="D18" s="3"/>
      <c r="E18" s="3"/>
      <c r="F18" s="3"/>
      <c r="G18" s="3"/>
      <c r="H18" s="543"/>
      <c r="I18" s="543"/>
      <c r="J18" s="543"/>
      <c r="K18" s="543"/>
      <c r="L18" s="543"/>
      <c r="M18" s="543"/>
      <c r="N18" s="543"/>
      <c r="O18" s="543"/>
      <c r="P18" s="543"/>
      <c r="Q18" s="543"/>
      <c r="R18" s="543"/>
      <c r="S18" s="543"/>
      <c r="T18" s="3"/>
      <c r="U18" s="3" t="s">
        <v>656</v>
      </c>
      <c r="V18" s="33">
        <f>SQRT(O19^2+Q19^2)</f>
        <v>50</v>
      </c>
      <c r="W18" s="610" t="s">
        <v>651</v>
      </c>
      <c r="X18" s="3"/>
    </row>
    <row r="19" spans="1:24">
      <c r="A19" s="3"/>
      <c r="B19" s="3"/>
      <c r="C19" s="3"/>
      <c r="D19" s="3"/>
      <c r="E19" s="3"/>
      <c r="F19" s="3"/>
      <c r="G19" s="3"/>
      <c r="H19" s="543"/>
      <c r="I19" s="543"/>
      <c r="J19" s="543"/>
      <c r="K19" s="543"/>
      <c r="L19" s="543"/>
      <c r="M19" s="94" t="s">
        <v>573</v>
      </c>
      <c r="N19" s="543"/>
      <c r="O19" s="265">
        <v>50</v>
      </c>
      <c r="P19" s="607" t="s">
        <v>913</v>
      </c>
      <c r="Q19" s="608">
        <v>0</v>
      </c>
      <c r="R19" s="543"/>
      <c r="S19" s="543"/>
      <c r="T19" s="3"/>
      <c r="U19" s="3"/>
      <c r="V19" s="33"/>
      <c r="W19" s="3"/>
      <c r="X19" s="3"/>
    </row>
    <row r="20" spans="1:24">
      <c r="A20" s="3"/>
      <c r="B20" s="3"/>
      <c r="C20" s="3"/>
      <c r="D20" s="3"/>
      <c r="E20" s="3"/>
      <c r="F20" s="3"/>
      <c r="G20" s="3"/>
      <c r="H20" s="543"/>
      <c r="I20" s="543"/>
      <c r="J20" s="543"/>
      <c r="K20" s="543"/>
      <c r="L20" s="543"/>
      <c r="M20" s="543"/>
      <c r="N20" s="543"/>
      <c r="O20" s="543"/>
      <c r="P20" s="543"/>
      <c r="Q20" s="542"/>
      <c r="R20" s="543"/>
      <c r="S20" s="543"/>
      <c r="T20" s="3"/>
      <c r="U20" s="3" t="s">
        <v>657</v>
      </c>
      <c r="V20" s="33">
        <f>SQRT(O21^2+Q21^2)</f>
        <v>79.05694150420949</v>
      </c>
      <c r="W20" s="610" t="s">
        <v>651</v>
      </c>
      <c r="X20" s="3"/>
    </row>
    <row r="21" spans="1:24">
      <c r="A21" s="3"/>
      <c r="B21" s="3"/>
      <c r="C21" s="3"/>
      <c r="D21" s="3"/>
      <c r="E21" s="3"/>
      <c r="F21" s="3"/>
      <c r="G21" s="3"/>
      <c r="H21" s="543"/>
      <c r="I21" s="543"/>
      <c r="J21" s="543"/>
      <c r="K21" s="543"/>
      <c r="L21" s="543"/>
      <c r="M21" s="94" t="s">
        <v>574</v>
      </c>
      <c r="N21" s="543"/>
      <c r="O21" s="265">
        <v>75</v>
      </c>
      <c r="P21" s="607" t="s">
        <v>913</v>
      </c>
      <c r="Q21" s="608">
        <v>-25</v>
      </c>
      <c r="R21" s="543"/>
      <c r="S21" s="543"/>
      <c r="T21" s="3"/>
      <c r="U21" s="3"/>
      <c r="V21" s="3"/>
      <c r="W21" s="3"/>
      <c r="X21" s="3"/>
    </row>
    <row r="22" spans="1:24">
      <c r="A22" s="3"/>
      <c r="B22" s="3"/>
      <c r="C22" s="3"/>
      <c r="D22" s="3"/>
      <c r="E22" s="3"/>
      <c r="F22" s="3"/>
      <c r="G22" s="3"/>
      <c r="H22" s="543"/>
      <c r="I22" s="543"/>
      <c r="J22" s="543"/>
      <c r="K22" s="543"/>
      <c r="L22" s="543"/>
      <c r="M22" s="543"/>
      <c r="N22" s="543"/>
      <c r="O22" s="543"/>
      <c r="P22" s="543"/>
      <c r="Q22" s="543"/>
      <c r="R22" s="543"/>
      <c r="S22" s="543"/>
      <c r="T22" s="3"/>
      <c r="U22" s="3"/>
      <c r="V22" s="351" t="s">
        <v>140</v>
      </c>
      <c r="W22" s="3"/>
      <c r="X22" s="3"/>
    </row>
    <row r="23" spans="1:24">
      <c r="A23" s="3"/>
      <c r="B23" s="3"/>
      <c r="C23" s="3"/>
      <c r="D23" s="3"/>
      <c r="E23" s="3"/>
      <c r="F23" s="3"/>
      <c r="G23" s="3"/>
      <c r="H23" s="543"/>
      <c r="I23" s="543"/>
      <c r="J23" s="543"/>
      <c r="K23" s="543"/>
      <c r="L23" s="543"/>
      <c r="M23" s="94" t="s">
        <v>540</v>
      </c>
      <c r="N23" s="543"/>
      <c r="O23" s="718">
        <f>IF(V18&gt;V20, V18/V20, V20/V18)</f>
        <v>1.5811388300841898</v>
      </c>
      <c r="P23" s="512"/>
      <c r="Q23" s="543"/>
      <c r="R23" s="543"/>
      <c r="S23" s="543"/>
      <c r="T23" s="3"/>
      <c r="U23" s="3"/>
      <c r="V23" s="3"/>
      <c r="W23" s="3"/>
      <c r="X23" s="3"/>
    </row>
    <row r="24" spans="1:24">
      <c r="A24" s="3"/>
      <c r="B24" s="3"/>
      <c r="C24" s="3"/>
      <c r="D24" s="3"/>
      <c r="E24" s="3"/>
      <c r="F24" s="3"/>
      <c r="G24" s="3"/>
      <c r="H24" s="543"/>
      <c r="I24" s="543"/>
      <c r="J24" s="543"/>
      <c r="K24" s="543"/>
      <c r="L24" s="543"/>
      <c r="M24" s="543"/>
      <c r="N24" s="543"/>
      <c r="O24" s="543"/>
      <c r="P24" s="543"/>
      <c r="Q24" s="94" t="s">
        <v>652</v>
      </c>
      <c r="R24" s="543"/>
      <c r="S24" s="543"/>
      <c r="T24" s="3"/>
      <c r="U24" s="3"/>
      <c r="V24" s="3"/>
      <c r="W24" s="3"/>
      <c r="X24" s="3"/>
    </row>
    <row r="25" spans="1:24">
      <c r="A25" s="3"/>
      <c r="B25" s="3"/>
      <c r="C25" s="3"/>
      <c r="D25" s="3"/>
      <c r="E25" s="3"/>
      <c r="F25" s="3"/>
      <c r="G25" s="3"/>
      <c r="H25" s="543"/>
      <c r="I25" s="543"/>
      <c r="J25" s="543"/>
      <c r="K25" s="543"/>
      <c r="L25" s="543"/>
      <c r="M25" s="543"/>
      <c r="N25" s="543"/>
      <c r="O25" s="543"/>
      <c r="P25" s="543"/>
      <c r="Q25" s="543"/>
      <c r="R25" s="543"/>
      <c r="S25" s="543"/>
      <c r="T25" s="3"/>
      <c r="U25" s="3"/>
      <c r="V25" s="3"/>
      <c r="W25" s="3"/>
      <c r="X25" s="3"/>
    </row>
    <row r="26" spans="1:24">
      <c r="A26" s="3"/>
      <c r="B26" s="3"/>
      <c r="C26" s="3"/>
      <c r="D26" s="3"/>
      <c r="E26" s="3"/>
      <c r="F26" s="3"/>
      <c r="G26" s="3"/>
      <c r="H26" s="543"/>
      <c r="I26" s="543"/>
      <c r="J26" s="543"/>
      <c r="K26" s="543"/>
      <c r="L26" s="543"/>
      <c r="M26" s="543"/>
      <c r="N26" s="543"/>
      <c r="O26" s="543"/>
      <c r="P26" s="543"/>
      <c r="Q26" s="543"/>
      <c r="R26" s="543"/>
      <c r="S26" s="543"/>
      <c r="T26" s="3"/>
      <c r="U26" s="3"/>
      <c r="V26" s="3"/>
      <c r="W26" s="3"/>
      <c r="X26" s="3"/>
    </row>
    <row r="27" spans="1:24">
      <c r="A27" s="3"/>
      <c r="B27" s="3"/>
      <c r="C27" s="3"/>
      <c r="D27" s="3"/>
      <c r="E27" s="3"/>
      <c r="F27" s="3"/>
      <c r="G27" s="3"/>
      <c r="H27" s="543"/>
      <c r="I27" s="543"/>
      <c r="J27" s="543"/>
      <c r="K27" s="543"/>
      <c r="L27" s="543"/>
      <c r="M27" s="543"/>
      <c r="N27" s="543"/>
      <c r="O27" s="543"/>
      <c r="P27" s="543"/>
      <c r="Q27" s="543"/>
      <c r="R27" s="542" t="s">
        <v>255</v>
      </c>
      <c r="S27" s="543"/>
      <c r="T27" s="3"/>
      <c r="U27" s="3"/>
      <c r="V27" s="3"/>
      <c r="W27" s="3"/>
      <c r="X27" s="3"/>
    </row>
    <row r="28" spans="1:24">
      <c r="A28" s="3"/>
      <c r="B28" s="3"/>
      <c r="C28" s="3"/>
      <c r="D28" s="3"/>
      <c r="E28" s="3"/>
      <c r="F28" s="3"/>
      <c r="G28" s="3"/>
      <c r="H28" s="543"/>
      <c r="I28" s="543"/>
      <c r="J28" s="543"/>
      <c r="K28" s="543"/>
      <c r="L28" s="543"/>
      <c r="M28" s="543"/>
      <c r="N28" s="543"/>
      <c r="O28" s="543"/>
      <c r="P28" s="543"/>
      <c r="Q28" s="543"/>
      <c r="R28" s="542" t="s">
        <v>818</v>
      </c>
      <c r="S28" s="543"/>
      <c r="T28" s="3"/>
      <c r="U28" s="3"/>
      <c r="V28" s="3"/>
      <c r="W28" s="3"/>
      <c r="X28" s="3"/>
    </row>
    <row r="29" spans="1:24">
      <c r="A29" s="3"/>
      <c r="B29" s="3"/>
      <c r="C29" s="3"/>
      <c r="D29" s="3"/>
      <c r="E29" s="3"/>
      <c r="F29" s="3"/>
      <c r="G29" s="3"/>
      <c r="H29" s="543"/>
      <c r="I29" s="543"/>
      <c r="J29" s="543"/>
      <c r="K29" s="543"/>
      <c r="L29" s="543"/>
      <c r="M29" s="543"/>
      <c r="N29" s="543"/>
      <c r="O29" s="543"/>
      <c r="P29" s="543"/>
      <c r="Q29" s="543"/>
      <c r="R29" s="543"/>
      <c r="S29" s="543"/>
      <c r="T29" s="3"/>
      <c r="U29" s="3"/>
      <c r="V29" s="3"/>
      <c r="W29" s="3"/>
      <c r="X29" s="3"/>
    </row>
    <row r="30" spans="1:24">
      <c r="A30" s="3"/>
      <c r="B30" s="3"/>
      <c r="C30" s="3"/>
      <c r="D30" s="3"/>
      <c r="E30" s="3"/>
      <c r="F30" s="3"/>
      <c r="G30" s="3"/>
      <c r="H30" s="543"/>
      <c r="I30" s="543"/>
      <c r="J30" s="543"/>
      <c r="K30" s="543"/>
      <c r="L30" s="543"/>
      <c r="M30" s="543"/>
      <c r="N30" s="543"/>
      <c r="O30" s="543"/>
      <c r="P30" s="543"/>
      <c r="Q30" s="542" t="s">
        <v>653</v>
      </c>
      <c r="R30" s="543"/>
      <c r="S30" s="543"/>
      <c r="T30" s="3"/>
      <c r="U30" s="3"/>
      <c r="V30" s="3"/>
      <c r="W30" s="3"/>
      <c r="X30" s="3"/>
    </row>
    <row r="31" spans="1:24">
      <c r="A31" s="3"/>
      <c r="B31" s="3"/>
      <c r="C31" s="3"/>
      <c r="D31" s="3"/>
      <c r="E31" s="3"/>
      <c r="F31" s="3"/>
      <c r="G31" s="3"/>
      <c r="H31" s="543"/>
      <c r="I31" s="543"/>
      <c r="J31" s="543"/>
      <c r="K31" s="543"/>
      <c r="L31" s="543"/>
      <c r="M31" s="543"/>
      <c r="N31" s="543"/>
      <c r="O31" s="543"/>
      <c r="P31" s="543"/>
      <c r="Q31" s="543"/>
      <c r="R31" s="543"/>
      <c r="S31" s="543"/>
      <c r="T31" s="3"/>
      <c r="U31" s="3"/>
      <c r="V31" s="3"/>
      <c r="W31" s="3"/>
      <c r="X31" s="3"/>
    </row>
    <row r="32" spans="1:24">
      <c r="A32" s="3"/>
      <c r="B32" s="3"/>
      <c r="C32" s="3"/>
      <c r="D32" s="3"/>
      <c r="E32" s="3"/>
      <c r="F32" s="3"/>
      <c r="G32" s="3"/>
      <c r="H32" s="543"/>
      <c r="I32" s="543"/>
      <c r="J32" s="543"/>
      <c r="K32" s="543"/>
      <c r="L32" s="543"/>
      <c r="M32" s="507" t="s">
        <v>538</v>
      </c>
      <c r="N32" s="542"/>
      <c r="O32" s="542"/>
      <c r="P32" s="542"/>
      <c r="Q32" s="546">
        <v>5</v>
      </c>
      <c r="R32" s="542"/>
      <c r="S32" s="543"/>
      <c r="T32" s="3"/>
      <c r="U32" s="3"/>
      <c r="V32" s="3"/>
      <c r="W32" s="3"/>
      <c r="X32" s="3"/>
    </row>
    <row r="33" spans="1:24">
      <c r="A33" s="3"/>
      <c r="B33" s="3"/>
      <c r="C33" s="3"/>
      <c r="D33" s="3"/>
      <c r="E33" s="3"/>
      <c r="F33" s="3"/>
      <c r="G33" s="3"/>
      <c r="H33" s="543"/>
      <c r="I33" s="543"/>
      <c r="J33" s="543"/>
      <c r="K33" s="543"/>
      <c r="L33" s="543"/>
      <c r="M33" s="542"/>
      <c r="N33" s="542"/>
      <c r="O33" s="542"/>
      <c r="P33" s="542"/>
      <c r="Q33" s="542"/>
      <c r="R33" s="542"/>
      <c r="S33" s="543"/>
      <c r="T33" s="3"/>
      <c r="U33" s="3"/>
      <c r="V33" s="3"/>
      <c r="W33" s="3"/>
      <c r="X33" s="3"/>
    </row>
    <row r="34" spans="1:24">
      <c r="A34" s="3"/>
      <c r="B34" s="3"/>
      <c r="C34" s="3"/>
      <c r="D34" s="3"/>
      <c r="E34" s="3"/>
      <c r="F34" s="3"/>
      <c r="G34" s="3"/>
      <c r="H34" s="543"/>
      <c r="I34" s="543"/>
      <c r="J34" s="543"/>
      <c r="K34" s="543"/>
      <c r="L34" s="543"/>
      <c r="M34" s="542" t="s">
        <v>539</v>
      </c>
      <c r="N34" s="542"/>
      <c r="O34" s="542"/>
      <c r="P34" s="542"/>
      <c r="Q34" s="763">
        <v>0.25</v>
      </c>
      <c r="R34" s="542"/>
      <c r="S34" s="543"/>
      <c r="T34" s="3"/>
      <c r="U34" s="3"/>
      <c r="V34" s="3"/>
      <c r="W34" s="3"/>
      <c r="X34" s="3"/>
    </row>
    <row r="35" spans="1:24">
      <c r="A35" s="3"/>
      <c r="B35" s="3"/>
      <c r="C35" s="3"/>
      <c r="D35" s="3"/>
      <c r="E35" s="3"/>
      <c r="F35" s="3"/>
      <c r="G35" s="3"/>
      <c r="H35" s="543"/>
      <c r="I35" s="543"/>
      <c r="J35" s="543"/>
      <c r="K35" s="543"/>
      <c r="L35" s="543"/>
      <c r="M35" s="542"/>
      <c r="N35" s="542"/>
      <c r="O35" s="542"/>
      <c r="P35" s="542"/>
      <c r="Q35" s="542"/>
      <c r="R35" s="542"/>
      <c r="S35" s="543"/>
      <c r="T35" s="3"/>
      <c r="U35" s="3"/>
      <c r="V35" s="3"/>
      <c r="W35" s="3"/>
      <c r="X35" s="3"/>
    </row>
    <row r="36" spans="1:24">
      <c r="A36" s="3"/>
      <c r="B36" s="3"/>
      <c r="C36" s="3"/>
      <c r="D36" s="3"/>
      <c r="E36" s="3"/>
      <c r="F36" s="3"/>
      <c r="G36" s="3"/>
      <c r="H36" s="543"/>
      <c r="I36" s="543"/>
      <c r="J36" s="543"/>
      <c r="K36" s="543"/>
      <c r="L36" s="543"/>
      <c r="M36" s="542" t="s">
        <v>540</v>
      </c>
      <c r="N36" s="542"/>
      <c r="O36" s="542"/>
      <c r="P36" s="542"/>
      <c r="Q36" s="718">
        <f>(SQRT(Q32)+SQRT(Q34))/(SQRT(Q32)-SQRT(Q34))</f>
        <v>1.5760143110525873</v>
      </c>
      <c r="R36" s="542"/>
      <c r="S36" s="543"/>
      <c r="T36" s="3"/>
      <c r="U36" s="3"/>
      <c r="V36" s="3"/>
      <c r="W36" s="3"/>
      <c r="X36" s="3"/>
    </row>
    <row r="37" spans="1:24">
      <c r="A37" s="3"/>
      <c r="B37" s="3"/>
      <c r="C37" s="3"/>
      <c r="D37" s="3"/>
      <c r="E37" s="3"/>
      <c r="F37" s="3"/>
      <c r="G37" s="3"/>
      <c r="H37" s="543"/>
      <c r="I37" s="543"/>
      <c r="J37" s="543"/>
      <c r="K37" s="543"/>
      <c r="L37" s="543"/>
      <c r="M37" s="542"/>
      <c r="N37" s="542"/>
      <c r="O37" s="542"/>
      <c r="P37" s="542"/>
      <c r="Q37" s="542"/>
      <c r="R37" s="542"/>
      <c r="S37" s="543"/>
      <c r="T37" s="3"/>
      <c r="U37" s="3"/>
      <c r="V37" s="3"/>
      <c r="W37" s="3"/>
      <c r="X37" s="3"/>
    </row>
    <row r="38" spans="1:24">
      <c r="A38" s="3"/>
      <c r="B38" s="3"/>
      <c r="C38" s="3"/>
      <c r="D38" s="3"/>
      <c r="E38" s="3"/>
      <c r="F38" s="3"/>
      <c r="G38" s="3"/>
      <c r="H38" s="543"/>
      <c r="I38" s="543"/>
      <c r="J38" s="543"/>
      <c r="K38" s="543"/>
      <c r="L38" s="543"/>
      <c r="M38" s="542"/>
      <c r="N38" s="542"/>
      <c r="O38" s="542"/>
      <c r="P38" s="542"/>
      <c r="Q38" s="542"/>
      <c r="R38" s="542"/>
      <c r="S38" s="543"/>
      <c r="T38" s="3"/>
      <c r="U38" s="3"/>
      <c r="V38" s="3"/>
      <c r="W38" s="3"/>
      <c r="X38" s="3"/>
    </row>
    <row r="39" spans="1:24">
      <c r="A39" s="3"/>
      <c r="B39" s="3"/>
      <c r="C39" s="3"/>
      <c r="D39" s="3"/>
      <c r="E39" s="3"/>
      <c r="F39" s="3"/>
      <c r="G39" s="3"/>
      <c r="H39" s="543"/>
      <c r="I39" s="543"/>
      <c r="J39" s="543"/>
      <c r="K39" s="543"/>
      <c r="L39" s="543"/>
      <c r="M39" s="542"/>
      <c r="N39" s="542"/>
      <c r="O39" s="542"/>
      <c r="P39" s="542"/>
      <c r="Q39" s="543"/>
      <c r="R39" s="543"/>
      <c r="S39" s="543"/>
      <c r="T39" s="3"/>
      <c r="U39" s="3"/>
      <c r="V39" s="3"/>
      <c r="W39" s="3"/>
      <c r="X39" s="3"/>
    </row>
    <row r="40" spans="1:24">
      <c r="A40" s="3"/>
      <c r="B40" s="3"/>
      <c r="C40" s="3"/>
      <c r="D40" s="3"/>
      <c r="E40" s="3"/>
      <c r="F40" s="3"/>
      <c r="G40" s="3"/>
      <c r="H40" s="543"/>
      <c r="I40" s="543"/>
      <c r="J40" s="543"/>
      <c r="K40" s="543"/>
      <c r="L40" s="543"/>
      <c r="M40" s="542"/>
      <c r="N40" s="542"/>
      <c r="O40" s="542"/>
      <c r="P40" s="542"/>
      <c r="Q40" s="543"/>
      <c r="R40" s="543"/>
      <c r="S40" s="543"/>
      <c r="T40" s="3"/>
      <c r="U40" s="3"/>
      <c r="V40" s="3"/>
      <c r="W40" s="3"/>
      <c r="X40" s="3"/>
    </row>
    <row r="41" spans="1:24">
      <c r="A41" s="3"/>
      <c r="B41" s="3"/>
      <c r="C41" s="3"/>
      <c r="D41" s="3"/>
      <c r="E41" s="3"/>
      <c r="F41" s="3"/>
      <c r="G41" s="3"/>
      <c r="H41" s="543"/>
      <c r="I41" s="543"/>
      <c r="J41" s="543"/>
      <c r="K41" s="543"/>
      <c r="L41" s="543"/>
      <c r="M41" s="543"/>
      <c r="N41" s="543"/>
      <c r="O41" s="543"/>
      <c r="P41" s="543"/>
      <c r="Q41" s="543"/>
      <c r="R41" s="543"/>
      <c r="S41" s="543"/>
      <c r="T41" s="3"/>
      <c r="U41" s="3"/>
      <c r="V41" s="3"/>
      <c r="W41" s="3"/>
      <c r="X41" s="3"/>
    </row>
    <row r="42" spans="1:24">
      <c r="A42" s="3"/>
      <c r="B42" s="3"/>
      <c r="C42" s="3"/>
      <c r="D42" s="3"/>
      <c r="E42" s="3"/>
      <c r="F42" s="3"/>
      <c r="G42" s="351" t="s">
        <v>140</v>
      </c>
      <c r="H42" s="543"/>
      <c r="I42" s="543"/>
      <c r="J42" s="543"/>
      <c r="K42" s="543"/>
      <c r="L42" s="543"/>
      <c r="M42" s="543"/>
      <c r="N42" s="543"/>
      <c r="O42" s="543"/>
      <c r="P42" s="543"/>
      <c r="Q42" s="543"/>
      <c r="R42" s="543"/>
      <c r="S42" s="543"/>
      <c r="T42" s="3"/>
      <c r="U42" s="3"/>
      <c r="V42" s="3"/>
      <c r="W42" s="3"/>
      <c r="X42" s="3"/>
    </row>
    <row r="43" spans="1:24">
      <c r="A43" s="3"/>
      <c r="B43" s="3"/>
      <c r="C43" s="3"/>
      <c r="D43" s="3"/>
      <c r="E43" s="3"/>
      <c r="F43" s="3"/>
      <c r="G43" s="3"/>
      <c r="H43" s="543"/>
      <c r="I43" s="543"/>
      <c r="J43" s="543"/>
      <c r="K43" s="543"/>
      <c r="L43" s="543"/>
      <c r="M43" s="543"/>
      <c r="N43" s="543"/>
      <c r="O43" s="543"/>
      <c r="P43" s="543"/>
      <c r="Q43" s="543"/>
      <c r="R43" s="543"/>
      <c r="S43" s="543"/>
      <c r="T43" s="3"/>
      <c r="U43" s="3"/>
      <c r="V43" s="3"/>
      <c r="W43" s="3"/>
      <c r="X43" s="3"/>
    </row>
    <row r="44" spans="1:24">
      <c r="A44" s="3"/>
      <c r="B44" s="3"/>
      <c r="C44" s="3"/>
      <c r="D44" s="3"/>
      <c r="E44" s="3"/>
      <c r="F44" s="3"/>
      <c r="G44" s="3"/>
      <c r="H44" s="543"/>
      <c r="I44" s="543"/>
      <c r="J44" s="543"/>
      <c r="K44" s="543"/>
      <c r="L44" s="543"/>
      <c r="M44" s="543"/>
      <c r="N44" s="543"/>
      <c r="O44" s="543"/>
      <c r="P44" s="543"/>
      <c r="Q44" s="543"/>
      <c r="R44" s="543"/>
      <c r="S44" s="543"/>
      <c r="T44" s="3"/>
      <c r="U44" s="3"/>
      <c r="V44" s="3"/>
      <c r="W44" s="3"/>
      <c r="X44" s="3"/>
    </row>
    <row r="45" spans="1:24">
      <c r="A45" s="3"/>
      <c r="B45" s="3"/>
      <c r="C45" s="3"/>
      <c r="D45" s="3"/>
      <c r="E45" s="3"/>
      <c r="F45" s="3"/>
      <c r="G45" s="3"/>
      <c r="H45" s="543"/>
      <c r="I45" s="543"/>
      <c r="J45" s="543"/>
      <c r="K45" s="543"/>
      <c r="L45" s="543"/>
      <c r="M45" s="543"/>
      <c r="N45" s="543"/>
      <c r="O45" s="543"/>
      <c r="P45" s="543"/>
      <c r="Q45" s="543"/>
      <c r="R45" s="543"/>
      <c r="S45" s="543"/>
      <c r="T45" s="3"/>
      <c r="U45" s="3"/>
      <c r="V45" s="3"/>
      <c r="W45" s="3"/>
      <c r="X45" s="3"/>
    </row>
    <row r="46" spans="1:24">
      <c r="A46" s="3"/>
      <c r="B46" s="3"/>
      <c r="C46" s="3"/>
      <c r="D46" s="3"/>
      <c r="E46" s="3"/>
      <c r="F46" s="3"/>
      <c r="G46" s="3"/>
      <c r="H46" s="543"/>
      <c r="I46" s="543"/>
      <c r="J46" s="543"/>
      <c r="K46" s="543"/>
      <c r="L46" s="543"/>
      <c r="M46" s="543"/>
      <c r="N46" s="543"/>
      <c r="O46" s="543"/>
      <c r="P46" s="543"/>
      <c r="Q46" s="543"/>
      <c r="R46" s="543"/>
      <c r="S46" s="543"/>
      <c r="T46" s="3"/>
      <c r="U46" s="3"/>
      <c r="V46" s="3"/>
      <c r="W46" s="3"/>
      <c r="X46" s="3"/>
    </row>
    <row r="47" spans="1:24">
      <c r="A47" s="3"/>
      <c r="B47" s="3"/>
      <c r="C47" s="3"/>
      <c r="D47" s="3"/>
      <c r="E47" s="3"/>
      <c r="F47" s="3"/>
      <c r="G47" s="3"/>
      <c r="H47" s="543"/>
      <c r="I47" s="543"/>
      <c r="J47" s="543"/>
      <c r="K47" s="543"/>
      <c r="L47" s="543"/>
      <c r="M47" s="543"/>
      <c r="N47" s="543"/>
      <c r="O47" s="543"/>
      <c r="P47" s="543"/>
      <c r="Q47" s="543"/>
      <c r="R47" s="543"/>
      <c r="S47" s="543"/>
      <c r="T47" s="3"/>
      <c r="U47" s="3"/>
      <c r="V47" s="3"/>
      <c r="W47" s="3"/>
      <c r="X47" s="3"/>
    </row>
    <row r="48" spans="1:24">
      <c r="A48" s="3"/>
      <c r="B48" s="3"/>
      <c r="C48" s="3"/>
      <c r="D48" s="3"/>
      <c r="E48" s="3"/>
      <c r="F48" s="3"/>
      <c r="G48" s="3"/>
      <c r="H48" s="543"/>
      <c r="I48" s="543"/>
      <c r="J48" s="543"/>
      <c r="K48" s="543"/>
      <c r="L48" s="543"/>
      <c r="M48" s="543"/>
      <c r="N48" s="543"/>
      <c r="O48" s="543"/>
      <c r="P48" s="543"/>
      <c r="Q48" s="543"/>
      <c r="R48" s="543"/>
      <c r="S48" s="543"/>
      <c r="T48" s="3"/>
      <c r="U48" s="3"/>
      <c r="V48" s="3"/>
      <c r="W48" s="3"/>
      <c r="X48" s="3"/>
    </row>
    <row r="49" spans="1:24">
      <c r="A49" s="3"/>
      <c r="B49" s="3"/>
      <c r="C49" s="3"/>
      <c r="D49" s="3"/>
      <c r="E49" s="3"/>
      <c r="F49" s="3"/>
      <c r="G49" s="3"/>
      <c r="H49" s="543"/>
      <c r="I49" s="543"/>
      <c r="J49" s="543"/>
      <c r="K49" s="543"/>
      <c r="L49" s="543"/>
      <c r="M49" s="543"/>
      <c r="N49" s="543"/>
      <c r="O49" s="543"/>
      <c r="P49" s="543"/>
      <c r="Q49" s="543"/>
      <c r="R49" s="543"/>
      <c r="S49" s="543"/>
      <c r="T49" s="3"/>
      <c r="U49" s="3"/>
      <c r="V49" s="3"/>
      <c r="W49" s="3"/>
      <c r="X49" s="3"/>
    </row>
    <row r="50" spans="1:24">
      <c r="A50" s="3"/>
      <c r="B50" s="3"/>
      <c r="C50" s="3"/>
      <c r="D50" s="3"/>
      <c r="E50" s="3"/>
      <c r="F50" s="3"/>
      <c r="G50" s="3"/>
      <c r="H50" s="543"/>
      <c r="I50" s="543"/>
      <c r="J50" s="543"/>
      <c r="K50" s="543"/>
      <c r="L50" s="543"/>
      <c r="M50" s="543"/>
      <c r="N50" s="543"/>
      <c r="O50" s="543"/>
      <c r="P50" s="543"/>
      <c r="Q50" s="543"/>
      <c r="R50" s="543"/>
      <c r="S50" s="543"/>
      <c r="T50" s="3"/>
      <c r="U50" s="3"/>
      <c r="V50" s="3"/>
      <c r="W50" s="3"/>
      <c r="X50" s="3"/>
    </row>
    <row r="51" spans="1:24">
      <c r="A51" s="3"/>
      <c r="B51" s="3"/>
      <c r="C51" s="3"/>
      <c r="D51" s="3"/>
      <c r="E51" s="3"/>
      <c r="F51" s="3"/>
      <c r="G51" s="3"/>
      <c r="H51" s="543"/>
      <c r="I51" s="543"/>
      <c r="J51" s="543"/>
      <c r="K51" s="543"/>
      <c r="L51" s="543"/>
      <c r="M51" s="543"/>
      <c r="N51" s="543"/>
      <c r="O51" s="543"/>
      <c r="P51" s="543"/>
      <c r="Q51" s="543"/>
      <c r="R51" s="543"/>
      <c r="S51" s="543"/>
      <c r="T51" s="3"/>
      <c r="U51" s="3"/>
      <c r="V51" s="3"/>
      <c r="W51" s="3"/>
      <c r="X51" s="3"/>
    </row>
    <row r="52" spans="1:24">
      <c r="A52" s="3"/>
      <c r="B52" s="3"/>
      <c r="C52" s="3"/>
      <c r="D52" s="3"/>
      <c r="E52" s="3"/>
      <c r="F52" s="3"/>
      <c r="G52" s="3"/>
      <c r="H52" s="543"/>
      <c r="I52" s="543"/>
      <c r="J52" s="543"/>
      <c r="K52" s="543"/>
      <c r="L52" s="543"/>
      <c r="M52" s="543"/>
      <c r="N52" s="543"/>
      <c r="O52" s="543"/>
      <c r="P52" s="543"/>
      <c r="Q52" s="543"/>
      <c r="R52" s="543"/>
      <c r="S52" s="543"/>
      <c r="T52" s="3"/>
      <c r="U52" s="3"/>
      <c r="V52" s="3"/>
      <c r="W52" s="3"/>
      <c r="X52" s="3"/>
    </row>
    <row r="53" spans="1:24">
      <c r="A53" s="3"/>
      <c r="B53" s="3"/>
      <c r="C53" s="3"/>
      <c r="D53" s="3"/>
      <c r="E53" s="3"/>
      <c r="F53" s="3"/>
      <c r="G53" s="3"/>
      <c r="H53" s="543"/>
      <c r="I53" s="543"/>
      <c r="J53" s="543"/>
      <c r="K53" s="543"/>
      <c r="L53" s="543"/>
      <c r="M53" s="543"/>
      <c r="N53" s="543"/>
      <c r="O53" s="543"/>
      <c r="P53" s="543"/>
      <c r="Q53" s="543"/>
      <c r="R53" s="543"/>
      <c r="S53" s="543"/>
      <c r="T53" s="3"/>
      <c r="U53" s="3"/>
      <c r="V53" s="3"/>
      <c r="W53" s="3"/>
      <c r="X53" s="3"/>
    </row>
    <row r="54" spans="1:24">
      <c r="A54" s="3"/>
      <c r="B54" s="3"/>
      <c r="C54" s="3"/>
      <c r="D54" s="3"/>
      <c r="E54" s="3"/>
      <c r="F54" s="3"/>
      <c r="G54" s="3"/>
      <c r="H54" s="543"/>
      <c r="I54" s="543"/>
      <c r="J54" s="543"/>
      <c r="K54" s="543"/>
      <c r="L54" s="543"/>
      <c r="M54" s="543"/>
      <c r="N54" s="543"/>
      <c r="O54" s="543"/>
      <c r="P54" s="543"/>
      <c r="Q54" s="543"/>
      <c r="R54" s="543"/>
      <c r="S54" s="543"/>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50" zoomScaleNormal="150" workbookViewId="0">
      <selection activeCell="H4" sqref="H4"/>
    </sheetView>
  </sheetViews>
  <sheetFormatPr defaultColWidth="8.85546875" defaultRowHeight="12.75"/>
  <cols>
    <col min="2" max="2" width="10.140625" bestFit="1" customWidth="1"/>
    <col min="3" max="3" width="11.42578125" customWidth="1"/>
    <col min="11" max="11" width="9.5703125" customWidth="1"/>
  </cols>
  <sheetData>
    <row r="1" spans="1:19" ht="18.75" thickBot="1">
      <c r="A1" s="125" t="s">
        <v>708</v>
      </c>
      <c r="B1" s="127"/>
      <c r="C1" s="127"/>
      <c r="D1" s="127"/>
      <c r="E1" s="127"/>
      <c r="F1" s="127"/>
      <c r="G1" s="127"/>
      <c r="H1" s="127"/>
      <c r="I1" s="127"/>
      <c r="J1" s="688" t="str">
        <f>'Title Page'!F3</f>
        <v>OreSat - CS0</v>
      </c>
      <c r="K1" s="127"/>
      <c r="L1" s="127"/>
      <c r="M1" s="687" t="str">
        <f>'Title Page'!F23</f>
        <v>2018 October 19</v>
      </c>
      <c r="N1" s="127"/>
      <c r="O1" s="127"/>
      <c r="P1" s="127"/>
      <c r="Q1" s="127"/>
      <c r="R1" s="127"/>
      <c r="S1" s="127"/>
    </row>
    <row r="2" spans="1:19">
      <c r="A2" s="234"/>
      <c r="B2" s="675"/>
      <c r="C2" s="675"/>
      <c r="D2" s="675"/>
      <c r="E2" s="675"/>
      <c r="F2" s="675"/>
      <c r="G2" s="675"/>
      <c r="H2" s="675"/>
      <c r="I2" s="675"/>
      <c r="J2" s="675"/>
      <c r="K2" s="675"/>
      <c r="L2" s="675"/>
      <c r="M2" s="675"/>
      <c r="N2" s="675"/>
      <c r="O2" s="675"/>
      <c r="P2" s="675"/>
      <c r="Q2" s="675"/>
      <c r="R2" s="675"/>
      <c r="S2" s="234"/>
    </row>
    <row r="3" spans="1:19">
      <c r="A3" s="234"/>
      <c r="B3" s="701"/>
      <c r="C3" s="675"/>
      <c r="D3" s="675"/>
      <c r="E3" s="675"/>
      <c r="F3" s="675"/>
      <c r="G3" s="675"/>
      <c r="H3" s="675"/>
      <c r="I3" s="675"/>
      <c r="J3" s="675"/>
      <c r="K3" s="675"/>
      <c r="L3" s="675"/>
      <c r="M3" s="675"/>
      <c r="N3" s="675"/>
      <c r="O3" s="675"/>
      <c r="P3" s="675"/>
      <c r="Q3" s="675"/>
      <c r="R3" s="675"/>
      <c r="S3" s="234"/>
    </row>
    <row r="4" spans="1:19">
      <c r="A4" s="234"/>
      <c r="B4" s="675"/>
      <c r="C4" s="675"/>
      <c r="D4" s="675"/>
      <c r="E4" s="675"/>
      <c r="F4" s="675"/>
      <c r="G4" s="675"/>
      <c r="H4" s="675"/>
      <c r="I4" s="675"/>
      <c r="J4" s="675"/>
      <c r="K4" s="675"/>
      <c r="L4" s="675"/>
      <c r="M4" s="675"/>
      <c r="N4" s="675"/>
      <c r="O4" s="675"/>
      <c r="P4" s="675"/>
      <c r="Q4" s="675"/>
      <c r="R4" s="675"/>
      <c r="S4" s="234"/>
    </row>
    <row r="5" spans="1:19" ht="15.75">
      <c r="A5" s="234"/>
      <c r="B5" s="671" t="s">
        <v>709</v>
      </c>
      <c r="C5" s="672"/>
      <c r="D5" s="676"/>
      <c r="E5" s="676"/>
      <c r="F5" s="676"/>
      <c r="G5" s="676"/>
      <c r="H5" s="676"/>
      <c r="I5" s="676"/>
      <c r="J5" s="676"/>
      <c r="K5" s="676"/>
      <c r="L5" s="676"/>
      <c r="M5" s="676"/>
      <c r="N5" s="676"/>
      <c r="O5" s="676"/>
      <c r="P5" s="676"/>
      <c r="Q5" s="676"/>
      <c r="R5" s="676"/>
      <c r="S5" s="234"/>
    </row>
    <row r="6" spans="1:19">
      <c r="A6" s="234"/>
      <c r="B6" s="676"/>
      <c r="C6" s="676"/>
      <c r="D6" s="676"/>
      <c r="E6" s="676"/>
      <c r="F6" s="676"/>
      <c r="G6" s="676"/>
      <c r="H6" s="676"/>
      <c r="I6" s="676"/>
      <c r="J6" s="676"/>
      <c r="K6" s="676"/>
      <c r="L6" s="676"/>
      <c r="M6" s="676"/>
      <c r="N6" s="676"/>
      <c r="O6" s="676"/>
      <c r="P6" s="676"/>
      <c r="Q6" s="676"/>
      <c r="R6" s="676"/>
      <c r="S6" s="234"/>
    </row>
    <row r="7" spans="1:19">
      <c r="A7" s="234"/>
      <c r="B7" s="676" t="s">
        <v>710</v>
      </c>
      <c r="C7" s="676"/>
      <c r="D7" s="676"/>
      <c r="E7" s="676"/>
      <c r="F7" s="676"/>
      <c r="G7" s="676"/>
      <c r="H7" s="676"/>
      <c r="I7" s="676"/>
      <c r="J7" s="676"/>
      <c r="K7" s="676"/>
      <c r="L7" s="676"/>
      <c r="M7" s="676"/>
      <c r="N7" s="676"/>
      <c r="O7" s="676"/>
      <c r="P7" s="676"/>
      <c r="Q7" s="676"/>
      <c r="R7" s="676"/>
      <c r="S7" s="234"/>
    </row>
    <row r="8" spans="1:19">
      <c r="A8" s="234"/>
      <c r="B8" s="676" t="s">
        <v>773</v>
      </c>
      <c r="C8" s="676"/>
      <c r="D8" s="676"/>
      <c r="E8" s="676"/>
      <c r="F8" s="676"/>
      <c r="G8" s="676"/>
      <c r="H8" s="676"/>
      <c r="I8" s="676"/>
      <c r="J8" s="676"/>
      <c r="K8" s="676"/>
      <c r="L8" s="676"/>
      <c r="M8" s="676"/>
      <c r="N8" s="676"/>
      <c r="O8" s="676"/>
      <c r="P8" s="676"/>
      <c r="Q8" s="676"/>
      <c r="R8" s="676"/>
      <c r="S8" s="234"/>
    </row>
    <row r="9" spans="1:19">
      <c r="A9" s="234"/>
      <c r="B9" s="676" t="s">
        <v>796</v>
      </c>
      <c r="C9" s="676"/>
      <c r="D9" s="676"/>
      <c r="E9" s="676"/>
      <c r="F9" s="676"/>
      <c r="G9" s="676"/>
      <c r="H9" s="676"/>
      <c r="I9" s="676"/>
      <c r="J9" s="676"/>
      <c r="K9" s="676"/>
      <c r="L9" s="676"/>
      <c r="M9" s="676"/>
      <c r="N9" s="676"/>
      <c r="O9" s="676"/>
      <c r="P9" s="676"/>
      <c r="Q9" s="676"/>
      <c r="R9" s="676"/>
      <c r="S9" s="234"/>
    </row>
    <row r="10" spans="1:19">
      <c r="A10" s="234"/>
      <c r="B10" s="676" t="s">
        <v>797</v>
      </c>
      <c r="C10" s="676"/>
      <c r="D10" s="676"/>
      <c r="E10" s="676"/>
      <c r="F10" s="676"/>
      <c r="G10" s="676"/>
      <c r="H10" s="676"/>
      <c r="I10" s="676"/>
      <c r="J10" s="676"/>
      <c r="K10" s="676"/>
      <c r="L10" s="676"/>
      <c r="M10" s="676"/>
      <c r="N10" s="676"/>
      <c r="O10" s="676"/>
      <c r="P10" s="676"/>
      <c r="Q10" s="676"/>
      <c r="R10" s="676"/>
      <c r="S10" s="234"/>
    </row>
    <row r="11" spans="1:19">
      <c r="A11" s="234"/>
      <c r="B11" s="676" t="s">
        <v>736</v>
      </c>
      <c r="C11" s="676"/>
      <c r="D11" s="676"/>
      <c r="E11" s="676"/>
      <c r="F11" s="676"/>
      <c r="G11" s="676"/>
      <c r="H11" s="676"/>
      <c r="I11" s="676"/>
      <c r="J11" s="676"/>
      <c r="K11" s="676"/>
      <c r="L11" s="676"/>
      <c r="M11" s="676"/>
      <c r="N11" s="676"/>
      <c r="O11" s="676"/>
      <c r="P11" s="676"/>
      <c r="Q11" s="676"/>
      <c r="R11" s="676"/>
      <c r="S11" s="234"/>
    </row>
    <row r="12" spans="1:19">
      <c r="A12" s="234"/>
      <c r="B12" s="676"/>
      <c r="C12" s="676"/>
      <c r="D12" s="676"/>
      <c r="E12" s="676"/>
      <c r="F12" s="676"/>
      <c r="G12" s="676"/>
      <c r="H12" s="676"/>
      <c r="I12" s="676"/>
      <c r="J12" s="676"/>
      <c r="K12" s="676"/>
      <c r="L12" s="676"/>
      <c r="M12" s="676"/>
      <c r="N12" s="676"/>
      <c r="O12" s="676"/>
      <c r="P12" s="676"/>
      <c r="Q12" s="676"/>
      <c r="R12" s="676"/>
      <c r="S12" s="234"/>
    </row>
    <row r="13" spans="1:19" ht="15.75">
      <c r="A13" s="234"/>
      <c r="B13" s="671" t="s">
        <v>711</v>
      </c>
      <c r="C13" s="673"/>
      <c r="D13" s="672"/>
      <c r="E13" s="676"/>
      <c r="F13" s="676"/>
      <c r="G13" s="676"/>
      <c r="H13" s="676"/>
      <c r="I13" s="676"/>
      <c r="J13" s="676"/>
      <c r="K13" s="676"/>
      <c r="L13" s="676"/>
      <c r="M13" s="676"/>
      <c r="N13" s="676"/>
      <c r="O13" s="676"/>
      <c r="P13" s="676"/>
      <c r="Q13" s="676"/>
      <c r="R13" s="676"/>
      <c r="S13" s="234"/>
    </row>
    <row r="14" spans="1:19">
      <c r="A14" s="234"/>
      <c r="B14" s="676"/>
      <c r="C14" s="676"/>
      <c r="D14" s="676"/>
      <c r="E14" s="676"/>
      <c r="F14" s="676"/>
      <c r="G14" s="676"/>
      <c r="H14" s="676"/>
      <c r="I14" s="676"/>
      <c r="J14" s="676"/>
      <c r="K14" s="676"/>
      <c r="L14" s="676"/>
      <c r="M14" s="676"/>
      <c r="N14" s="676"/>
      <c r="O14" s="676"/>
      <c r="P14" s="676"/>
      <c r="Q14" s="676"/>
      <c r="R14" s="676"/>
      <c r="S14" s="234"/>
    </row>
    <row r="15" spans="1:19">
      <c r="A15" s="234"/>
      <c r="B15" s="676"/>
      <c r="C15" s="674" t="s">
        <v>712</v>
      </c>
      <c r="D15" s="676" t="s">
        <v>762</v>
      </c>
      <c r="E15" s="676"/>
      <c r="F15" s="676"/>
      <c r="G15" s="676"/>
      <c r="H15" s="676"/>
      <c r="I15" s="676"/>
      <c r="J15" s="676"/>
      <c r="K15" s="676"/>
      <c r="L15" s="676"/>
      <c r="M15" s="676"/>
      <c r="N15" s="676"/>
      <c r="O15" s="676"/>
      <c r="P15" s="676"/>
      <c r="Q15" s="676"/>
      <c r="R15" s="676"/>
      <c r="S15" s="234"/>
    </row>
    <row r="16" spans="1:19">
      <c r="A16" s="234"/>
      <c r="B16" s="234"/>
      <c r="C16" s="234" t="s">
        <v>728</v>
      </c>
      <c r="D16" s="234"/>
      <c r="E16" s="234"/>
      <c r="F16" s="234"/>
      <c r="G16" s="234"/>
      <c r="H16" s="234"/>
      <c r="I16" s="234"/>
      <c r="J16" s="234"/>
      <c r="K16" s="234"/>
      <c r="L16" s="234"/>
      <c r="M16" s="234"/>
      <c r="N16" s="234"/>
      <c r="O16" s="234"/>
      <c r="P16" s="234"/>
      <c r="Q16" s="234"/>
      <c r="R16" s="234"/>
      <c r="S16" s="234"/>
    </row>
    <row r="17" spans="1:19">
      <c r="A17" s="234"/>
      <c r="B17" s="234"/>
      <c r="C17" s="234" t="s">
        <v>713</v>
      </c>
      <c r="D17" s="234"/>
      <c r="E17" s="234"/>
      <c r="F17" s="234"/>
      <c r="G17" s="234"/>
      <c r="H17" s="234"/>
      <c r="I17" s="234"/>
      <c r="J17" s="234"/>
      <c r="K17" s="234"/>
      <c r="L17" s="234"/>
      <c r="M17" s="234"/>
      <c r="N17" s="234"/>
      <c r="O17" s="234"/>
      <c r="P17" s="234"/>
      <c r="Q17" s="234"/>
      <c r="R17" s="234"/>
      <c r="S17" s="234"/>
    </row>
    <row r="18" spans="1:19">
      <c r="A18" s="234"/>
      <c r="B18" s="234"/>
      <c r="C18" s="234" t="s">
        <v>727</v>
      </c>
      <c r="D18" s="234"/>
      <c r="E18" s="234"/>
      <c r="F18" s="234"/>
      <c r="G18" s="234"/>
      <c r="H18" s="234"/>
      <c r="I18" s="234"/>
      <c r="J18" s="234"/>
      <c r="K18" s="234"/>
      <c r="L18" s="234"/>
      <c r="M18" s="234"/>
      <c r="N18" s="234"/>
      <c r="O18" s="234"/>
      <c r="P18" s="234"/>
      <c r="Q18" s="234"/>
      <c r="R18" s="234"/>
      <c r="S18" s="234"/>
    </row>
    <row r="19" spans="1:19">
      <c r="A19" s="234"/>
      <c r="B19" s="234"/>
      <c r="C19" s="234" t="s">
        <v>714</v>
      </c>
      <c r="D19" s="234"/>
      <c r="E19" s="234"/>
      <c r="F19" s="234"/>
      <c r="G19" s="234"/>
      <c r="H19" s="234"/>
      <c r="I19" s="234"/>
      <c r="J19" s="234"/>
      <c r="K19" s="234"/>
      <c r="L19" s="234"/>
      <c r="M19" s="234"/>
      <c r="N19" s="234"/>
      <c r="O19" s="234"/>
      <c r="P19" s="234"/>
      <c r="Q19" s="234"/>
      <c r="R19" s="234"/>
      <c r="S19" s="234"/>
    </row>
    <row r="20" spans="1:19">
      <c r="A20" s="234"/>
      <c r="B20" s="234"/>
      <c r="C20" t="s">
        <v>715</v>
      </c>
      <c r="H20" s="3"/>
      <c r="I20" t="s">
        <v>716</v>
      </c>
      <c r="J20" s="650"/>
      <c r="K20" t="s">
        <v>717</v>
      </c>
      <c r="L20" s="434"/>
      <c r="M20" s="234" t="s">
        <v>718</v>
      </c>
      <c r="N20" s="234"/>
      <c r="O20" s="234"/>
      <c r="P20" s="234"/>
      <c r="Q20" s="234"/>
      <c r="R20" s="234"/>
      <c r="S20" s="234"/>
    </row>
    <row r="21" spans="1:19">
      <c r="A21" s="234"/>
      <c r="B21" s="234"/>
      <c r="C21" s="234" t="s">
        <v>785</v>
      </c>
      <c r="D21" s="234"/>
      <c r="E21" s="234"/>
      <c r="F21" s="234"/>
      <c r="G21" s="234"/>
      <c r="H21" s="234"/>
      <c r="I21" s="234"/>
      <c r="J21" s="234"/>
      <c r="K21" s="234"/>
      <c r="L21" s="234"/>
      <c r="M21" s="234"/>
      <c r="N21" s="234"/>
      <c r="O21" s="234"/>
      <c r="P21" s="234"/>
      <c r="Q21" s="234"/>
      <c r="R21" s="234"/>
      <c r="S21" s="234"/>
    </row>
    <row r="22" spans="1:19">
      <c r="A22" s="234"/>
      <c r="B22" s="234"/>
      <c r="C22" s="234"/>
      <c r="D22" s="234"/>
      <c r="E22" s="234"/>
      <c r="F22" s="234"/>
      <c r="G22" s="234"/>
      <c r="H22" s="234"/>
      <c r="I22" s="234"/>
      <c r="J22" s="234"/>
      <c r="K22" s="234"/>
      <c r="L22" s="234"/>
      <c r="M22" s="234"/>
      <c r="N22" s="234"/>
      <c r="O22" s="234"/>
      <c r="P22" s="234"/>
      <c r="Q22" s="234"/>
      <c r="R22" s="234"/>
      <c r="S22" s="234"/>
    </row>
    <row r="23" spans="1:19">
      <c r="A23" s="234"/>
      <c r="B23" s="234"/>
      <c r="C23" s="234"/>
      <c r="D23" s="351" t="s">
        <v>140</v>
      </c>
      <c r="E23" s="234" t="s">
        <v>761</v>
      </c>
      <c r="F23" s="234"/>
      <c r="G23" s="234"/>
      <c r="H23" s="234"/>
      <c r="I23" s="234"/>
      <c r="J23" s="234"/>
      <c r="K23" s="234"/>
      <c r="L23" s="234"/>
      <c r="M23" s="234"/>
      <c r="N23" s="234"/>
      <c r="O23" s="234"/>
      <c r="P23" s="234"/>
      <c r="Q23" s="234"/>
      <c r="R23" s="234"/>
      <c r="S23" s="234"/>
    </row>
    <row r="24" spans="1:19">
      <c r="A24" s="234"/>
      <c r="B24" s="234"/>
      <c r="C24" s="234"/>
      <c r="D24" s="234" t="s">
        <v>719</v>
      </c>
      <c r="E24" s="234"/>
      <c r="F24" s="234"/>
      <c r="G24" s="234"/>
      <c r="H24" s="234"/>
      <c r="I24" s="234"/>
      <c r="J24" s="234"/>
      <c r="K24" s="234"/>
      <c r="L24" s="234"/>
      <c r="M24" s="234"/>
      <c r="N24" s="234"/>
      <c r="O24" s="234"/>
      <c r="P24" s="234"/>
      <c r="Q24" s="234"/>
      <c r="R24" s="234"/>
      <c r="S24" s="234"/>
    </row>
    <row r="25" spans="1:19">
      <c r="A25" s="234"/>
      <c r="B25" s="234"/>
      <c r="C25" s="234"/>
      <c r="D25" s="234" t="s">
        <v>720</v>
      </c>
      <c r="E25" s="234"/>
      <c r="F25" s="234"/>
      <c r="G25" s="234"/>
      <c r="H25" s="234"/>
      <c r="I25" s="234"/>
      <c r="J25" s="234"/>
      <c r="K25" s="234"/>
      <c r="L25" s="234"/>
      <c r="M25" s="234"/>
      <c r="N25" s="234"/>
      <c r="O25" s="234"/>
      <c r="P25" s="234"/>
      <c r="Q25" s="234"/>
      <c r="R25" s="234"/>
      <c r="S25" s="234"/>
    </row>
    <row r="26" spans="1:19">
      <c r="A26" s="234"/>
      <c r="B26" s="234"/>
      <c r="C26" s="234"/>
      <c r="D26" s="234" t="s">
        <v>722</v>
      </c>
      <c r="E26" s="234"/>
      <c r="F26" s="234"/>
      <c r="G26" s="234"/>
      <c r="H26" s="234"/>
      <c r="I26" s="234"/>
      <c r="J26" s="234"/>
      <c r="K26" s="234"/>
      <c r="L26" s="234"/>
      <c r="M26" s="234"/>
      <c r="N26" s="234"/>
      <c r="O26" s="234"/>
      <c r="P26" s="234"/>
      <c r="Q26" s="234"/>
      <c r="R26" s="234"/>
      <c r="S26" s="234"/>
    </row>
    <row r="27" spans="1:19">
      <c r="A27" s="234"/>
      <c r="B27" s="234"/>
      <c r="C27" s="234"/>
      <c r="D27" s="234" t="s">
        <v>721</v>
      </c>
      <c r="E27" s="234"/>
      <c r="F27" s="234"/>
      <c r="G27" s="234"/>
      <c r="H27" s="234"/>
      <c r="I27" s="234"/>
      <c r="J27" s="234"/>
      <c r="K27" s="234"/>
      <c r="L27" s="234"/>
      <c r="M27" s="234"/>
      <c r="N27" s="234"/>
      <c r="O27" s="234"/>
      <c r="P27" s="234"/>
      <c r="Q27" s="234"/>
      <c r="R27" s="234"/>
      <c r="S27" s="234"/>
    </row>
    <row r="28" spans="1:19">
      <c r="A28" s="234"/>
      <c r="B28" s="234"/>
      <c r="C28" s="234"/>
      <c r="D28" s="234" t="s">
        <v>377</v>
      </c>
      <c r="E28" s="234"/>
      <c r="F28" s="234"/>
      <c r="G28" s="234"/>
      <c r="H28" s="234"/>
      <c r="I28" s="234"/>
      <c r="J28" s="234"/>
      <c r="K28" s="234"/>
      <c r="L28" s="234"/>
      <c r="M28" s="234"/>
      <c r="N28" s="234"/>
      <c r="O28" s="234"/>
      <c r="P28" s="234"/>
      <c r="Q28" s="234"/>
      <c r="R28" s="234"/>
      <c r="S28" s="234"/>
    </row>
    <row r="29" spans="1:19">
      <c r="A29" s="234"/>
      <c r="B29" s="234"/>
      <c r="C29" s="234"/>
      <c r="D29" s="234" t="s">
        <v>561</v>
      </c>
      <c r="E29" s="234"/>
      <c r="F29" s="234"/>
      <c r="G29" s="234"/>
      <c r="H29" s="234"/>
      <c r="I29" s="234"/>
      <c r="J29" s="234"/>
      <c r="K29" s="234"/>
      <c r="L29" s="234"/>
      <c r="M29" s="234"/>
      <c r="N29" s="234"/>
      <c r="O29" s="234"/>
      <c r="P29" s="234"/>
      <c r="Q29" s="234"/>
      <c r="R29" s="234"/>
      <c r="S29" s="234"/>
    </row>
    <row r="30" spans="1:19">
      <c r="A30" s="234"/>
      <c r="B30" s="234"/>
      <c r="C30" s="234"/>
      <c r="D30" s="234" t="s">
        <v>723</v>
      </c>
      <c r="E30" s="234"/>
      <c r="F30" s="234"/>
      <c r="G30" s="234"/>
      <c r="H30" s="234"/>
      <c r="I30" s="234"/>
      <c r="J30" s="234"/>
      <c r="K30" s="234"/>
      <c r="L30" s="234"/>
      <c r="M30" s="234"/>
      <c r="N30" s="234"/>
      <c r="O30" s="234"/>
      <c r="P30" s="234"/>
      <c r="Q30" s="234"/>
      <c r="R30" s="234"/>
      <c r="S30" s="234"/>
    </row>
    <row r="31" spans="1:19">
      <c r="A31" s="234"/>
      <c r="B31" s="234"/>
      <c r="C31" s="234"/>
      <c r="D31" s="234" t="s">
        <v>363</v>
      </c>
      <c r="E31" s="234"/>
      <c r="F31" s="234"/>
      <c r="G31" s="234"/>
      <c r="H31" s="234"/>
      <c r="I31" s="234"/>
      <c r="J31" s="234"/>
      <c r="K31" s="234"/>
      <c r="L31" s="234"/>
      <c r="M31" s="234"/>
      <c r="N31" s="234"/>
      <c r="O31" s="234"/>
      <c r="P31" s="234"/>
      <c r="Q31" s="234"/>
      <c r="R31" s="234"/>
      <c r="S31" s="234"/>
    </row>
    <row r="32" spans="1:19">
      <c r="A32" s="234"/>
      <c r="B32" s="234"/>
      <c r="C32" s="234"/>
      <c r="D32" s="234" t="s">
        <v>364</v>
      </c>
      <c r="E32" s="234"/>
      <c r="F32" s="234"/>
      <c r="G32" s="234"/>
      <c r="H32" s="234"/>
      <c r="I32" s="234"/>
      <c r="J32" s="234"/>
      <c r="K32" s="234"/>
      <c r="L32" s="234"/>
      <c r="M32" s="234"/>
      <c r="N32" s="234"/>
      <c r="O32" s="234"/>
      <c r="P32" s="234"/>
      <c r="Q32" s="234"/>
      <c r="R32" s="234"/>
      <c r="S32" s="234"/>
    </row>
    <row r="33" spans="1:19">
      <c r="A33" s="234"/>
      <c r="B33" s="234"/>
      <c r="C33" s="234"/>
      <c r="D33" s="234" t="s">
        <v>365</v>
      </c>
      <c r="E33" s="234"/>
      <c r="F33" s="234"/>
      <c r="G33" s="234"/>
      <c r="H33" s="234"/>
      <c r="I33" s="234"/>
      <c r="J33" s="234"/>
      <c r="K33" s="234"/>
      <c r="L33" s="234"/>
      <c r="M33" s="234"/>
      <c r="N33" s="234"/>
      <c r="O33" s="234"/>
      <c r="P33" s="234"/>
      <c r="Q33" s="234"/>
      <c r="R33" s="234"/>
      <c r="S33" s="234"/>
    </row>
    <row r="34" spans="1:19">
      <c r="A34" s="234"/>
      <c r="B34" s="234"/>
      <c r="C34" s="234"/>
      <c r="D34" s="234" t="s">
        <v>366</v>
      </c>
      <c r="E34" s="234"/>
      <c r="F34" s="234"/>
      <c r="G34" s="234"/>
      <c r="H34" s="234"/>
      <c r="I34" s="234"/>
      <c r="J34" s="234"/>
      <c r="K34" s="234"/>
      <c r="L34" s="234"/>
      <c r="M34" s="234"/>
      <c r="N34" s="234"/>
      <c r="O34" s="234"/>
      <c r="P34" s="234"/>
      <c r="Q34" s="234"/>
      <c r="R34" s="234"/>
      <c r="S34" s="234"/>
    </row>
    <row r="35" spans="1:19">
      <c r="A35" s="234"/>
      <c r="B35" s="234"/>
      <c r="C35" s="234"/>
      <c r="D35" s="234" t="s">
        <v>367</v>
      </c>
      <c r="E35" s="234"/>
      <c r="F35" s="234"/>
      <c r="G35" s="234"/>
      <c r="H35" s="234"/>
      <c r="I35" s="234"/>
      <c r="J35" s="234"/>
      <c r="K35" s="234"/>
      <c r="L35" s="234"/>
      <c r="M35" s="234"/>
      <c r="N35" s="234"/>
      <c r="O35" s="234"/>
      <c r="P35" s="234"/>
      <c r="Q35" s="234"/>
      <c r="R35" s="234"/>
      <c r="S35" s="234"/>
    </row>
    <row r="36" spans="1:19">
      <c r="A36" s="234"/>
      <c r="B36" s="234"/>
      <c r="C36" s="234"/>
      <c r="D36" s="234" t="s">
        <v>368</v>
      </c>
      <c r="E36" s="234"/>
      <c r="F36" s="234"/>
      <c r="G36" s="234"/>
      <c r="H36" s="234"/>
      <c r="I36" s="234"/>
      <c r="J36" s="234"/>
      <c r="K36" s="234"/>
      <c r="L36" s="234"/>
      <c r="M36" s="234"/>
      <c r="N36" s="234"/>
      <c r="O36" s="234"/>
      <c r="P36" s="234"/>
      <c r="Q36" s="234"/>
      <c r="R36" s="234"/>
      <c r="S36" s="234"/>
    </row>
    <row r="37" spans="1:19">
      <c r="A37" s="234"/>
      <c r="B37" s="234"/>
      <c r="C37" s="234"/>
      <c r="D37" s="234"/>
      <c r="E37" s="234"/>
      <c r="F37" s="234"/>
      <c r="G37" s="234"/>
      <c r="H37" s="234"/>
      <c r="I37" s="234"/>
      <c r="J37" s="234"/>
      <c r="K37" s="234"/>
      <c r="L37" s="234"/>
      <c r="M37" s="234"/>
      <c r="N37" s="234"/>
      <c r="O37" s="234"/>
      <c r="P37" s="234"/>
      <c r="Q37" s="234"/>
      <c r="R37" s="234"/>
      <c r="S37" s="234"/>
    </row>
    <row r="38" spans="1:19">
      <c r="A38" s="234"/>
      <c r="B38" s="234"/>
      <c r="D38" s="265" t="s">
        <v>725</v>
      </c>
      <c r="E38" s="234" t="s">
        <v>747</v>
      </c>
      <c r="F38" s="234"/>
      <c r="G38" s="234"/>
      <c r="H38" s="234"/>
      <c r="I38" s="234"/>
      <c r="J38" s="234"/>
      <c r="K38" s="234"/>
      <c r="L38" s="234"/>
      <c r="M38" s="234"/>
      <c r="N38" s="234"/>
      <c r="O38" s="234"/>
      <c r="P38" s="234"/>
      <c r="Q38" s="234"/>
      <c r="R38" s="234"/>
      <c r="S38" s="234"/>
    </row>
    <row r="39" spans="1:19">
      <c r="A39" s="234"/>
      <c r="B39" s="234"/>
      <c r="C39" s="234"/>
      <c r="D39" s="234" t="s">
        <v>378</v>
      </c>
      <c r="E39" s="234"/>
      <c r="F39" s="234"/>
      <c r="G39" s="234"/>
      <c r="H39" s="234"/>
      <c r="I39" s="234"/>
      <c r="J39" s="234"/>
      <c r="K39" s="234"/>
      <c r="L39" s="234"/>
      <c r="M39" s="234"/>
      <c r="N39" s="234"/>
      <c r="O39" s="234"/>
      <c r="P39" s="234"/>
      <c r="Q39" s="234"/>
      <c r="R39" s="234"/>
      <c r="S39" s="234"/>
    </row>
    <row r="40" spans="1:19">
      <c r="A40" s="234"/>
      <c r="B40" s="234"/>
      <c r="C40" s="234"/>
      <c r="D40" s="234" t="s">
        <v>726</v>
      </c>
      <c r="E40" s="234"/>
      <c r="F40" s="234"/>
      <c r="G40" s="234"/>
      <c r="H40" s="234"/>
      <c r="I40" s="234"/>
      <c r="J40" s="234"/>
      <c r="K40" s="234"/>
      <c r="L40" s="234"/>
      <c r="M40" s="234"/>
      <c r="N40" s="234"/>
      <c r="O40" s="234"/>
      <c r="P40" s="234"/>
      <c r="Q40" s="234"/>
      <c r="R40" s="234"/>
      <c r="S40" s="234"/>
    </row>
    <row r="41" spans="1:19">
      <c r="A41" s="234"/>
      <c r="B41" s="234"/>
      <c r="C41" s="234"/>
      <c r="D41" s="234"/>
      <c r="E41" s="234"/>
      <c r="F41" s="234"/>
      <c r="G41" s="234"/>
      <c r="H41" s="234"/>
      <c r="I41" s="234"/>
      <c r="J41" s="234"/>
      <c r="K41" s="234"/>
      <c r="L41" s="234"/>
      <c r="M41" s="234"/>
      <c r="N41" s="234"/>
      <c r="O41" s="234"/>
      <c r="P41" s="234"/>
      <c r="Q41" s="234"/>
      <c r="R41" s="234"/>
      <c r="S41" s="234"/>
    </row>
    <row r="42" spans="1:19">
      <c r="A42" s="234"/>
      <c r="B42" s="697"/>
      <c r="C42" s="234"/>
      <c r="D42" s="651" t="s">
        <v>725</v>
      </c>
      <c r="E42" s="234" t="s">
        <v>379</v>
      </c>
      <c r="F42" s="234"/>
      <c r="G42" s="234"/>
      <c r="H42" s="234"/>
      <c r="I42" s="234"/>
      <c r="J42" s="234"/>
      <c r="K42" s="234"/>
      <c r="L42" s="234"/>
      <c r="M42" s="234"/>
      <c r="N42" s="234"/>
      <c r="O42" s="234"/>
      <c r="P42" s="234"/>
      <c r="Q42" s="234"/>
      <c r="R42" s="234"/>
      <c r="S42" s="234"/>
    </row>
    <row r="43" spans="1:19">
      <c r="A43" s="234"/>
      <c r="B43" s="234"/>
      <c r="C43" s="234"/>
      <c r="D43" s="698"/>
      <c r="E43" s="234" t="s">
        <v>380</v>
      </c>
      <c r="F43" s="234"/>
      <c r="G43" s="234"/>
      <c r="H43" s="234"/>
      <c r="I43" s="234"/>
      <c r="J43" s="234"/>
      <c r="K43" s="234"/>
      <c r="L43" s="234"/>
      <c r="M43" s="234"/>
      <c r="N43" s="234"/>
      <c r="O43" s="234"/>
      <c r="P43" s="234"/>
      <c r="Q43" s="234"/>
      <c r="R43" s="234"/>
      <c r="S43" s="234"/>
    </row>
    <row r="44" spans="1:19">
      <c r="A44" s="234"/>
      <c r="B44" s="234"/>
      <c r="C44" s="234"/>
      <c r="D44" s="696"/>
      <c r="E44" s="234"/>
      <c r="F44" s="234"/>
      <c r="G44" s="234"/>
      <c r="H44" s="234"/>
      <c r="I44" s="234"/>
      <c r="J44" s="234"/>
      <c r="K44" s="234"/>
      <c r="L44" s="234"/>
      <c r="M44" s="234"/>
      <c r="N44" s="234"/>
      <c r="O44" s="234"/>
      <c r="P44" s="234"/>
      <c r="Q44" s="234"/>
      <c r="R44" s="234"/>
      <c r="S44" s="234"/>
    </row>
    <row r="45" spans="1:19">
      <c r="A45" s="234"/>
      <c r="B45" s="234"/>
      <c r="C45" s="234"/>
      <c r="D45" s="699" t="s">
        <v>725</v>
      </c>
      <c r="E45" s="234" t="s">
        <v>746</v>
      </c>
      <c r="F45" s="234"/>
      <c r="G45" s="234"/>
      <c r="H45" s="234"/>
      <c r="I45" s="234"/>
      <c r="J45" s="234"/>
      <c r="K45" s="234"/>
      <c r="L45" s="234"/>
      <c r="M45" s="234"/>
      <c r="N45" s="234"/>
      <c r="O45" s="234"/>
      <c r="P45" s="234"/>
      <c r="Q45" s="234"/>
      <c r="R45" s="234"/>
      <c r="S45" s="234"/>
    </row>
    <row r="46" spans="1:19">
      <c r="A46" s="234"/>
      <c r="B46" s="234"/>
      <c r="C46" s="234"/>
      <c r="D46" s="234" t="s">
        <v>729</v>
      </c>
      <c r="E46" s="234"/>
      <c r="F46" s="234"/>
      <c r="G46" s="234"/>
      <c r="H46" s="234"/>
      <c r="I46" s="234"/>
      <c r="J46" s="234"/>
      <c r="K46" s="234"/>
      <c r="L46" s="234"/>
      <c r="M46" s="234"/>
      <c r="N46" s="234"/>
      <c r="O46" s="234"/>
      <c r="P46" s="234"/>
      <c r="Q46" s="234"/>
      <c r="R46" s="234"/>
      <c r="S46" s="234"/>
    </row>
    <row r="47" spans="1:19">
      <c r="A47" s="234"/>
      <c r="B47" s="234"/>
      <c r="C47" s="234"/>
      <c r="D47" s="234"/>
      <c r="E47" s="234"/>
      <c r="F47" s="234"/>
      <c r="G47" s="234"/>
      <c r="H47" s="234"/>
      <c r="I47" s="234"/>
      <c r="J47" s="234"/>
      <c r="K47" s="234"/>
      <c r="L47" s="234"/>
      <c r="M47" s="234"/>
      <c r="N47" s="234"/>
      <c r="O47" s="234"/>
      <c r="P47" s="234"/>
      <c r="Q47" s="234"/>
      <c r="R47" s="234"/>
      <c r="S47" s="234"/>
    </row>
    <row r="48" spans="1:19">
      <c r="A48" s="234"/>
      <c r="B48" s="234"/>
      <c r="C48" s="234"/>
      <c r="D48" s="351" t="s">
        <v>725</v>
      </c>
      <c r="E48" s="246" t="s">
        <v>249</v>
      </c>
      <c r="F48" s="652" t="s">
        <v>725</v>
      </c>
      <c r="G48" s="234" t="s">
        <v>369</v>
      </c>
      <c r="H48" s="234"/>
      <c r="I48" s="234"/>
      <c r="J48" s="234"/>
      <c r="K48" s="234"/>
      <c r="L48" s="234"/>
      <c r="M48" s="234"/>
      <c r="N48" s="234"/>
      <c r="O48" s="234"/>
      <c r="P48" s="234"/>
      <c r="Q48" s="234"/>
      <c r="R48" s="234"/>
      <c r="S48" s="234"/>
    </row>
    <row r="49" spans="1:19">
      <c r="A49" s="234"/>
      <c r="B49" s="234"/>
      <c r="C49" s="234"/>
      <c r="D49" s="234" t="s">
        <v>372</v>
      </c>
      <c r="E49" s="234"/>
      <c r="F49" s="234"/>
      <c r="G49" s="234"/>
      <c r="H49" s="234"/>
      <c r="I49" s="234"/>
      <c r="J49" s="234"/>
      <c r="K49" s="234"/>
      <c r="L49" s="234"/>
      <c r="M49" s="234"/>
      <c r="N49" s="234"/>
      <c r="O49" s="234"/>
      <c r="P49" s="234"/>
      <c r="Q49" s="234"/>
      <c r="R49" s="234"/>
      <c r="S49" s="234"/>
    </row>
    <row r="50" spans="1:19" ht="13.5" thickBot="1">
      <c r="A50" s="234"/>
      <c r="B50" s="234"/>
      <c r="C50" s="234"/>
      <c r="D50" s="234"/>
      <c r="E50" s="234"/>
      <c r="F50" s="234"/>
      <c r="G50" s="234"/>
      <c r="H50" s="234"/>
      <c r="I50" s="234"/>
      <c r="J50" s="234"/>
      <c r="K50" s="234"/>
      <c r="L50" s="234"/>
      <c r="M50" s="234"/>
      <c r="N50" s="234"/>
      <c r="O50" s="234"/>
      <c r="P50" s="234"/>
      <c r="Q50" s="234"/>
      <c r="R50" s="234"/>
      <c r="S50" s="234"/>
    </row>
    <row r="51" spans="1:19" ht="13.5" thickBot="1">
      <c r="A51" s="234"/>
      <c r="B51" s="234"/>
      <c r="C51" s="234"/>
      <c r="D51" s="48" t="s">
        <v>725</v>
      </c>
      <c r="E51" s="234" t="s">
        <v>743</v>
      </c>
      <c r="F51" s="234"/>
      <c r="G51" s="234"/>
      <c r="H51" s="234"/>
      <c r="I51" s="234"/>
      <c r="J51" s="234"/>
      <c r="K51" s="234"/>
      <c r="L51" s="234"/>
      <c r="M51" s="234"/>
      <c r="N51" s="234"/>
      <c r="O51" s="234"/>
      <c r="P51" s="234"/>
      <c r="Q51" s="234"/>
      <c r="R51" s="234"/>
      <c r="S51" s="234"/>
    </row>
    <row r="52" spans="1:19">
      <c r="A52" s="234"/>
      <c r="B52" s="234"/>
      <c r="C52" s="234"/>
      <c r="E52" s="234"/>
      <c r="F52" s="234"/>
      <c r="G52" s="234"/>
      <c r="H52" s="234"/>
      <c r="I52" s="234"/>
      <c r="J52" s="234"/>
      <c r="K52" s="234"/>
      <c r="L52" s="234"/>
      <c r="M52" s="234"/>
      <c r="N52" s="234"/>
      <c r="O52" s="234"/>
      <c r="P52" s="234"/>
      <c r="Q52" s="234"/>
      <c r="R52" s="234"/>
      <c r="S52" s="234"/>
    </row>
    <row r="53" spans="1:19">
      <c r="A53" s="234"/>
      <c r="B53" s="234"/>
      <c r="C53" s="234"/>
      <c r="D53" s="653" t="s">
        <v>836</v>
      </c>
      <c r="E53" s="246" t="s">
        <v>249</v>
      </c>
      <c r="F53" s="654" t="s">
        <v>836</v>
      </c>
      <c r="G53" s="18" t="s">
        <v>249</v>
      </c>
      <c r="H53" s="655" t="s">
        <v>836</v>
      </c>
      <c r="I53" t="s">
        <v>737</v>
      </c>
      <c r="Q53" s="86"/>
      <c r="R53" s="86"/>
      <c r="S53" s="234"/>
    </row>
    <row r="54" spans="1:19">
      <c r="A54" s="234"/>
      <c r="B54" s="234"/>
      <c r="C54" s="234"/>
      <c r="D54" s="234" t="s">
        <v>730</v>
      </c>
      <c r="E54" s="234"/>
      <c r="F54" s="234"/>
      <c r="G54" s="234"/>
      <c r="H54" s="234"/>
      <c r="I54" s="234"/>
      <c r="J54" s="234"/>
      <c r="K54" s="234"/>
      <c r="L54" s="234"/>
      <c r="M54" s="234"/>
      <c r="N54" s="234"/>
      <c r="O54" s="234"/>
      <c r="P54" s="234"/>
      <c r="Q54" s="234"/>
      <c r="R54" s="234"/>
      <c r="S54" s="234"/>
    </row>
    <row r="55" spans="1:19">
      <c r="A55" s="234"/>
      <c r="B55" s="234"/>
      <c r="C55" s="234"/>
      <c r="D55" s="234" t="s">
        <v>731</v>
      </c>
      <c r="E55" s="234"/>
      <c r="F55" s="234"/>
      <c r="G55" s="234"/>
      <c r="H55" s="234"/>
      <c r="I55" s="234"/>
      <c r="J55" s="234"/>
      <c r="K55" s="234"/>
      <c r="L55" s="234"/>
      <c r="M55" s="234"/>
      <c r="N55" s="234"/>
      <c r="O55" s="234"/>
      <c r="P55" s="234"/>
      <c r="Q55" s="234"/>
      <c r="R55" s="234"/>
      <c r="S55" s="234"/>
    </row>
    <row r="56" spans="1:19">
      <c r="A56" s="234"/>
      <c r="B56" s="234"/>
      <c r="C56" s="234"/>
      <c r="D56" s="234" t="s">
        <v>562</v>
      </c>
      <c r="E56" s="234"/>
      <c r="F56" s="234"/>
      <c r="G56" s="234"/>
      <c r="H56" s="234"/>
      <c r="I56" s="234"/>
      <c r="J56" s="234"/>
      <c r="K56" s="234"/>
      <c r="L56" s="234"/>
      <c r="M56" s="234"/>
      <c r="N56" s="234"/>
      <c r="O56" s="234"/>
      <c r="P56" s="234"/>
      <c r="Q56" s="234"/>
      <c r="R56" s="234"/>
      <c r="S56" s="234"/>
    </row>
    <row r="57" spans="1:19">
      <c r="A57" s="234"/>
      <c r="B57" s="234"/>
      <c r="C57" s="234"/>
      <c r="D57" s="234"/>
      <c r="E57" s="234"/>
      <c r="F57" s="234"/>
      <c r="G57" s="234"/>
      <c r="H57" s="234"/>
      <c r="I57" s="234"/>
      <c r="J57" s="234"/>
      <c r="K57" s="234"/>
      <c r="L57" s="234"/>
      <c r="M57" s="234"/>
      <c r="N57" s="234"/>
      <c r="O57" s="234"/>
      <c r="P57" s="234"/>
      <c r="Q57" s="234"/>
      <c r="R57" s="234"/>
      <c r="S57" s="234"/>
    </row>
    <row r="58" spans="1:19">
      <c r="A58" s="234"/>
      <c r="B58" s="234"/>
      <c r="C58" s="234"/>
      <c r="D58" s="248" t="s">
        <v>732</v>
      </c>
      <c r="E58" s="249"/>
      <c r="F58" t="s">
        <v>740</v>
      </c>
      <c r="K58" s="86"/>
      <c r="L58" s="86"/>
      <c r="M58" s="86"/>
      <c r="N58" s="86"/>
      <c r="O58" s="86"/>
      <c r="P58" s="86"/>
      <c r="Q58" s="86"/>
      <c r="R58" s="86"/>
      <c r="S58" s="234"/>
    </row>
    <row r="59" spans="1:19">
      <c r="A59" s="234"/>
      <c r="B59" s="234"/>
      <c r="C59" s="234"/>
      <c r="E59" s="234"/>
      <c r="F59" s="234"/>
      <c r="G59" s="234"/>
      <c r="H59" s="234"/>
      <c r="I59" s="234"/>
      <c r="J59" s="234"/>
      <c r="K59" s="234"/>
      <c r="L59" s="234"/>
      <c r="M59" s="234"/>
      <c r="N59" s="234"/>
      <c r="O59" s="234"/>
      <c r="P59" s="234"/>
      <c r="Q59" s="234"/>
      <c r="R59" s="234"/>
      <c r="S59" s="234"/>
    </row>
    <row r="60" spans="1:19">
      <c r="A60" s="234"/>
      <c r="B60" s="234"/>
      <c r="C60" s="234"/>
      <c r="D60" s="700" t="s">
        <v>725</v>
      </c>
      <c r="E60" s="234" t="s">
        <v>739</v>
      </c>
      <c r="F60" s="234"/>
      <c r="G60" s="234"/>
      <c r="H60" s="234"/>
      <c r="I60" s="234"/>
      <c r="J60" s="234"/>
      <c r="K60" s="234"/>
      <c r="L60" s="234"/>
      <c r="M60" s="234"/>
      <c r="N60" s="234"/>
      <c r="O60" s="234"/>
      <c r="P60" s="234"/>
      <c r="Q60" s="234"/>
      <c r="R60" s="234"/>
      <c r="S60" s="234"/>
    </row>
    <row r="61" spans="1:19">
      <c r="A61" s="234"/>
      <c r="B61" s="234"/>
      <c r="C61" s="234"/>
      <c r="D61" s="234" t="s">
        <v>733</v>
      </c>
      <c r="E61" s="234"/>
      <c r="F61" s="234"/>
      <c r="G61" s="234"/>
      <c r="H61" s="234"/>
      <c r="I61" s="234"/>
      <c r="J61" s="234"/>
      <c r="K61" s="234"/>
      <c r="L61" s="234"/>
      <c r="M61" s="234"/>
      <c r="N61" s="234"/>
      <c r="O61" s="234"/>
      <c r="P61" s="234"/>
      <c r="Q61" s="234"/>
      <c r="R61" s="234"/>
      <c r="S61" s="234"/>
    </row>
    <row r="62" spans="1:19">
      <c r="A62" s="234"/>
      <c r="B62" s="234"/>
      <c r="C62" s="234"/>
      <c r="D62" s="234"/>
      <c r="E62" s="234"/>
      <c r="F62" s="234"/>
      <c r="G62" s="234"/>
      <c r="H62" s="234"/>
      <c r="I62" s="234"/>
      <c r="J62" s="234"/>
      <c r="K62" s="234"/>
      <c r="L62" s="234"/>
      <c r="M62" s="234"/>
      <c r="N62" s="234"/>
      <c r="O62" s="234"/>
      <c r="P62" s="234"/>
      <c r="Q62" s="234"/>
      <c r="R62" s="234"/>
      <c r="S62" s="234"/>
    </row>
    <row r="63" spans="1:19">
      <c r="A63" s="234"/>
      <c r="B63" s="234"/>
      <c r="C63" s="234"/>
      <c r="D63" s="669" t="s">
        <v>734</v>
      </c>
      <c r="E63" s="234" t="s">
        <v>381</v>
      </c>
      <c r="F63" s="234"/>
      <c r="G63" s="234"/>
      <c r="H63" s="234"/>
      <c r="I63" s="234"/>
      <c r="J63" s="234"/>
      <c r="K63" s="234"/>
      <c r="L63" s="234"/>
      <c r="M63" s="234"/>
      <c r="N63" s="234"/>
      <c r="O63" s="234"/>
      <c r="P63" s="234"/>
      <c r="Q63" s="234"/>
      <c r="R63" s="234"/>
      <c r="S63" s="234"/>
    </row>
    <row r="64" spans="1:19">
      <c r="A64" s="234"/>
      <c r="B64" s="234"/>
      <c r="C64" s="234"/>
      <c r="D64" s="234"/>
      <c r="E64" s="234"/>
      <c r="F64" s="234"/>
      <c r="G64" s="234"/>
      <c r="H64" s="234"/>
      <c r="I64" s="234"/>
      <c r="J64" s="234"/>
      <c r="K64" s="234"/>
      <c r="L64" s="234"/>
      <c r="M64" s="234"/>
      <c r="N64" s="234"/>
      <c r="O64" s="234"/>
      <c r="P64" s="234"/>
      <c r="Q64" s="234"/>
      <c r="R64" s="234"/>
      <c r="S64" s="234"/>
    </row>
    <row r="65" spans="1:19">
      <c r="A65" s="234"/>
      <c r="B65" s="234"/>
      <c r="C65" s="234"/>
      <c r="D65" s="670" t="s">
        <v>735</v>
      </c>
      <c r="E65" s="487"/>
      <c r="F65" s="234" t="s">
        <v>724</v>
      </c>
      <c r="G65" s="234"/>
      <c r="H65" s="234"/>
      <c r="I65" s="234"/>
      <c r="J65" s="234"/>
      <c r="K65" s="234"/>
      <c r="L65" s="234"/>
      <c r="M65" s="234"/>
      <c r="N65" s="234"/>
      <c r="O65" s="234"/>
      <c r="P65" s="234"/>
      <c r="Q65" s="234"/>
      <c r="R65" s="234"/>
      <c r="S65" s="234"/>
    </row>
    <row r="66" spans="1:19">
      <c r="A66" s="234"/>
      <c r="B66" s="234"/>
      <c r="C66" s="234"/>
      <c r="D66" s="234"/>
      <c r="E66" s="234"/>
      <c r="F66" s="234"/>
      <c r="G66" s="234"/>
      <c r="H66" s="234"/>
      <c r="I66" s="234"/>
      <c r="J66" s="234"/>
      <c r="K66" s="234"/>
      <c r="L66" s="234"/>
      <c r="M66" s="234"/>
      <c r="N66" s="234"/>
      <c r="O66" s="234"/>
      <c r="P66" s="234"/>
      <c r="Q66" s="234"/>
      <c r="R66" s="234"/>
      <c r="S66" s="234"/>
    </row>
    <row r="67" spans="1:19">
      <c r="A67" s="234"/>
      <c r="B67" s="234"/>
      <c r="C67" s="234"/>
      <c r="D67" s="234"/>
      <c r="E67" s="234"/>
      <c r="F67" s="234"/>
      <c r="G67" s="234"/>
      <c r="H67" s="234"/>
      <c r="I67" s="234"/>
      <c r="J67" s="234"/>
      <c r="K67" s="234"/>
      <c r="L67" s="234"/>
      <c r="M67" s="234"/>
      <c r="N67" s="234"/>
      <c r="O67" s="234"/>
      <c r="P67" s="234"/>
      <c r="Q67" s="234"/>
      <c r="R67" s="234"/>
      <c r="S67" s="234"/>
    </row>
    <row r="68" spans="1:19">
      <c r="A68" s="234"/>
      <c r="B68" s="234"/>
      <c r="C68" s="234"/>
      <c r="D68" s="234"/>
      <c r="E68" s="234"/>
      <c r="F68" s="234"/>
      <c r="G68" s="234"/>
      <c r="H68" s="234"/>
      <c r="I68" s="234"/>
      <c r="J68" s="234"/>
      <c r="K68" s="234"/>
      <c r="L68" s="234"/>
      <c r="M68" s="234"/>
      <c r="N68" s="234"/>
      <c r="O68" s="234"/>
      <c r="P68" s="234"/>
      <c r="Q68" s="234"/>
      <c r="R68" s="234"/>
      <c r="S68" s="234"/>
    </row>
    <row r="69" spans="1:19">
      <c r="A69" s="234"/>
      <c r="B69" s="234"/>
      <c r="C69" s="234"/>
      <c r="D69" s="234"/>
      <c r="E69" s="234"/>
      <c r="F69" s="234"/>
      <c r="G69" s="234"/>
      <c r="H69" s="234"/>
      <c r="I69" s="234"/>
      <c r="J69" s="234"/>
      <c r="K69" s="234"/>
      <c r="L69" s="234"/>
      <c r="M69" s="234"/>
      <c r="N69" s="234"/>
      <c r="O69" s="234"/>
      <c r="P69" s="234"/>
      <c r="Q69" s="234"/>
      <c r="R69" s="234"/>
      <c r="S69" s="234"/>
    </row>
    <row r="70" spans="1:19">
      <c r="A70" s="234"/>
      <c r="B70" s="234"/>
      <c r="C70" s="677" t="s">
        <v>778</v>
      </c>
      <c r="D70" s="679"/>
      <c r="E70" s="234" t="s">
        <v>165</v>
      </c>
      <c r="F70" s="234"/>
      <c r="G70" s="234"/>
      <c r="H70" s="234"/>
      <c r="I70" s="234"/>
      <c r="J70" s="234"/>
      <c r="K70" s="234"/>
      <c r="L70" s="234"/>
      <c r="M70" s="234"/>
      <c r="N70" s="234"/>
      <c r="O70" s="234"/>
      <c r="P70" s="234"/>
      <c r="Q70" s="234"/>
      <c r="R70" s="234"/>
    </row>
    <row r="71" spans="1:19">
      <c r="A71" s="234"/>
      <c r="B71" s="234"/>
      <c r="C71" s="234" t="s">
        <v>564</v>
      </c>
      <c r="D71" s="234"/>
      <c r="E71" s="234"/>
      <c r="F71" s="234"/>
      <c r="G71" s="234"/>
      <c r="H71" s="234"/>
      <c r="I71" s="234"/>
      <c r="J71" s="234"/>
      <c r="K71" s="234"/>
      <c r="L71" s="234"/>
      <c r="M71" s="234"/>
      <c r="N71" s="234"/>
      <c r="O71" s="234"/>
      <c r="P71" s="234"/>
      <c r="Q71" s="234"/>
      <c r="R71" s="234"/>
    </row>
    <row r="72" spans="1:19">
      <c r="A72" s="234"/>
      <c r="B72" s="234"/>
      <c r="C72" s="234" t="s">
        <v>738</v>
      </c>
      <c r="D72" s="234"/>
      <c r="E72" s="234"/>
      <c r="F72" s="234"/>
      <c r="G72" s="234"/>
      <c r="H72" s="234"/>
      <c r="I72" s="234"/>
      <c r="J72" s="234"/>
      <c r="K72" s="234"/>
      <c r="L72" s="234"/>
      <c r="M72" s="234"/>
      <c r="N72" s="234"/>
      <c r="O72" s="234"/>
      <c r="P72" s="234"/>
      <c r="Q72" s="234"/>
      <c r="R72" s="234"/>
    </row>
    <row r="73" spans="1:19">
      <c r="A73" s="234"/>
      <c r="B73" s="234"/>
      <c r="C73" s="234"/>
      <c r="D73" s="234"/>
      <c r="E73" s="234"/>
      <c r="F73" s="234"/>
      <c r="G73" s="234"/>
      <c r="H73" s="234"/>
      <c r="I73" s="234"/>
      <c r="J73" s="234"/>
      <c r="K73" s="234"/>
      <c r="L73" s="234"/>
      <c r="M73" s="234"/>
      <c r="N73" s="234"/>
      <c r="O73" s="234"/>
      <c r="P73" s="234"/>
      <c r="Q73" s="234"/>
      <c r="R73" s="234"/>
    </row>
    <row r="74" spans="1:19">
      <c r="A74" s="234"/>
      <c r="B74" s="234"/>
      <c r="C74" s="234" t="s">
        <v>776</v>
      </c>
      <c r="D74" s="234"/>
      <c r="E74" s="234"/>
      <c r="F74" s="234"/>
      <c r="G74" s="234"/>
      <c r="H74" s="234"/>
      <c r="I74" s="234"/>
      <c r="J74" s="234"/>
      <c r="K74" s="234"/>
      <c r="L74" s="234"/>
      <c r="M74" s="234"/>
      <c r="N74" s="234"/>
      <c r="O74" s="234"/>
      <c r="P74" s="234"/>
      <c r="Q74" s="234"/>
      <c r="R74" s="234"/>
    </row>
    <row r="75" spans="1:19">
      <c r="A75" s="234"/>
      <c r="B75" s="234"/>
      <c r="C75" s="234" t="s">
        <v>386</v>
      </c>
      <c r="D75" s="234"/>
      <c r="E75" s="234"/>
      <c r="F75" s="234"/>
      <c r="G75" s="234"/>
      <c r="H75" s="234"/>
      <c r="I75" s="234"/>
      <c r="J75" s="234"/>
      <c r="K75" s="234"/>
      <c r="L75" s="234"/>
      <c r="M75" s="234"/>
      <c r="N75" s="234"/>
      <c r="O75" s="234"/>
      <c r="P75" s="234"/>
      <c r="Q75" s="234"/>
      <c r="R75" s="234"/>
    </row>
    <row r="76" spans="1:19">
      <c r="A76" s="234"/>
      <c r="B76" s="234"/>
      <c r="C76" s="234" t="s">
        <v>567</v>
      </c>
      <c r="D76" s="234"/>
      <c r="E76" s="234"/>
      <c r="F76" s="234"/>
      <c r="G76" s="234"/>
      <c r="H76" s="234"/>
      <c r="I76" s="234"/>
      <c r="J76" s="234"/>
      <c r="K76" s="234"/>
      <c r="L76" s="234"/>
      <c r="M76" s="234"/>
      <c r="N76" s="234"/>
      <c r="O76" s="234"/>
      <c r="P76" s="234"/>
      <c r="Q76" s="234"/>
      <c r="R76" s="234"/>
    </row>
    <row r="77" spans="1:19">
      <c r="A77" s="234"/>
      <c r="B77" s="234"/>
      <c r="C77" s="234" t="s">
        <v>387</v>
      </c>
      <c r="D77" s="234"/>
      <c r="E77" s="234"/>
      <c r="F77" s="234"/>
      <c r="G77" s="234"/>
      <c r="H77" s="234"/>
      <c r="I77" s="234"/>
      <c r="J77" s="234"/>
      <c r="K77" s="234"/>
      <c r="L77" s="234"/>
      <c r="M77" s="234"/>
      <c r="N77" s="234"/>
      <c r="O77" s="234"/>
      <c r="P77" s="234"/>
      <c r="Q77" s="234"/>
      <c r="R77" s="234"/>
    </row>
    <row r="78" spans="1:19">
      <c r="A78" s="234"/>
      <c r="B78" s="234"/>
      <c r="C78" s="234" t="s">
        <v>388</v>
      </c>
      <c r="D78" s="234"/>
      <c r="E78" s="234"/>
      <c r="F78" s="234"/>
      <c r="G78" s="234"/>
      <c r="H78" s="234"/>
      <c r="I78" s="234"/>
      <c r="J78" s="234"/>
      <c r="K78" s="234"/>
      <c r="L78" s="234"/>
      <c r="M78" s="234"/>
      <c r="N78" s="234"/>
      <c r="O78" s="234"/>
      <c r="P78" s="234"/>
      <c r="Q78" s="234"/>
      <c r="R78" s="234"/>
    </row>
    <row r="79" spans="1:19">
      <c r="A79" s="234"/>
      <c r="B79" s="234"/>
      <c r="C79" s="234" t="s">
        <v>389</v>
      </c>
      <c r="D79" s="234"/>
      <c r="E79" s="234"/>
      <c r="F79" s="234"/>
      <c r="G79" s="234"/>
      <c r="H79" s="234"/>
      <c r="I79" s="234"/>
      <c r="J79" s="234"/>
      <c r="K79" s="234"/>
      <c r="L79" s="234"/>
      <c r="M79" s="234"/>
      <c r="N79" s="234"/>
      <c r="O79" s="234"/>
      <c r="P79" s="234"/>
      <c r="Q79" s="234"/>
      <c r="R79" s="234"/>
    </row>
    <row r="80" spans="1:19">
      <c r="A80" s="234"/>
      <c r="B80" s="234"/>
      <c r="C80" s="234" t="s">
        <v>818</v>
      </c>
      <c r="D80" s="234"/>
      <c r="E80" s="234"/>
      <c r="F80" s="234"/>
      <c r="G80" s="234"/>
      <c r="H80" s="234"/>
      <c r="I80" s="234"/>
      <c r="J80" s="234"/>
      <c r="K80" s="234"/>
      <c r="L80" s="234"/>
      <c r="M80" s="234"/>
      <c r="N80" s="234"/>
      <c r="O80" s="234"/>
      <c r="P80" s="234"/>
      <c r="Q80" s="234"/>
      <c r="R80" s="234"/>
    </row>
    <row r="81" spans="1:18">
      <c r="A81" s="234"/>
      <c r="B81" s="234"/>
      <c r="C81" s="234"/>
      <c r="D81" s="234"/>
      <c r="E81" s="234"/>
      <c r="F81" s="234"/>
      <c r="G81" s="234"/>
      <c r="H81" s="234"/>
      <c r="I81" s="234"/>
      <c r="J81" s="234"/>
      <c r="K81" s="234"/>
      <c r="L81" s="234"/>
      <c r="M81" s="234"/>
      <c r="N81" s="234"/>
      <c r="O81" s="234"/>
      <c r="P81" s="234"/>
      <c r="Q81" s="234"/>
      <c r="R81" s="234"/>
    </row>
    <row r="82" spans="1:18">
      <c r="A82" s="234"/>
      <c r="B82" s="234"/>
      <c r="C82" s="234"/>
      <c r="D82" s="234"/>
      <c r="E82" s="234"/>
      <c r="F82" s="234"/>
      <c r="G82" s="234"/>
      <c r="H82" s="234"/>
      <c r="I82" s="234"/>
      <c r="J82" s="234"/>
      <c r="K82" s="234"/>
      <c r="L82" s="234"/>
      <c r="M82" s="234"/>
      <c r="N82" s="234"/>
      <c r="O82" s="234"/>
      <c r="P82" s="234"/>
      <c r="Q82" s="234"/>
      <c r="R82" s="234"/>
    </row>
    <row r="83" spans="1:18">
      <c r="A83" s="234"/>
      <c r="B83" s="234"/>
      <c r="C83" s="677" t="s">
        <v>777</v>
      </c>
      <c r="D83" s="678"/>
      <c r="E83" s="679"/>
      <c r="F83" s="234" t="s">
        <v>775</v>
      </c>
      <c r="G83" s="234"/>
      <c r="H83" s="234"/>
      <c r="I83" s="234"/>
      <c r="J83" s="234"/>
      <c r="K83" s="234"/>
      <c r="L83" s="234"/>
      <c r="M83" s="234"/>
      <c r="N83" s="234"/>
      <c r="O83" s="234"/>
      <c r="P83" s="234"/>
      <c r="Q83" s="234"/>
      <c r="R83" s="234"/>
    </row>
    <row r="84" spans="1:18">
      <c r="A84" s="234"/>
      <c r="B84" s="234"/>
      <c r="C84" s="234" t="s">
        <v>568</v>
      </c>
      <c r="D84" s="234"/>
      <c r="E84" s="234"/>
      <c r="F84" s="234"/>
      <c r="G84" s="234"/>
      <c r="H84" s="234"/>
      <c r="I84" s="234"/>
      <c r="J84" s="234"/>
      <c r="K84" s="234"/>
      <c r="L84" s="234"/>
      <c r="M84" s="234"/>
      <c r="N84" s="234"/>
      <c r="O84" s="234"/>
      <c r="P84" s="234"/>
      <c r="Q84" s="234"/>
      <c r="R84" s="234"/>
    </row>
    <row r="85" spans="1:18">
      <c r="A85" s="234"/>
      <c r="B85" s="234"/>
      <c r="C85" s="234" t="s">
        <v>774</v>
      </c>
      <c r="D85" s="234"/>
      <c r="E85" s="234"/>
      <c r="F85" s="234"/>
      <c r="G85" s="234"/>
      <c r="H85" s="234"/>
      <c r="I85" s="234"/>
      <c r="J85" s="234"/>
      <c r="K85" s="234"/>
      <c r="L85" s="234"/>
      <c r="M85" s="234"/>
      <c r="N85" s="234"/>
      <c r="O85" s="234"/>
      <c r="P85" s="234"/>
      <c r="Q85" s="234"/>
      <c r="R85" s="234"/>
    </row>
    <row r="86" spans="1:18">
      <c r="A86" s="234"/>
      <c r="B86" s="234"/>
      <c r="C86" s="234" t="s">
        <v>779</v>
      </c>
      <c r="D86" s="234"/>
      <c r="E86" s="234"/>
      <c r="F86" s="234"/>
      <c r="G86" s="234"/>
      <c r="H86" s="234"/>
      <c r="I86" s="234"/>
      <c r="J86" s="234"/>
      <c r="K86" s="234"/>
      <c r="L86" s="234"/>
      <c r="M86" s="234"/>
      <c r="N86" s="234"/>
      <c r="O86" s="234"/>
      <c r="P86" s="234"/>
      <c r="Q86" s="234"/>
      <c r="R86" s="234"/>
    </row>
    <row r="87" spans="1:18">
      <c r="A87" s="234"/>
      <c r="B87" s="234"/>
      <c r="C87" s="234" t="s">
        <v>318</v>
      </c>
      <c r="D87" s="234"/>
      <c r="E87" s="234"/>
      <c r="F87" s="234"/>
      <c r="G87" s="234"/>
      <c r="H87" s="234"/>
      <c r="I87" s="234"/>
      <c r="J87" s="234"/>
      <c r="K87" s="234"/>
      <c r="L87" s="234"/>
      <c r="M87" s="234"/>
      <c r="N87" s="234"/>
      <c r="O87" s="234"/>
      <c r="P87" s="234"/>
      <c r="Q87" s="234"/>
      <c r="R87" s="234"/>
    </row>
    <row r="88" spans="1:18">
      <c r="A88" s="234"/>
      <c r="B88" s="234"/>
      <c r="C88" s="234" t="s">
        <v>391</v>
      </c>
      <c r="D88" s="234"/>
      <c r="E88" s="234"/>
      <c r="F88" s="234"/>
      <c r="G88" s="234"/>
      <c r="H88" s="234"/>
      <c r="I88" s="234"/>
      <c r="J88" s="234"/>
      <c r="K88" s="234"/>
      <c r="L88" s="234"/>
      <c r="M88" s="234"/>
      <c r="N88" s="234"/>
      <c r="O88" s="234"/>
      <c r="P88" s="234"/>
      <c r="Q88" s="234"/>
      <c r="R88" s="234"/>
    </row>
    <row r="89" spans="1:18">
      <c r="A89" s="234"/>
      <c r="B89" s="234"/>
      <c r="C89" s="234" t="s">
        <v>390</v>
      </c>
      <c r="D89" s="234"/>
      <c r="E89" s="234"/>
      <c r="F89" s="234"/>
      <c r="G89" s="234"/>
      <c r="H89" s="234"/>
      <c r="I89" s="234"/>
      <c r="J89" s="234"/>
      <c r="K89" s="234"/>
      <c r="L89" s="234"/>
      <c r="M89" s="234"/>
      <c r="N89" s="234"/>
      <c r="O89" s="234"/>
      <c r="P89" s="234"/>
      <c r="Q89" s="234"/>
      <c r="R89" s="234"/>
    </row>
    <row r="90" spans="1:18">
      <c r="A90" s="234"/>
      <c r="B90" s="234"/>
      <c r="C90" s="234"/>
      <c r="D90" s="234"/>
      <c r="E90" s="234"/>
      <c r="F90" s="234"/>
      <c r="G90" s="234"/>
      <c r="H90" s="234"/>
      <c r="I90" s="234"/>
      <c r="J90" s="234"/>
      <c r="K90" s="234"/>
      <c r="L90" s="234"/>
      <c r="M90" s="234"/>
      <c r="N90" s="234"/>
      <c r="O90" s="234"/>
      <c r="P90" s="234"/>
      <c r="Q90" s="234"/>
      <c r="R90" s="234"/>
    </row>
    <row r="91" spans="1:18">
      <c r="A91" s="234"/>
      <c r="B91" s="234"/>
      <c r="C91" s="234" t="s">
        <v>784</v>
      </c>
      <c r="D91" s="234"/>
      <c r="E91" s="234"/>
      <c r="F91" s="234"/>
      <c r="G91" s="234"/>
      <c r="H91" s="234"/>
      <c r="I91" s="234"/>
      <c r="J91" s="234"/>
      <c r="K91" s="234"/>
      <c r="L91" s="234"/>
      <c r="M91" s="234"/>
      <c r="N91" s="234"/>
      <c r="O91" s="234"/>
      <c r="P91" s="234"/>
      <c r="Q91" s="234"/>
      <c r="R91" s="234"/>
    </row>
    <row r="92" spans="1:18">
      <c r="A92" s="234"/>
      <c r="B92" s="234"/>
      <c r="C92" s="234" t="s">
        <v>781</v>
      </c>
      <c r="D92" s="234"/>
      <c r="E92" s="234"/>
      <c r="F92" s="234"/>
      <c r="G92" s="234"/>
      <c r="H92" s="234"/>
      <c r="I92" s="234"/>
      <c r="J92" s="234"/>
      <c r="K92" s="234"/>
      <c r="L92" s="234"/>
      <c r="M92" s="234"/>
      <c r="N92" s="234"/>
      <c r="O92" s="234"/>
      <c r="P92" s="234"/>
      <c r="Q92" s="234"/>
      <c r="R92" s="234"/>
    </row>
    <row r="93" spans="1:18">
      <c r="A93" s="234"/>
      <c r="B93" s="234"/>
      <c r="C93" s="234" t="s">
        <v>783</v>
      </c>
      <c r="D93" s="234"/>
      <c r="E93" s="234"/>
      <c r="F93" s="234"/>
      <c r="G93" s="234"/>
      <c r="H93" s="234"/>
      <c r="I93" s="234"/>
      <c r="J93" s="234"/>
      <c r="K93" s="234"/>
      <c r="L93" s="234"/>
      <c r="M93" s="234"/>
      <c r="N93" s="234"/>
      <c r="O93" s="234"/>
      <c r="P93" s="234"/>
      <c r="Q93" s="234"/>
      <c r="R93" s="234"/>
    </row>
    <row r="94" spans="1:18">
      <c r="A94" s="234"/>
      <c r="B94" s="234"/>
      <c r="C94" s="234"/>
      <c r="D94" s="234"/>
      <c r="E94" s="234"/>
      <c r="F94" s="234"/>
      <c r="G94" s="234"/>
      <c r="H94" s="234"/>
      <c r="I94" s="234"/>
      <c r="J94" s="234"/>
      <c r="K94" s="234"/>
      <c r="L94" s="234"/>
      <c r="M94" s="234"/>
      <c r="N94" s="234" t="s">
        <v>818</v>
      </c>
      <c r="O94" s="234"/>
      <c r="P94" s="234"/>
      <c r="Q94" s="234"/>
      <c r="R94" s="234"/>
    </row>
    <row r="95" spans="1:18">
      <c r="A95" s="234"/>
      <c r="B95" s="234"/>
      <c r="C95" s="234"/>
      <c r="D95" s="234"/>
      <c r="E95" s="234"/>
      <c r="F95" s="234"/>
      <c r="G95" s="234"/>
      <c r="H95" s="234"/>
      <c r="I95" s="234"/>
      <c r="J95" s="234"/>
      <c r="K95" s="234"/>
      <c r="L95" s="234"/>
      <c r="M95" s="234"/>
      <c r="N95" s="234"/>
      <c r="O95" s="234"/>
      <c r="P95" s="234"/>
      <c r="Q95" s="234"/>
      <c r="R95" s="234"/>
    </row>
    <row r="96" spans="1:18">
      <c r="A96" s="234"/>
      <c r="B96" s="234"/>
      <c r="C96" s="234"/>
      <c r="D96" s="234"/>
      <c r="E96" s="234"/>
      <c r="F96" s="234"/>
      <c r="G96" s="234"/>
      <c r="H96" s="234"/>
      <c r="I96" s="234"/>
      <c r="J96" s="234"/>
      <c r="K96" s="234"/>
      <c r="L96" s="234"/>
      <c r="M96" s="234"/>
      <c r="N96" s="234"/>
      <c r="O96" s="234"/>
      <c r="P96" s="234"/>
      <c r="Q96" s="234"/>
      <c r="R96" s="234"/>
    </row>
    <row r="97" spans="1:19">
      <c r="A97" s="234"/>
      <c r="B97" s="234"/>
      <c r="C97" s="234"/>
      <c r="D97" s="234"/>
      <c r="E97" s="234"/>
      <c r="F97" s="234"/>
      <c r="G97" s="234"/>
      <c r="H97" s="234"/>
      <c r="I97" s="234"/>
      <c r="J97" s="234"/>
      <c r="K97" s="234"/>
      <c r="L97" s="234"/>
      <c r="M97" s="234"/>
      <c r="N97" s="234"/>
      <c r="O97" s="234"/>
      <c r="P97" s="234"/>
      <c r="Q97" s="234"/>
      <c r="R97" s="234"/>
    </row>
    <row r="98" spans="1:19">
      <c r="A98" s="234"/>
      <c r="B98" s="234"/>
      <c r="C98" s="677" t="s">
        <v>786</v>
      </c>
      <c r="D98" s="681"/>
      <c r="E98" s="681"/>
      <c r="F98" s="679"/>
      <c r="G98" s="234" t="s">
        <v>392</v>
      </c>
      <c r="H98" s="234"/>
      <c r="I98" s="234"/>
      <c r="J98" s="234"/>
      <c r="K98" s="234"/>
      <c r="L98" s="234"/>
      <c r="M98" s="234"/>
      <c r="N98" s="234"/>
      <c r="O98" s="234"/>
      <c r="P98" s="234"/>
      <c r="Q98" s="234"/>
      <c r="R98" s="234"/>
    </row>
    <row r="99" spans="1:19">
      <c r="A99" s="234"/>
      <c r="B99" s="234"/>
      <c r="C99" s="234" t="s">
        <v>393</v>
      </c>
      <c r="D99" s="234"/>
      <c r="E99" s="234"/>
      <c r="F99" s="234"/>
      <c r="G99" s="234"/>
      <c r="H99" s="234"/>
      <c r="I99" s="234"/>
      <c r="J99" s="234"/>
      <c r="K99" s="234"/>
      <c r="L99" s="234"/>
      <c r="M99" s="234"/>
      <c r="N99" s="234"/>
      <c r="O99" s="234"/>
      <c r="P99" s="234"/>
      <c r="Q99" s="234"/>
      <c r="R99" s="234"/>
    </row>
    <row r="100" spans="1:19">
      <c r="A100" s="234"/>
      <c r="B100" s="234"/>
      <c r="C100" s="234" t="s">
        <v>788</v>
      </c>
      <c r="D100" s="234"/>
      <c r="E100" s="234"/>
      <c r="F100" s="234"/>
      <c r="G100" s="234"/>
      <c r="H100" s="234"/>
      <c r="I100" s="234"/>
      <c r="J100" s="234"/>
      <c r="K100" s="234"/>
      <c r="L100" s="234"/>
      <c r="M100" s="234"/>
      <c r="N100" s="234"/>
      <c r="O100" s="234"/>
      <c r="P100" s="234"/>
      <c r="Q100" s="234"/>
      <c r="R100" s="234"/>
    </row>
    <row r="101" spans="1:19">
      <c r="A101" s="234"/>
      <c r="B101" s="234"/>
      <c r="C101" s="234" t="s">
        <v>394</v>
      </c>
      <c r="D101" s="234"/>
      <c r="E101" s="234"/>
      <c r="F101" s="234"/>
      <c r="G101" s="234"/>
      <c r="H101" s="234"/>
      <c r="I101" s="234"/>
      <c r="J101" s="234"/>
      <c r="K101" s="234"/>
      <c r="L101" s="234"/>
      <c r="M101" s="234"/>
      <c r="N101" s="234"/>
      <c r="O101" s="234"/>
      <c r="P101" s="234"/>
      <c r="Q101" s="234"/>
      <c r="R101" s="234"/>
    </row>
    <row r="102" spans="1:19">
      <c r="A102" s="234"/>
      <c r="B102" s="234"/>
      <c r="C102" s="234" t="s">
        <v>787</v>
      </c>
      <c r="D102" s="234"/>
      <c r="E102" s="234"/>
      <c r="F102" s="234"/>
      <c r="G102" s="234"/>
      <c r="H102" s="234"/>
      <c r="I102" s="234"/>
      <c r="J102" s="234"/>
      <c r="K102" s="234"/>
      <c r="L102" s="234"/>
      <c r="M102" s="234"/>
      <c r="N102" s="234"/>
      <c r="O102" s="234"/>
      <c r="P102" s="234"/>
      <c r="Q102" s="234"/>
      <c r="R102" s="234"/>
    </row>
    <row r="103" spans="1:19">
      <c r="A103" s="234"/>
      <c r="B103" s="234"/>
      <c r="C103" s="234"/>
      <c r="D103" s="234"/>
      <c r="E103" s="234"/>
      <c r="F103" s="234"/>
      <c r="G103" s="234"/>
      <c r="H103" s="234"/>
      <c r="I103" s="234"/>
      <c r="J103" s="234"/>
      <c r="K103" s="234"/>
      <c r="L103" s="234"/>
      <c r="M103" s="234"/>
      <c r="N103" s="234"/>
      <c r="O103" s="234"/>
      <c r="P103" s="234"/>
      <c r="Q103" s="234"/>
      <c r="R103" s="234"/>
    </row>
    <row r="104" spans="1:19">
      <c r="A104" s="234"/>
      <c r="B104" s="234"/>
      <c r="C104" s="234"/>
      <c r="D104" s="234"/>
      <c r="E104" s="234"/>
      <c r="F104" s="234"/>
      <c r="G104" s="234"/>
      <c r="H104" s="234"/>
      <c r="I104" s="234"/>
      <c r="J104" s="234"/>
      <c r="K104" s="234"/>
      <c r="L104" s="234"/>
      <c r="M104" s="234"/>
      <c r="N104" s="234"/>
      <c r="O104" s="234"/>
      <c r="P104" s="234"/>
      <c r="Q104" s="234"/>
      <c r="R104" s="234"/>
    </row>
    <row r="105" spans="1:19">
      <c r="A105" s="234"/>
      <c r="B105" s="234"/>
      <c r="C105" s="234"/>
      <c r="D105" s="234"/>
      <c r="E105" s="234"/>
      <c r="F105" s="234"/>
      <c r="G105" s="234"/>
      <c r="H105" s="234"/>
      <c r="I105" s="234"/>
      <c r="J105" s="234"/>
      <c r="K105" s="234"/>
      <c r="L105" s="234"/>
      <c r="M105" s="234"/>
      <c r="N105" s="234"/>
      <c r="O105" s="234"/>
      <c r="P105" s="234"/>
      <c r="Q105" s="234"/>
      <c r="R105" s="234"/>
    </row>
    <row r="106" spans="1:19">
      <c r="A106" s="234"/>
      <c r="B106" s="234"/>
      <c r="C106" s="234"/>
      <c r="D106" s="234"/>
      <c r="E106" s="234"/>
      <c r="F106" s="234"/>
      <c r="G106" s="234"/>
      <c r="H106" s="234"/>
      <c r="I106" s="234"/>
      <c r="J106" s="234"/>
      <c r="K106" s="234"/>
      <c r="L106" s="234"/>
      <c r="M106" s="234"/>
      <c r="N106" s="234"/>
      <c r="O106" s="234"/>
      <c r="P106" s="234"/>
      <c r="Q106" s="234"/>
      <c r="R106" s="234"/>
    </row>
    <row r="107" spans="1:19" ht="15.75">
      <c r="A107" s="234"/>
      <c r="B107" s="273" t="s">
        <v>798</v>
      </c>
      <c r="C107" s="190"/>
      <c r="D107" s="234" t="s">
        <v>799</v>
      </c>
      <c r="E107" s="234"/>
      <c r="F107" s="234"/>
      <c r="G107" s="234"/>
      <c r="H107" s="234"/>
      <c r="I107" s="234"/>
      <c r="J107" s="234"/>
      <c r="K107" s="234"/>
      <c r="L107" s="234"/>
      <c r="M107" s="234"/>
      <c r="N107" s="234"/>
      <c r="O107" s="234"/>
      <c r="P107" s="234"/>
      <c r="Q107" s="234"/>
      <c r="R107" s="234"/>
      <c r="S107" s="234"/>
    </row>
    <row r="108" spans="1:19">
      <c r="A108" s="234"/>
      <c r="B108" s="234"/>
      <c r="C108" s="234"/>
      <c r="D108" s="234"/>
      <c r="E108" s="234"/>
      <c r="F108" s="234"/>
      <c r="G108" s="234"/>
      <c r="H108" s="234"/>
      <c r="I108" s="234"/>
      <c r="J108" s="234"/>
      <c r="K108" s="234"/>
      <c r="L108" s="234"/>
      <c r="M108" s="234"/>
      <c r="N108" s="234"/>
      <c r="O108" s="234"/>
      <c r="P108" s="234"/>
      <c r="Q108" s="234"/>
      <c r="R108" s="234"/>
      <c r="S108" s="234"/>
    </row>
    <row r="109" spans="1:19">
      <c r="A109" s="234"/>
      <c r="B109" s="682">
        <v>1</v>
      </c>
      <c r="C109" s="234" t="s">
        <v>800</v>
      </c>
      <c r="D109" s="234"/>
      <c r="E109" s="234"/>
      <c r="F109" s="234"/>
      <c r="G109" s="234"/>
      <c r="H109" s="234"/>
      <c r="I109" s="234"/>
      <c r="J109" s="234"/>
      <c r="K109" s="234"/>
      <c r="L109" s="234"/>
      <c r="M109" s="234"/>
      <c r="N109" s="234"/>
      <c r="O109" s="234"/>
      <c r="P109" s="234"/>
      <c r="Q109" s="234"/>
      <c r="R109" s="234"/>
      <c r="S109" s="234"/>
    </row>
    <row r="110" spans="1:19">
      <c r="A110" s="234"/>
      <c r="B110" s="246"/>
      <c r="C110" s="234"/>
      <c r="D110" s="234"/>
      <c r="E110" s="234"/>
      <c r="F110" s="234"/>
      <c r="G110" s="234"/>
      <c r="H110" s="234"/>
      <c r="I110" s="234"/>
      <c r="J110" s="234"/>
      <c r="K110" s="234"/>
      <c r="L110" s="234"/>
      <c r="M110" s="234"/>
      <c r="N110" s="234"/>
      <c r="O110" s="234"/>
      <c r="P110" s="234"/>
      <c r="Q110" s="234"/>
      <c r="R110" s="234"/>
      <c r="S110" s="234"/>
    </row>
    <row r="111" spans="1:19">
      <c r="A111" s="234"/>
      <c r="B111" s="246">
        <v>2</v>
      </c>
      <c r="C111" s="234" t="s">
        <v>910</v>
      </c>
      <c r="D111" s="234"/>
      <c r="E111" s="234"/>
      <c r="F111" s="234"/>
      <c r="G111" s="234"/>
      <c r="H111" s="234"/>
      <c r="I111" s="234"/>
      <c r="J111" s="234"/>
      <c r="K111" s="234"/>
      <c r="L111" s="234"/>
      <c r="M111" s="234"/>
      <c r="N111" s="234"/>
      <c r="O111" s="234"/>
      <c r="P111" s="234"/>
      <c r="Q111" s="234"/>
      <c r="R111" s="234"/>
      <c r="S111" s="234"/>
    </row>
    <row r="112" spans="1:19">
      <c r="A112" s="234"/>
      <c r="B112" s="246"/>
      <c r="C112" s="234"/>
      <c r="D112" s="234"/>
      <c r="E112" s="234"/>
      <c r="F112" s="234"/>
      <c r="G112" s="234"/>
      <c r="H112" s="234"/>
      <c r="I112" s="234"/>
      <c r="J112" s="234"/>
      <c r="K112" s="234"/>
      <c r="L112" s="234"/>
      <c r="M112" s="234"/>
      <c r="N112" s="234"/>
      <c r="O112" s="234"/>
      <c r="P112" s="234"/>
      <c r="Q112" s="234"/>
      <c r="R112" s="234"/>
      <c r="S112" s="234"/>
    </row>
    <row r="113" spans="1:19">
      <c r="A113" s="234"/>
      <c r="B113" s="246">
        <v>3</v>
      </c>
      <c r="C113" s="234" t="s">
        <v>801</v>
      </c>
      <c r="D113" s="234"/>
      <c r="E113" s="234"/>
      <c r="F113" s="234"/>
      <c r="G113" s="234"/>
      <c r="H113" s="234"/>
      <c r="I113" s="234"/>
      <c r="J113" s="234"/>
      <c r="K113" s="234"/>
      <c r="L113" s="234"/>
      <c r="M113" s="234"/>
      <c r="N113" s="234"/>
      <c r="O113" s="234"/>
      <c r="P113" s="234"/>
      <c r="Q113" s="234"/>
      <c r="R113" s="234"/>
      <c r="S113" s="234"/>
    </row>
    <row r="114" spans="1:19">
      <c r="A114" s="234"/>
      <c r="B114" s="246"/>
      <c r="C114" s="234"/>
      <c r="D114" s="234"/>
      <c r="E114" s="234"/>
      <c r="F114" s="234"/>
      <c r="G114" s="234"/>
      <c r="H114" s="234"/>
      <c r="I114" s="234"/>
      <c r="J114" s="234"/>
      <c r="K114" s="234"/>
      <c r="L114" s="234"/>
      <c r="M114" s="234"/>
      <c r="N114" s="234"/>
      <c r="O114" s="234"/>
      <c r="P114" s="234"/>
      <c r="Q114" s="234"/>
      <c r="R114" s="234"/>
      <c r="S114" s="234"/>
    </row>
    <row r="115" spans="1:19">
      <c r="A115" s="234"/>
      <c r="B115" s="246">
        <v>4</v>
      </c>
      <c r="C115" s="234" t="s">
        <v>802</v>
      </c>
      <c r="D115" s="234"/>
      <c r="E115" s="234"/>
      <c r="F115" s="234"/>
      <c r="G115" s="234"/>
      <c r="H115" s="234"/>
      <c r="I115" s="234"/>
      <c r="J115" s="234"/>
      <c r="K115" s="234"/>
      <c r="L115" s="234"/>
      <c r="M115" s="234"/>
      <c r="N115" s="234"/>
      <c r="O115" s="234"/>
      <c r="P115" s="234"/>
      <c r="Q115" s="234"/>
      <c r="R115" s="234"/>
      <c r="S115" s="234"/>
    </row>
    <row r="116" spans="1:19">
      <c r="A116" s="234"/>
      <c r="B116" s="246"/>
      <c r="C116" s="234"/>
      <c r="D116" s="234"/>
      <c r="E116" s="234"/>
      <c r="F116" s="234"/>
      <c r="G116" s="234"/>
      <c r="H116" s="234"/>
      <c r="I116" s="234"/>
      <c r="J116" s="234"/>
      <c r="K116" s="234"/>
      <c r="L116" s="234"/>
      <c r="M116" s="234"/>
      <c r="N116" s="234"/>
      <c r="O116" s="234"/>
      <c r="P116" s="234"/>
      <c r="Q116" s="234"/>
      <c r="R116" s="234"/>
      <c r="S116" s="234"/>
    </row>
    <row r="117" spans="1:19">
      <c r="A117" s="234"/>
      <c r="B117" s="246">
        <v>5</v>
      </c>
      <c r="C117" s="234" t="s">
        <v>803</v>
      </c>
      <c r="D117" s="234"/>
      <c r="E117" s="234"/>
      <c r="F117" s="234"/>
      <c r="G117" s="234"/>
      <c r="H117" s="234"/>
      <c r="I117" s="234"/>
      <c r="J117" s="234"/>
      <c r="K117" s="234"/>
      <c r="L117" s="234"/>
      <c r="M117" s="234"/>
      <c r="N117" s="234"/>
      <c r="O117" s="234"/>
      <c r="P117" s="234"/>
      <c r="Q117" s="234"/>
      <c r="R117" s="234"/>
      <c r="S117" s="234"/>
    </row>
    <row r="118" spans="1:19">
      <c r="A118" s="234"/>
      <c r="B118" s="246"/>
      <c r="C118" s="234" t="s">
        <v>804</v>
      </c>
      <c r="D118" s="234"/>
      <c r="E118" s="234"/>
      <c r="F118" s="234"/>
      <c r="G118" s="234"/>
      <c r="H118" s="234"/>
      <c r="I118" s="234"/>
      <c r="J118" s="234"/>
      <c r="K118" s="234"/>
      <c r="L118" s="234"/>
      <c r="M118" s="234"/>
      <c r="N118" s="234"/>
      <c r="O118" s="234"/>
      <c r="P118" s="234"/>
      <c r="Q118" s="234"/>
      <c r="R118" s="234"/>
      <c r="S118" s="234"/>
    </row>
    <row r="119" spans="1:19">
      <c r="A119" s="234"/>
      <c r="B119" s="246"/>
      <c r="C119" s="234"/>
      <c r="D119" s="234"/>
      <c r="E119" s="234"/>
      <c r="F119" s="234"/>
      <c r="G119" s="234"/>
      <c r="H119" s="234"/>
      <c r="I119" s="234"/>
      <c r="J119" s="234"/>
      <c r="K119" s="234"/>
      <c r="L119" s="234"/>
      <c r="M119" s="234"/>
      <c r="N119" s="234"/>
      <c r="O119" s="234"/>
      <c r="P119" s="234"/>
      <c r="Q119" s="234"/>
      <c r="R119" s="234"/>
      <c r="S119" s="234"/>
    </row>
    <row r="120" spans="1:19">
      <c r="A120" s="234"/>
      <c r="B120" s="246">
        <v>6</v>
      </c>
      <c r="C120" s="234" t="s">
        <v>805</v>
      </c>
      <c r="D120" s="234"/>
      <c r="E120" s="234"/>
      <c r="F120" s="234"/>
      <c r="G120" s="234"/>
      <c r="H120" s="234"/>
      <c r="I120" s="234"/>
      <c r="J120" s="234"/>
      <c r="K120" s="234"/>
      <c r="L120" s="234"/>
      <c r="M120" s="234"/>
      <c r="N120" s="234"/>
      <c r="O120" s="234"/>
      <c r="P120" s="234"/>
      <c r="Q120" s="234"/>
      <c r="R120" s="234"/>
      <c r="S120" s="234"/>
    </row>
    <row r="121" spans="1:19">
      <c r="A121" s="234"/>
      <c r="B121" s="246"/>
      <c r="C121" s="234"/>
      <c r="D121" s="234"/>
      <c r="E121" s="234"/>
      <c r="F121" s="234"/>
      <c r="G121" s="234"/>
      <c r="H121" s="234"/>
      <c r="I121" s="234"/>
      <c r="J121" s="234"/>
      <c r="K121" s="234"/>
      <c r="L121" s="234"/>
      <c r="M121" s="234"/>
      <c r="N121" s="234"/>
      <c r="O121" s="234"/>
      <c r="P121" s="234"/>
      <c r="Q121" s="234"/>
      <c r="R121" s="234"/>
      <c r="S121" s="234"/>
    </row>
    <row r="122" spans="1:19">
      <c r="A122" s="234"/>
      <c r="B122" s="246">
        <v>7</v>
      </c>
      <c r="C122" s="234" t="s">
        <v>806</v>
      </c>
      <c r="D122" s="234"/>
      <c r="E122" s="234"/>
      <c r="F122" s="234"/>
      <c r="G122" s="234"/>
      <c r="H122" s="234"/>
      <c r="I122" s="234"/>
      <c r="J122" s="234"/>
      <c r="K122" s="234"/>
      <c r="L122" s="234"/>
      <c r="M122" s="234"/>
      <c r="N122" s="234"/>
      <c r="O122" s="234"/>
      <c r="P122" s="234"/>
      <c r="Q122" s="234"/>
      <c r="R122" s="234"/>
      <c r="S122" s="234"/>
    </row>
    <row r="123" spans="1:19">
      <c r="A123" s="234"/>
      <c r="B123" s="683"/>
      <c r="C123" s="234"/>
      <c r="D123" s="234"/>
      <c r="E123" s="234"/>
      <c r="F123" s="234"/>
      <c r="G123" s="234"/>
      <c r="H123" s="234"/>
      <c r="I123" s="234"/>
      <c r="J123" s="234"/>
      <c r="K123" s="234"/>
      <c r="L123" s="234"/>
      <c r="M123" s="234"/>
      <c r="N123" s="234"/>
      <c r="O123" s="234"/>
      <c r="P123" s="234"/>
      <c r="Q123" s="234"/>
      <c r="R123" s="234"/>
      <c r="S123" s="234"/>
    </row>
    <row r="124" spans="1:19">
      <c r="A124" s="234"/>
      <c r="B124" s="246">
        <v>8</v>
      </c>
      <c r="C124" s="234" t="s">
        <v>807</v>
      </c>
      <c r="D124" s="234"/>
      <c r="E124" s="234"/>
      <c r="F124" s="234"/>
      <c r="G124" s="234"/>
      <c r="H124" s="234"/>
      <c r="I124" s="234"/>
      <c r="J124" s="234"/>
      <c r="K124" s="234"/>
      <c r="L124" s="234"/>
      <c r="M124" s="234"/>
      <c r="N124" s="234"/>
      <c r="O124" s="234"/>
      <c r="P124" s="234"/>
      <c r="Q124" s="234"/>
      <c r="R124" s="234"/>
      <c r="S124" s="234"/>
    </row>
    <row r="125" spans="1:19">
      <c r="A125" s="234"/>
      <c r="B125" s="683"/>
      <c r="C125" s="234"/>
      <c r="D125" s="234"/>
      <c r="E125" s="234"/>
      <c r="F125" s="234"/>
      <c r="G125" s="234"/>
      <c r="H125" s="234"/>
      <c r="I125" s="234"/>
      <c r="J125" s="234"/>
      <c r="K125" s="234"/>
      <c r="L125" s="234"/>
      <c r="M125" s="234"/>
      <c r="N125" s="234"/>
      <c r="O125" s="234"/>
      <c r="P125" s="234"/>
      <c r="Q125" s="234"/>
      <c r="R125" s="234"/>
      <c r="S125" s="234"/>
    </row>
    <row r="126" spans="1:19">
      <c r="A126" s="234"/>
      <c r="B126" s="246">
        <v>9</v>
      </c>
      <c r="C126" s="234" t="s">
        <v>395</v>
      </c>
      <c r="D126" s="234"/>
      <c r="E126" s="234"/>
      <c r="F126" s="234"/>
      <c r="G126" s="234"/>
      <c r="H126" s="234"/>
      <c r="I126" s="234"/>
      <c r="J126" s="234"/>
      <c r="K126" s="234"/>
      <c r="L126" s="234"/>
      <c r="M126" s="234"/>
      <c r="N126" s="234"/>
      <c r="O126" s="234"/>
      <c r="P126" s="234"/>
      <c r="Q126" s="234"/>
      <c r="R126" s="234"/>
      <c r="S126" s="234"/>
    </row>
    <row r="127" spans="1:19">
      <c r="A127" s="234"/>
      <c r="B127" s="234"/>
      <c r="C127" s="234"/>
      <c r="D127" s="234"/>
      <c r="E127" s="234"/>
      <c r="F127" s="234"/>
      <c r="G127" s="234"/>
      <c r="H127" s="234"/>
      <c r="I127" s="234"/>
      <c r="J127" s="234"/>
      <c r="K127" s="234"/>
      <c r="L127" s="234"/>
      <c r="M127" s="234"/>
      <c r="N127" s="234"/>
      <c r="O127" s="234"/>
      <c r="P127" s="234"/>
      <c r="Q127" s="234"/>
      <c r="R127" s="234"/>
      <c r="S127" s="234"/>
    </row>
    <row r="128" spans="1:19">
      <c r="B128" s="234"/>
      <c r="C128" s="234"/>
      <c r="D128" s="234"/>
      <c r="E128" s="234"/>
      <c r="F128" s="234"/>
      <c r="G128" s="234"/>
      <c r="H128" s="234"/>
      <c r="I128" s="234"/>
      <c r="J128" s="234"/>
      <c r="K128" s="234"/>
      <c r="L128" s="234"/>
      <c r="M128" s="234"/>
      <c r="N128" s="234"/>
      <c r="O128" s="234"/>
      <c r="P128" s="234"/>
      <c r="Q128" s="234"/>
      <c r="R128" s="234"/>
      <c r="S128" s="234"/>
    </row>
    <row r="129" spans="1:19" ht="15.75">
      <c r="A129" s="234"/>
      <c r="B129" s="273" t="s">
        <v>808</v>
      </c>
      <c r="C129" s="190"/>
      <c r="D129" s="234" t="s">
        <v>809</v>
      </c>
      <c r="E129" s="234"/>
      <c r="F129" s="234"/>
      <c r="G129" s="234"/>
      <c r="H129" s="234"/>
      <c r="I129" s="234"/>
      <c r="J129" s="234"/>
      <c r="K129" s="234"/>
      <c r="L129" s="234"/>
      <c r="M129" s="234"/>
      <c r="N129" s="234"/>
      <c r="O129" s="234"/>
      <c r="P129" s="234"/>
      <c r="Q129" s="234"/>
      <c r="R129" s="234"/>
      <c r="S129" s="234"/>
    </row>
    <row r="130" spans="1:19">
      <c r="A130" s="234"/>
      <c r="B130" s="234"/>
      <c r="C130" s="234"/>
      <c r="D130" s="234"/>
      <c r="E130" s="234"/>
      <c r="F130" s="234"/>
      <c r="G130" s="234"/>
      <c r="H130" s="234"/>
      <c r="I130" s="234"/>
      <c r="J130" s="234"/>
      <c r="K130" s="234"/>
      <c r="L130" s="234"/>
      <c r="M130" s="234"/>
      <c r="N130" s="234"/>
      <c r="O130" s="234"/>
      <c r="P130" s="234"/>
      <c r="Q130" s="234"/>
      <c r="R130" s="234"/>
      <c r="S130" s="234"/>
    </row>
    <row r="131" spans="1:19">
      <c r="A131" s="246"/>
      <c r="B131" s="889" t="s">
        <v>810</v>
      </c>
      <c r="C131" s="889" t="s">
        <v>811</v>
      </c>
      <c r="D131" s="891" t="s">
        <v>211</v>
      </c>
      <c r="E131" s="890"/>
      <c r="F131" s="663"/>
      <c r="G131" s="663"/>
      <c r="H131" s="663"/>
      <c r="I131" s="663"/>
      <c r="J131" s="663"/>
      <c r="K131" s="663"/>
      <c r="L131" s="663"/>
      <c r="M131" s="663"/>
      <c r="N131" s="663"/>
      <c r="O131" s="680"/>
      <c r="P131" s="234"/>
      <c r="Q131" s="234"/>
      <c r="R131" s="234"/>
      <c r="S131" s="234"/>
    </row>
    <row r="132" spans="1:19">
      <c r="A132" s="234"/>
      <c r="B132" s="685">
        <v>2</v>
      </c>
      <c r="C132" s="719">
        <v>38382</v>
      </c>
      <c r="D132" s="686" t="s">
        <v>812</v>
      </c>
      <c r="E132" s="663"/>
      <c r="F132" s="663"/>
      <c r="G132" s="663"/>
      <c r="H132" s="663"/>
      <c r="I132" s="663"/>
      <c r="J132" s="663"/>
      <c r="K132" s="663"/>
      <c r="L132" s="663"/>
      <c r="M132" s="663"/>
      <c r="N132" s="663"/>
      <c r="O132" s="680"/>
      <c r="P132" s="234"/>
      <c r="Q132" s="234"/>
      <c r="R132" s="234"/>
      <c r="S132" s="234"/>
    </row>
    <row r="133" spans="1:19">
      <c r="A133" s="234"/>
      <c r="B133" s="720">
        <v>2.1</v>
      </c>
      <c r="C133" s="719">
        <v>38390</v>
      </c>
      <c r="D133" s="684" t="s">
        <v>571</v>
      </c>
      <c r="E133" s="663"/>
      <c r="F133" s="663"/>
      <c r="G133" s="663"/>
      <c r="H133" s="663"/>
      <c r="I133" s="663"/>
      <c r="J133" s="663"/>
      <c r="K133" s="663"/>
      <c r="L133" s="663"/>
      <c r="M133" s="663"/>
      <c r="N133" s="663"/>
      <c r="O133" s="680"/>
      <c r="P133" s="234"/>
      <c r="Q133" s="234"/>
      <c r="R133" s="234"/>
      <c r="S133" s="234"/>
    </row>
    <row r="134" spans="1:19">
      <c r="A134" s="234"/>
      <c r="B134" s="720" t="s">
        <v>741</v>
      </c>
      <c r="C134" s="719">
        <v>38395</v>
      </c>
      <c r="D134" s="684" t="s">
        <v>742</v>
      </c>
      <c r="E134" s="663"/>
      <c r="F134" s="663"/>
      <c r="G134" s="663"/>
      <c r="H134" s="663"/>
      <c r="I134" s="663"/>
      <c r="J134" s="663"/>
      <c r="K134" s="663"/>
      <c r="L134" s="663"/>
      <c r="M134" s="663"/>
      <c r="N134" s="663"/>
      <c r="O134" s="680"/>
      <c r="P134" s="234"/>
      <c r="Q134" s="234"/>
      <c r="R134" s="234"/>
      <c r="S134" s="234"/>
    </row>
    <row r="135" spans="1:19">
      <c r="A135" s="234"/>
      <c r="B135" s="720" t="s">
        <v>146</v>
      </c>
      <c r="C135" s="719">
        <v>38404</v>
      </c>
      <c r="D135" s="684" t="s">
        <v>147</v>
      </c>
      <c r="E135" s="663"/>
      <c r="F135" s="663"/>
      <c r="G135" s="663"/>
      <c r="H135" s="663"/>
      <c r="I135" s="663"/>
      <c r="J135" s="663"/>
      <c r="K135" s="663"/>
      <c r="L135" s="663"/>
      <c r="M135" s="663"/>
      <c r="N135" s="663"/>
      <c r="O135" s="680"/>
      <c r="P135" s="234"/>
      <c r="Q135" s="234"/>
      <c r="R135" s="234"/>
      <c r="S135" s="234"/>
    </row>
    <row r="136" spans="1:19">
      <c r="A136" s="234"/>
      <c r="B136" s="720" t="s">
        <v>763</v>
      </c>
      <c r="C136" s="719">
        <v>38409</v>
      </c>
      <c r="D136" s="684" t="s">
        <v>764</v>
      </c>
      <c r="E136" s="663"/>
      <c r="F136" s="663"/>
      <c r="G136" s="663"/>
      <c r="H136" s="663"/>
      <c r="I136" s="663"/>
      <c r="J136" s="663"/>
      <c r="K136" s="663"/>
      <c r="L136" s="663"/>
      <c r="M136" s="663"/>
      <c r="N136" s="663"/>
      <c r="O136" s="680"/>
      <c r="P136" s="234"/>
      <c r="Q136" s="234"/>
      <c r="R136" s="234"/>
      <c r="S136" s="234"/>
    </row>
    <row r="137" spans="1:19">
      <c r="A137" s="234"/>
      <c r="B137" s="720" t="s">
        <v>641</v>
      </c>
      <c r="C137" s="719">
        <v>38410</v>
      </c>
      <c r="D137" s="684" t="s">
        <v>642</v>
      </c>
      <c r="E137" s="663"/>
      <c r="F137" s="663"/>
      <c r="G137" s="663"/>
      <c r="H137" s="663"/>
      <c r="I137" s="663"/>
      <c r="J137" s="663"/>
      <c r="K137" s="663"/>
      <c r="L137" s="663"/>
      <c r="M137" s="663"/>
      <c r="N137" s="663"/>
      <c r="O137" s="680"/>
      <c r="P137" s="234"/>
      <c r="Q137" s="234"/>
      <c r="R137" s="234"/>
      <c r="S137" s="234"/>
    </row>
    <row r="138" spans="1:19">
      <c r="A138" s="234"/>
      <c r="B138" s="720">
        <v>2.2000000000000002</v>
      </c>
      <c r="C138" s="719">
        <v>38410</v>
      </c>
      <c r="D138" s="684" t="s">
        <v>78</v>
      </c>
      <c r="E138" s="663"/>
      <c r="F138" s="663"/>
      <c r="G138" s="663"/>
      <c r="H138" s="663"/>
      <c r="I138" s="663"/>
      <c r="J138" s="663"/>
      <c r="K138" s="663"/>
      <c r="L138" s="663"/>
      <c r="M138" s="663"/>
      <c r="N138" s="663"/>
      <c r="O138" s="680"/>
      <c r="P138" s="234"/>
      <c r="Q138" s="234"/>
      <c r="R138" s="234"/>
      <c r="S138" s="234"/>
    </row>
    <row r="139" spans="1:19">
      <c r="A139" s="234"/>
      <c r="B139" s="720" t="s">
        <v>166</v>
      </c>
      <c r="C139" s="719">
        <v>38487</v>
      </c>
      <c r="D139" s="684" t="s">
        <v>167</v>
      </c>
      <c r="E139" s="663"/>
      <c r="F139" s="663"/>
      <c r="G139" s="663"/>
      <c r="H139" s="663"/>
      <c r="I139" s="663"/>
      <c r="J139" s="663"/>
      <c r="K139" s="663"/>
      <c r="L139" s="663"/>
      <c r="M139" s="663"/>
      <c r="N139" s="663"/>
      <c r="O139" s="680"/>
      <c r="P139" s="234"/>
      <c r="Q139" s="234"/>
      <c r="R139" s="234"/>
      <c r="S139" s="234"/>
    </row>
    <row r="140" spans="1:19">
      <c r="A140" s="234"/>
      <c r="B140" s="720" t="s">
        <v>744</v>
      </c>
      <c r="C140" s="719">
        <v>38526</v>
      </c>
      <c r="D140" s="684" t="s">
        <v>745</v>
      </c>
      <c r="E140" s="663"/>
      <c r="F140" s="663"/>
      <c r="G140" s="663"/>
      <c r="H140" s="663"/>
      <c r="I140" s="663"/>
      <c r="J140" s="663"/>
      <c r="K140" s="663"/>
      <c r="L140" s="663"/>
      <c r="M140" s="663"/>
      <c r="N140" s="663"/>
      <c r="O140" s="680"/>
      <c r="P140" s="234"/>
      <c r="Q140" s="234"/>
      <c r="R140" s="234"/>
      <c r="S140" s="234"/>
    </row>
    <row r="141" spans="1:19">
      <c r="A141" s="234"/>
      <c r="B141" s="720">
        <v>2.2999999999999998</v>
      </c>
      <c r="C141" s="719">
        <v>38549</v>
      </c>
      <c r="D141" s="684" t="s">
        <v>760</v>
      </c>
      <c r="E141" s="663"/>
      <c r="F141" s="663"/>
      <c r="G141" s="663"/>
      <c r="H141" s="663"/>
      <c r="I141" s="663"/>
      <c r="J141" s="663"/>
      <c r="K141" s="663"/>
      <c r="L141" s="663"/>
      <c r="M141" s="663"/>
      <c r="N141" s="663"/>
      <c r="O141" s="680"/>
      <c r="P141" s="234"/>
      <c r="Q141" s="234"/>
      <c r="R141" s="234"/>
      <c r="S141" s="234"/>
    </row>
    <row r="142" spans="1:19">
      <c r="A142" s="234"/>
      <c r="B142" s="720" t="s">
        <v>319</v>
      </c>
      <c r="C142" s="719">
        <v>38623</v>
      </c>
      <c r="D142" s="684" t="s">
        <v>320</v>
      </c>
      <c r="E142" s="663"/>
      <c r="F142" s="663"/>
      <c r="G142" s="663"/>
      <c r="H142" s="663"/>
      <c r="I142" s="663"/>
      <c r="J142" s="663"/>
      <c r="K142" s="663"/>
      <c r="L142" s="663"/>
      <c r="M142" s="663"/>
      <c r="N142" s="663"/>
      <c r="O142" s="680"/>
      <c r="P142" s="234"/>
      <c r="Q142" s="234"/>
      <c r="R142" s="234"/>
      <c r="S142" s="234"/>
    </row>
    <row r="143" spans="1:19">
      <c r="A143" s="234"/>
      <c r="B143" s="720" t="s">
        <v>851</v>
      </c>
      <c r="C143" s="719">
        <v>38629</v>
      </c>
      <c r="D143" s="684" t="s">
        <v>852</v>
      </c>
      <c r="E143" s="663"/>
      <c r="F143" s="663"/>
      <c r="G143" s="663"/>
      <c r="H143" s="663"/>
      <c r="I143" s="663"/>
      <c r="J143" s="663"/>
      <c r="K143" s="663"/>
      <c r="L143" s="663"/>
      <c r="M143" s="663"/>
      <c r="N143" s="663"/>
      <c r="O143" s="680"/>
      <c r="P143" s="234"/>
      <c r="Q143" s="234"/>
      <c r="R143" s="234"/>
      <c r="S143" s="234"/>
    </row>
    <row r="144" spans="1:19">
      <c r="A144" s="234"/>
      <c r="B144" s="720">
        <v>2.4</v>
      </c>
      <c r="C144" s="719">
        <v>39012</v>
      </c>
      <c r="D144" s="684" t="s">
        <v>15</v>
      </c>
      <c r="E144" s="663"/>
      <c r="F144" s="663"/>
      <c r="G144" s="663"/>
      <c r="H144" s="663"/>
      <c r="I144" s="663"/>
      <c r="J144" s="663"/>
      <c r="K144" s="663"/>
      <c r="L144" s="663"/>
      <c r="M144" s="663"/>
      <c r="N144" s="663"/>
      <c r="O144" s="680"/>
      <c r="P144" s="234"/>
      <c r="Q144" s="234"/>
      <c r="R144" s="234"/>
      <c r="S144" s="234"/>
    </row>
    <row r="145" spans="1:19">
      <c r="A145" s="234"/>
      <c r="B145" s="720">
        <v>2.5</v>
      </c>
      <c r="C145" s="892" t="s">
        <v>227</v>
      </c>
      <c r="D145" s="684" t="s">
        <v>226</v>
      </c>
      <c r="E145" s="663"/>
      <c r="F145" s="663"/>
      <c r="G145" s="663"/>
      <c r="H145" s="663"/>
      <c r="I145" s="663"/>
      <c r="J145" s="663"/>
      <c r="K145" s="663"/>
      <c r="L145" s="663"/>
      <c r="M145" s="663"/>
      <c r="N145" s="663"/>
      <c r="O145" s="680"/>
      <c r="P145" s="234"/>
      <c r="Q145" s="234"/>
      <c r="R145" s="234"/>
      <c r="S145" s="234"/>
    </row>
    <row r="146" spans="1:19">
      <c r="A146" s="234"/>
      <c r="B146" s="910" t="s">
        <v>1025</v>
      </c>
      <c r="C146" s="719">
        <v>39513</v>
      </c>
      <c r="D146" s="911" t="s">
        <v>1027</v>
      </c>
      <c r="E146" s="663"/>
      <c r="F146" s="663"/>
      <c r="G146" s="663"/>
      <c r="H146" s="663"/>
      <c r="I146" s="663"/>
      <c r="J146" s="663"/>
      <c r="K146" s="663"/>
      <c r="L146" s="663"/>
      <c r="M146" s="663"/>
      <c r="N146" s="663"/>
      <c r="O146" s="680"/>
      <c r="P146" s="234"/>
      <c r="Q146" s="234"/>
      <c r="R146" s="234"/>
      <c r="S146" s="234"/>
    </row>
    <row r="147" spans="1:19">
      <c r="A147" s="234"/>
      <c r="B147" s="720" t="s">
        <v>1026</v>
      </c>
      <c r="C147" s="719">
        <v>39525</v>
      </c>
      <c r="D147" s="684" t="s">
        <v>1028</v>
      </c>
      <c r="E147" s="663"/>
      <c r="F147" s="663"/>
      <c r="G147" s="663"/>
      <c r="H147" s="663"/>
      <c r="I147" s="663"/>
      <c r="J147" s="663"/>
      <c r="K147" s="663"/>
      <c r="L147" s="663"/>
      <c r="M147" s="663"/>
      <c r="N147" s="663"/>
      <c r="O147" s="680"/>
      <c r="P147" s="234"/>
      <c r="Q147" s="234"/>
      <c r="R147" s="234"/>
      <c r="S147" s="234"/>
    </row>
    <row r="148" spans="1:19">
      <c r="A148" s="234"/>
      <c r="B148" s="910" t="s">
        <v>1029</v>
      </c>
      <c r="C148" s="719">
        <v>39799</v>
      </c>
      <c r="D148" s="911" t="s">
        <v>1030</v>
      </c>
      <c r="E148" s="663"/>
      <c r="F148" s="663"/>
      <c r="G148" s="663"/>
      <c r="H148" s="663"/>
      <c r="I148" s="663"/>
      <c r="J148" s="663"/>
      <c r="K148" s="663"/>
      <c r="L148" s="663"/>
      <c r="M148" s="663"/>
      <c r="N148" s="663"/>
      <c r="O148" s="680"/>
      <c r="P148" s="234"/>
      <c r="Q148" s="234"/>
      <c r="R148" s="234"/>
      <c r="S148" s="234"/>
    </row>
    <row r="149" spans="1:19">
      <c r="A149" s="234"/>
      <c r="B149" s="720" t="s">
        <v>1032</v>
      </c>
      <c r="C149" s="719">
        <v>41709</v>
      </c>
      <c r="D149" s="684" t="s">
        <v>1049</v>
      </c>
      <c r="E149" s="663"/>
      <c r="F149" s="663"/>
      <c r="G149" s="663"/>
      <c r="H149" s="663"/>
      <c r="I149" s="663"/>
      <c r="J149" s="663"/>
      <c r="K149" s="663"/>
      <c r="L149" s="663"/>
      <c r="M149" s="663"/>
      <c r="N149" s="663"/>
      <c r="O149" s="680"/>
      <c r="P149" s="234"/>
      <c r="Q149" s="234"/>
      <c r="R149" s="234"/>
      <c r="S149" s="234"/>
    </row>
    <row r="150" spans="1:19">
      <c r="A150" s="234"/>
      <c r="B150" s="971" t="s">
        <v>1052</v>
      </c>
      <c r="C150" s="970">
        <v>42663</v>
      </c>
      <c r="D150" s="684" t="s">
        <v>1054</v>
      </c>
      <c r="E150" s="663"/>
      <c r="F150" s="663"/>
      <c r="G150" s="663"/>
      <c r="H150" s="663"/>
      <c r="I150" s="663"/>
      <c r="J150" s="663"/>
      <c r="K150" s="663"/>
      <c r="L150" s="663"/>
      <c r="M150" s="663"/>
      <c r="N150" s="663"/>
      <c r="O150" s="680"/>
      <c r="P150" s="234"/>
      <c r="Q150" s="234"/>
      <c r="R150" s="234"/>
      <c r="S150" s="234"/>
    </row>
    <row r="151" spans="1:19">
      <c r="A151" s="234"/>
      <c r="B151" s="234"/>
      <c r="C151" s="234"/>
      <c r="D151" s="234"/>
      <c r="E151" s="234"/>
      <c r="F151" s="234"/>
      <c r="G151" s="234"/>
      <c r="H151" s="234"/>
      <c r="I151" s="234"/>
      <c r="J151" s="234"/>
      <c r="K151" s="234"/>
      <c r="L151" s="234"/>
      <c r="M151" s="234"/>
      <c r="N151" s="234"/>
      <c r="O151" s="234"/>
      <c r="P151" s="234"/>
      <c r="Q151" s="234"/>
      <c r="R151" s="234"/>
      <c r="S151" s="234"/>
    </row>
    <row r="152" spans="1:19">
      <c r="A152" s="234"/>
      <c r="B152" s="234"/>
      <c r="C152" s="234"/>
      <c r="D152" s="234"/>
      <c r="E152" s="234"/>
      <c r="F152" s="234"/>
      <c r="G152" s="234"/>
      <c r="H152" s="234"/>
      <c r="I152" s="234"/>
      <c r="J152" s="234"/>
      <c r="K152" s="234"/>
      <c r="L152" s="234"/>
      <c r="M152" s="234"/>
      <c r="N152" s="234"/>
      <c r="O152" s="234"/>
      <c r="P152" s="234"/>
      <c r="Q152" s="234"/>
      <c r="R152" s="234"/>
      <c r="S152" s="234"/>
    </row>
    <row r="153" spans="1:19">
      <c r="A153" s="234"/>
      <c r="B153" s="234"/>
      <c r="C153" s="234"/>
      <c r="D153" s="234"/>
      <c r="E153" s="234"/>
      <c r="F153" s="234"/>
      <c r="G153" s="234"/>
      <c r="H153" s="234"/>
      <c r="I153" s="234"/>
      <c r="J153" s="234"/>
      <c r="K153" s="234"/>
      <c r="L153" s="234"/>
      <c r="M153" s="234"/>
      <c r="N153" s="234"/>
      <c r="O153" s="234"/>
      <c r="P153" s="234"/>
      <c r="Q153" s="234"/>
      <c r="R153" s="234"/>
      <c r="S153" s="234"/>
    </row>
    <row r="154" spans="1:19">
      <c r="A154" s="234"/>
      <c r="B154" s="234"/>
      <c r="C154" s="234"/>
      <c r="D154" s="234"/>
      <c r="E154" s="234"/>
      <c r="F154" s="234"/>
      <c r="G154" s="234"/>
      <c r="H154" s="234"/>
      <c r="I154" s="234"/>
      <c r="J154" s="234"/>
      <c r="K154" s="234"/>
      <c r="L154" s="234"/>
      <c r="M154" s="234"/>
      <c r="N154" s="234"/>
      <c r="O154" s="234"/>
      <c r="P154" s="234"/>
      <c r="Q154" s="234"/>
      <c r="R154" s="234"/>
      <c r="S154" s="234"/>
    </row>
    <row r="155" spans="1:19">
      <c r="A155" s="234"/>
      <c r="B155" s="234"/>
      <c r="C155" s="234"/>
      <c r="D155" s="234"/>
      <c r="E155" s="234"/>
      <c r="F155" s="234"/>
      <c r="G155" s="234"/>
      <c r="H155" s="234"/>
      <c r="I155" s="234"/>
      <c r="J155" s="234"/>
      <c r="K155" s="234"/>
      <c r="L155" s="234"/>
      <c r="M155" s="234"/>
      <c r="N155" s="234"/>
      <c r="O155" s="234"/>
      <c r="P155" s="234"/>
      <c r="Q155" s="234"/>
      <c r="R155" s="234"/>
      <c r="S155" s="234"/>
    </row>
    <row r="156" spans="1:19">
      <c r="A156" s="234"/>
      <c r="B156" s="234"/>
      <c r="C156" s="234"/>
      <c r="D156" s="234"/>
      <c r="E156" s="234"/>
      <c r="F156" s="234"/>
      <c r="G156" s="234"/>
      <c r="H156" s="234"/>
      <c r="I156" s="234"/>
      <c r="J156" s="234"/>
      <c r="K156" s="234"/>
      <c r="L156" s="234"/>
      <c r="M156" s="234"/>
      <c r="N156" s="234"/>
      <c r="O156" s="234"/>
      <c r="P156" s="234"/>
      <c r="Q156" s="234"/>
      <c r="R156" s="234"/>
      <c r="S156" s="234"/>
    </row>
    <row r="157" spans="1:19">
      <c r="A157" s="234"/>
      <c r="B157" s="234"/>
      <c r="C157" s="234"/>
      <c r="D157" s="234"/>
      <c r="E157" s="234"/>
      <c r="F157" s="234"/>
      <c r="G157" s="234"/>
      <c r="H157" s="234"/>
      <c r="I157" s="234"/>
      <c r="J157" s="234"/>
      <c r="K157" s="234"/>
      <c r="L157" s="234"/>
      <c r="M157" s="234"/>
      <c r="N157" s="234"/>
      <c r="O157" s="234"/>
      <c r="P157" s="234"/>
      <c r="Q157" s="234"/>
      <c r="R157" s="234"/>
      <c r="S157" s="234"/>
    </row>
    <row r="158" spans="1:19">
      <c r="A158" s="234"/>
      <c r="B158" s="234"/>
      <c r="C158" s="234"/>
      <c r="D158" s="234"/>
      <c r="E158" s="234"/>
      <c r="F158" s="234"/>
      <c r="G158" s="234"/>
      <c r="H158" s="234"/>
      <c r="I158" s="234"/>
      <c r="J158" s="234"/>
      <c r="K158" s="234"/>
      <c r="L158" s="234"/>
      <c r="M158" s="234"/>
      <c r="N158" s="234"/>
      <c r="O158" s="234"/>
      <c r="P158" s="234"/>
      <c r="Q158" s="234"/>
      <c r="R158" s="234"/>
      <c r="S158" s="234"/>
    </row>
    <row r="159" spans="1:19">
      <c r="A159" s="234"/>
      <c r="B159" s="234"/>
      <c r="C159" s="234"/>
      <c r="D159" s="234"/>
      <c r="E159" s="234"/>
      <c r="F159" s="234"/>
      <c r="G159" s="234"/>
      <c r="H159" s="234"/>
      <c r="I159" s="234"/>
      <c r="J159" s="234"/>
      <c r="K159" s="234"/>
      <c r="L159" s="234"/>
      <c r="M159" s="234"/>
      <c r="N159" s="234"/>
      <c r="O159" s="234"/>
      <c r="P159" s="234"/>
      <c r="Q159" s="234"/>
      <c r="R159" s="234"/>
      <c r="S159" s="234"/>
    </row>
    <row r="160" spans="1:19">
      <c r="A160" s="234"/>
      <c r="B160" s="234"/>
      <c r="C160" s="234"/>
      <c r="D160" s="234"/>
      <c r="E160" s="234"/>
      <c r="F160" s="234"/>
      <c r="G160" s="234"/>
      <c r="H160" s="234"/>
      <c r="I160" s="234"/>
      <c r="J160" s="234"/>
      <c r="K160" s="234"/>
      <c r="L160" s="234"/>
      <c r="M160" s="234"/>
      <c r="N160" s="234"/>
      <c r="O160" s="234"/>
      <c r="P160" s="234"/>
      <c r="Q160" s="234"/>
      <c r="R160" s="234"/>
      <c r="S160" s="234"/>
    </row>
    <row r="161" spans="1:19">
      <c r="A161" s="234"/>
      <c r="B161" s="234"/>
      <c r="C161" s="234"/>
      <c r="D161" s="234"/>
      <c r="E161" s="234"/>
      <c r="F161" s="234"/>
      <c r="G161" s="234"/>
      <c r="H161" s="234"/>
      <c r="I161" s="234"/>
      <c r="J161" s="234"/>
      <c r="K161" s="234"/>
      <c r="L161" s="234"/>
      <c r="M161" s="234"/>
      <c r="N161" s="234"/>
      <c r="O161" s="234"/>
      <c r="P161" s="234"/>
      <c r="Q161" s="234"/>
      <c r="R161" s="234"/>
      <c r="S161" s="234"/>
    </row>
    <row r="162" spans="1:19">
      <c r="A162" s="234"/>
      <c r="B162" s="234"/>
      <c r="C162" s="234"/>
      <c r="D162" s="234"/>
      <c r="E162" s="234"/>
      <c r="F162" s="234"/>
      <c r="G162" s="234"/>
      <c r="H162" s="234"/>
      <c r="I162" s="234"/>
      <c r="J162" s="234"/>
      <c r="K162" s="234"/>
      <c r="L162" s="234"/>
      <c r="M162" s="234"/>
      <c r="N162" s="234"/>
      <c r="O162" s="234"/>
      <c r="P162" s="234"/>
      <c r="Q162" s="234"/>
      <c r="R162" s="234"/>
      <c r="S162" s="234"/>
    </row>
    <row r="163" spans="1:19">
      <c r="A163" s="234"/>
      <c r="B163" s="234"/>
      <c r="C163" s="234"/>
      <c r="D163" s="234"/>
      <c r="E163" s="234"/>
      <c r="F163" s="234"/>
      <c r="G163" s="234"/>
      <c r="H163" s="234"/>
      <c r="I163" s="234"/>
      <c r="J163" s="234"/>
      <c r="K163" s="234"/>
      <c r="L163" s="234"/>
      <c r="M163" s="234"/>
      <c r="N163" s="234"/>
      <c r="O163" s="234"/>
      <c r="P163" s="234"/>
      <c r="Q163" s="234"/>
      <c r="R163" s="234"/>
      <c r="S163" s="234"/>
    </row>
    <row r="164" spans="1:19">
      <c r="A164" s="234"/>
      <c r="B164" s="234"/>
      <c r="C164" s="234"/>
      <c r="D164" s="234"/>
      <c r="E164" s="234"/>
      <c r="F164" s="234"/>
      <c r="G164" s="234"/>
      <c r="H164" s="234"/>
      <c r="I164" s="234"/>
      <c r="J164" s="234"/>
      <c r="K164" s="234"/>
      <c r="L164" s="234"/>
      <c r="M164" s="234"/>
      <c r="N164" s="234"/>
      <c r="O164" s="234"/>
      <c r="P164" s="234"/>
      <c r="Q164" s="234"/>
      <c r="R164" s="234"/>
      <c r="S164" s="234"/>
    </row>
    <row r="165" spans="1:19">
      <c r="A165" s="234"/>
      <c r="B165" s="234"/>
      <c r="C165" s="234"/>
      <c r="D165" s="234"/>
      <c r="E165" s="234"/>
      <c r="F165" s="234"/>
      <c r="G165" s="234"/>
      <c r="H165" s="234"/>
      <c r="I165" s="234"/>
      <c r="J165" s="234"/>
      <c r="K165" s="234"/>
      <c r="L165" s="234"/>
      <c r="M165" s="234"/>
      <c r="N165" s="234"/>
      <c r="O165" s="234"/>
      <c r="P165" s="234"/>
      <c r="Q165" s="234"/>
      <c r="R165" s="234"/>
      <c r="S165" s="234"/>
    </row>
    <row r="166" spans="1:19">
      <c r="A166" s="234"/>
      <c r="B166" s="234"/>
      <c r="C166" s="234"/>
      <c r="D166" s="234"/>
      <c r="E166" s="234"/>
      <c r="F166" s="234"/>
      <c r="G166" s="234"/>
      <c r="H166" s="234"/>
      <c r="I166" s="234"/>
      <c r="J166" s="234"/>
      <c r="K166" s="234"/>
      <c r="L166" s="234"/>
      <c r="M166" s="234"/>
      <c r="N166" s="234"/>
      <c r="O166" s="234"/>
      <c r="P166" s="234"/>
      <c r="Q166" s="234"/>
      <c r="R166" s="234"/>
      <c r="S166" s="234"/>
    </row>
    <row r="167" spans="1:19">
      <c r="A167" s="234"/>
      <c r="B167" s="234"/>
      <c r="C167" s="234"/>
      <c r="D167" s="234"/>
      <c r="E167" s="234"/>
      <c r="F167" s="234"/>
      <c r="G167" s="234"/>
      <c r="H167" s="234"/>
      <c r="I167" s="234"/>
      <c r="J167" s="234"/>
      <c r="K167" s="234"/>
      <c r="L167" s="234"/>
      <c r="M167" s="234"/>
      <c r="N167" s="234"/>
      <c r="O167" s="234"/>
      <c r="P167" s="234"/>
      <c r="Q167" s="234"/>
      <c r="R167" s="234"/>
      <c r="S167" s="234"/>
    </row>
    <row r="168" spans="1:19">
      <c r="A168" s="234"/>
      <c r="B168" s="234"/>
      <c r="C168" s="234"/>
      <c r="D168" s="234"/>
      <c r="E168" s="234"/>
      <c r="F168" s="234"/>
      <c r="G168" s="234"/>
      <c r="H168" s="234"/>
      <c r="I168" s="234"/>
      <c r="J168" s="234"/>
      <c r="K168" s="234"/>
      <c r="L168" s="234"/>
      <c r="M168" s="234"/>
      <c r="N168" s="234"/>
      <c r="O168" s="234"/>
      <c r="P168" s="234"/>
      <c r="Q168" s="234"/>
      <c r="R168" s="234"/>
      <c r="S168" s="234"/>
    </row>
    <row r="169" spans="1:19">
      <c r="A169" s="234"/>
      <c r="B169" s="234"/>
      <c r="C169" s="234"/>
      <c r="D169" s="234"/>
      <c r="E169" s="234"/>
      <c r="F169" s="234"/>
      <c r="G169" s="234"/>
      <c r="H169" s="234"/>
      <c r="I169" s="234"/>
      <c r="J169" s="234"/>
      <c r="K169" s="234"/>
      <c r="L169" s="234"/>
      <c r="M169" s="234"/>
      <c r="N169" s="234"/>
      <c r="O169" s="234"/>
      <c r="P169" s="234"/>
      <c r="Q169" s="234"/>
      <c r="R169" s="234"/>
      <c r="S169" s="234"/>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5546875" defaultRowHeight="12.75"/>
  <cols>
    <col min="2" max="2" width="15.85546875" customWidth="1"/>
  </cols>
  <sheetData>
    <row r="1" spans="1:21" ht="18">
      <c r="A1" s="876" t="s">
        <v>29</v>
      </c>
      <c r="B1" s="397"/>
      <c r="C1" s="397"/>
      <c r="D1" s="397"/>
      <c r="E1" s="397"/>
      <c r="F1" s="397"/>
      <c r="G1" s="397"/>
      <c r="H1" s="397"/>
      <c r="I1" s="397"/>
      <c r="J1" s="397"/>
      <c r="K1" s="397"/>
      <c r="L1" s="397"/>
      <c r="M1" s="397"/>
      <c r="N1" s="397"/>
      <c r="O1" s="397"/>
      <c r="P1" s="397"/>
      <c r="Q1" s="397"/>
      <c r="R1" s="397"/>
      <c r="S1" s="397"/>
      <c r="T1" s="397"/>
      <c r="U1" s="37"/>
    </row>
    <row r="2" spans="1:21" ht="13.5" thickBot="1">
      <c r="A2" s="127"/>
      <c r="B2" s="127"/>
      <c r="C2" s="127"/>
      <c r="D2" s="127"/>
      <c r="E2" s="127"/>
      <c r="F2" s="127"/>
      <c r="G2" s="127"/>
      <c r="H2" s="127"/>
      <c r="I2" s="127"/>
      <c r="J2" s="127"/>
      <c r="K2" s="127"/>
      <c r="L2" s="127"/>
      <c r="M2" s="127"/>
      <c r="N2" s="127"/>
      <c r="O2" s="127"/>
      <c r="P2" s="127"/>
      <c r="Q2" s="127"/>
      <c r="R2" s="127"/>
      <c r="S2" s="127"/>
      <c r="T2" s="127"/>
      <c r="U2" s="127"/>
    </row>
    <row r="3" spans="1:21">
      <c r="A3" s="23"/>
      <c r="B3" s="877" t="s">
        <v>599</v>
      </c>
      <c r="C3" s="101"/>
      <c r="D3" s="101"/>
      <c r="E3" s="101"/>
      <c r="F3" s="101"/>
      <c r="G3" s="101"/>
      <c r="H3" s="101"/>
      <c r="I3" s="101"/>
      <c r="J3" s="105"/>
      <c r="K3" s="23"/>
      <c r="L3" s="23"/>
      <c r="M3" s="23"/>
      <c r="N3" s="23"/>
      <c r="O3" s="23"/>
      <c r="P3" s="23"/>
      <c r="Q3" s="23"/>
      <c r="R3" s="23"/>
      <c r="S3" s="23"/>
      <c r="T3" s="23"/>
      <c r="U3" s="23"/>
    </row>
    <row r="4" spans="1:21">
      <c r="A4" s="23"/>
      <c r="B4" s="100" t="s">
        <v>332</v>
      </c>
      <c r="C4" s="101"/>
      <c r="D4" s="101"/>
      <c r="E4" s="101"/>
      <c r="F4" s="101"/>
      <c r="G4" s="101"/>
      <c r="H4" s="101"/>
      <c r="I4" s="101"/>
      <c r="J4" s="105"/>
      <c r="K4" s="23"/>
      <c r="L4" s="23"/>
      <c r="M4" s="23"/>
      <c r="N4" s="23"/>
      <c r="O4" s="23"/>
      <c r="P4" s="23"/>
      <c r="Q4" s="23"/>
      <c r="R4" s="23"/>
      <c r="S4" s="23"/>
      <c r="T4" s="23"/>
      <c r="U4" s="23"/>
    </row>
    <row r="5" spans="1:21">
      <c r="A5" s="23"/>
      <c r="B5" s="871" t="s">
        <v>341</v>
      </c>
      <c r="C5" s="868">
        <f>Orbit!B98</f>
        <v>19.062200000000001</v>
      </c>
      <c r="D5" s="101" t="s">
        <v>4</v>
      </c>
      <c r="E5" s="101"/>
      <c r="F5" s="101"/>
      <c r="G5" s="101"/>
      <c r="H5" s="101"/>
      <c r="I5" s="101"/>
      <c r="J5" s="105"/>
      <c r="K5" s="23"/>
      <c r="L5" s="23"/>
      <c r="M5" s="23"/>
      <c r="N5" s="23"/>
      <c r="O5" s="23"/>
      <c r="P5" s="23"/>
      <c r="Q5" s="23"/>
      <c r="R5" s="23"/>
      <c r="S5" s="23"/>
      <c r="T5" s="23"/>
      <c r="U5" s="23"/>
    </row>
    <row r="6" spans="1:21">
      <c r="A6" s="23"/>
      <c r="B6" s="100" t="s">
        <v>342</v>
      </c>
      <c r="C6" s="31">
        <f>IF(C5&gt;0,1,0)</f>
        <v>1</v>
      </c>
      <c r="D6" s="101"/>
      <c r="E6" s="101" t="s">
        <v>818</v>
      </c>
      <c r="F6" s="101"/>
      <c r="G6" s="101" t="s">
        <v>343</v>
      </c>
      <c r="H6" s="101"/>
      <c r="I6" s="101"/>
      <c r="J6" s="105"/>
      <c r="K6" s="23"/>
      <c r="L6" s="23"/>
      <c r="M6" s="23"/>
      <c r="N6" s="23"/>
      <c r="O6" s="23"/>
      <c r="P6" s="23"/>
      <c r="Q6" s="23"/>
      <c r="R6" s="23"/>
      <c r="S6" s="23"/>
      <c r="T6" s="23"/>
      <c r="U6" s="23"/>
    </row>
    <row r="7" spans="1:21">
      <c r="A7" s="23"/>
      <c r="B7" s="100"/>
      <c r="C7" s="31">
        <f>N(NOT(C6))</f>
        <v>0</v>
      </c>
      <c r="D7" s="101"/>
      <c r="E7" s="101"/>
      <c r="F7" s="101"/>
      <c r="G7" s="101" t="s">
        <v>344</v>
      </c>
      <c r="H7" s="101"/>
      <c r="I7" s="101"/>
      <c r="J7" s="105"/>
      <c r="K7" s="23"/>
      <c r="L7" s="23"/>
      <c r="M7" s="23"/>
      <c r="N7" s="23"/>
      <c r="O7" s="23"/>
      <c r="P7" s="23"/>
      <c r="Q7" s="23"/>
      <c r="R7" s="23"/>
      <c r="S7" s="23"/>
      <c r="T7" s="23"/>
      <c r="U7" s="23"/>
    </row>
    <row r="8" spans="1:21">
      <c r="A8" s="23"/>
      <c r="B8" s="872" t="s">
        <v>348</v>
      </c>
      <c r="C8" s="868">
        <f>Orbit!B101</f>
        <v>-16.625799999999998</v>
      </c>
      <c r="D8" s="101" t="s">
        <v>4</v>
      </c>
      <c r="E8" s="101" t="s">
        <v>818</v>
      </c>
      <c r="F8" s="101"/>
      <c r="G8" s="101" t="s">
        <v>818</v>
      </c>
      <c r="H8" s="101"/>
      <c r="I8" s="101"/>
      <c r="J8" s="105"/>
      <c r="K8" s="23"/>
      <c r="L8" s="23"/>
      <c r="M8" s="23"/>
      <c r="N8" s="23"/>
      <c r="O8" s="23"/>
      <c r="P8" s="23"/>
      <c r="Q8" s="23"/>
      <c r="R8" s="23"/>
      <c r="S8" s="23"/>
      <c r="T8" s="23"/>
      <c r="U8" s="23"/>
    </row>
    <row r="9" spans="1:21">
      <c r="A9" s="23"/>
      <c r="B9" s="100" t="s">
        <v>333</v>
      </c>
      <c r="C9" s="31">
        <f>IF(C8&gt;0,1,0)</f>
        <v>0</v>
      </c>
      <c r="D9" s="101"/>
      <c r="E9" s="101"/>
      <c r="F9" s="101"/>
      <c r="G9" s="101" t="s">
        <v>345</v>
      </c>
      <c r="H9" s="101"/>
      <c r="I9" s="101"/>
      <c r="J9" s="105"/>
      <c r="K9" s="23"/>
      <c r="L9" s="23"/>
      <c r="M9" s="23"/>
      <c r="N9" s="23"/>
      <c r="O9" s="23"/>
      <c r="P9" s="23"/>
      <c r="Q9" s="23"/>
      <c r="R9" s="23"/>
      <c r="S9" s="23"/>
      <c r="T9" s="23"/>
      <c r="U9" s="23"/>
    </row>
    <row r="10" spans="1:21">
      <c r="A10" s="23"/>
      <c r="B10" s="100"/>
      <c r="C10" s="31">
        <f>N(NOT(C9))</f>
        <v>1</v>
      </c>
      <c r="D10" s="101"/>
      <c r="E10" s="101"/>
      <c r="F10" s="101"/>
      <c r="G10" s="101" t="s">
        <v>346</v>
      </c>
      <c r="H10" s="101"/>
      <c r="I10" s="101"/>
      <c r="J10" s="105"/>
      <c r="K10" s="23"/>
      <c r="L10" s="23"/>
      <c r="M10" s="23"/>
      <c r="N10" s="23"/>
      <c r="O10" s="23"/>
      <c r="P10" s="23"/>
      <c r="Q10" s="23"/>
      <c r="R10" s="23"/>
      <c r="S10" s="23"/>
      <c r="T10" s="23"/>
      <c r="U10" s="23"/>
    </row>
    <row r="11" spans="1:21">
      <c r="A11" s="23"/>
      <c r="B11" s="100"/>
      <c r="C11" s="875" t="s">
        <v>356</v>
      </c>
      <c r="D11" s="101"/>
      <c r="E11" s="875" t="s">
        <v>354</v>
      </c>
      <c r="F11" s="101"/>
      <c r="G11" s="875" t="s">
        <v>225</v>
      </c>
      <c r="H11" s="101"/>
      <c r="I11" s="101"/>
      <c r="J11" s="105"/>
      <c r="K11" s="23"/>
      <c r="L11" s="23"/>
      <c r="M11" s="23"/>
      <c r="N11" s="23"/>
      <c r="O11" s="23"/>
      <c r="P11" s="23"/>
      <c r="Q11" s="23"/>
      <c r="R11" s="23"/>
      <c r="S11" s="23"/>
      <c r="T11" s="23"/>
      <c r="U11" s="23"/>
    </row>
    <row r="12" spans="1:21">
      <c r="A12" s="23"/>
      <c r="B12" s="873" t="s">
        <v>334</v>
      </c>
      <c r="C12" s="31">
        <f>N(AND(C7,C10))</f>
        <v>0</v>
      </c>
      <c r="D12" s="101"/>
      <c r="E12" s="874">
        <f>C12*(-C17)</f>
        <v>0</v>
      </c>
      <c r="F12" s="101" t="s">
        <v>4</v>
      </c>
      <c r="G12" s="101" t="s">
        <v>338</v>
      </c>
      <c r="H12" s="101"/>
      <c r="I12" s="101"/>
      <c r="J12" s="105"/>
      <c r="K12" s="23"/>
      <c r="L12" s="23"/>
      <c r="M12" s="23"/>
      <c r="N12" s="23"/>
      <c r="O12" s="23"/>
      <c r="P12" s="23"/>
      <c r="Q12" s="23"/>
      <c r="R12" s="23"/>
      <c r="S12" s="23"/>
      <c r="T12" s="23"/>
      <c r="U12" s="23"/>
    </row>
    <row r="13" spans="1:21">
      <c r="A13" s="23"/>
      <c r="B13" s="100" t="s">
        <v>336</v>
      </c>
      <c r="C13" s="31">
        <f>N(AND(C6,C10))</f>
        <v>1</v>
      </c>
      <c r="D13" s="101"/>
      <c r="E13" s="874">
        <f>C13*(180-C17)</f>
        <v>137.56350986344964</v>
      </c>
      <c r="F13" s="101" t="s">
        <v>4</v>
      </c>
      <c r="G13" s="101" t="s">
        <v>340</v>
      </c>
      <c r="H13" s="101"/>
      <c r="I13" s="101"/>
      <c r="J13" s="105"/>
      <c r="K13" s="23"/>
      <c r="L13" s="23"/>
      <c r="M13" s="23"/>
      <c r="N13" s="23"/>
      <c r="O13" s="23"/>
      <c r="P13" s="23"/>
      <c r="Q13" s="23"/>
      <c r="R13" s="23"/>
      <c r="S13" s="23"/>
      <c r="T13" s="23"/>
      <c r="U13" s="23"/>
    </row>
    <row r="14" spans="1:21">
      <c r="A14" s="23"/>
      <c r="B14" s="873" t="s">
        <v>337</v>
      </c>
      <c r="C14" s="31">
        <f>N(AND(C6,C9))</f>
        <v>0</v>
      </c>
      <c r="D14" s="101"/>
      <c r="E14" s="874">
        <f>C14*(180-C17)</f>
        <v>0</v>
      </c>
      <c r="F14" s="101" t="s">
        <v>4</v>
      </c>
      <c r="G14" s="101" t="s">
        <v>347</v>
      </c>
      <c r="H14" s="101"/>
      <c r="I14" s="101"/>
      <c r="J14" s="105"/>
      <c r="K14" s="23"/>
      <c r="L14" s="23"/>
      <c r="M14" s="23"/>
      <c r="N14" s="23"/>
      <c r="O14" s="23"/>
      <c r="P14" s="23"/>
      <c r="Q14" s="23"/>
      <c r="R14" s="23"/>
      <c r="S14" s="23"/>
      <c r="T14" s="23"/>
      <c r="U14" s="23"/>
    </row>
    <row r="15" spans="1:21">
      <c r="A15" s="23"/>
      <c r="B15" s="873" t="s">
        <v>335</v>
      </c>
      <c r="C15" s="31">
        <f>N(AND(C7,C9))</f>
        <v>0</v>
      </c>
      <c r="D15" s="101"/>
      <c r="E15" s="874">
        <f>C15*(360-C17)</f>
        <v>0</v>
      </c>
      <c r="F15" s="101" t="s">
        <v>4</v>
      </c>
      <c r="G15" s="101" t="s">
        <v>339</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c r="A17" s="23"/>
      <c r="B17" s="871" t="s">
        <v>349</v>
      </c>
      <c r="C17" s="867">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c r="A19" s="23"/>
      <c r="B19" s="871" t="s">
        <v>350</v>
      </c>
      <c r="C19" s="101"/>
      <c r="D19" s="101"/>
      <c r="E19" s="869">
        <f>SUM(E12:E15)</f>
        <v>137.56350986344964</v>
      </c>
      <c r="F19" s="425"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5"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5" thickBot="1">
      <c r="A23" s="23"/>
      <c r="B23" s="879"/>
      <c r="C23" s="879"/>
      <c r="D23" s="879"/>
      <c r="E23" s="879"/>
      <c r="F23" s="879"/>
      <c r="G23" s="879"/>
      <c r="H23" s="879"/>
      <c r="I23" s="879"/>
      <c r="J23" s="879"/>
      <c r="K23" s="23"/>
      <c r="L23" s="23"/>
      <c r="M23" s="23"/>
      <c r="N23" s="23"/>
      <c r="O23" s="23"/>
      <c r="P23" s="23"/>
      <c r="Q23" s="23"/>
      <c r="R23" s="23"/>
      <c r="S23" s="23"/>
      <c r="T23" s="23"/>
      <c r="U23" s="23"/>
    </row>
    <row r="24" spans="1:21">
      <c r="A24" s="23"/>
      <c r="B24" s="877" t="s">
        <v>28</v>
      </c>
      <c r="C24" s="101"/>
      <c r="D24" s="101"/>
      <c r="E24" s="101"/>
      <c r="F24" s="101"/>
      <c r="G24" s="101"/>
      <c r="H24" s="101"/>
      <c r="I24" s="101"/>
      <c r="J24" s="105"/>
      <c r="K24" s="23"/>
      <c r="L24" s="23"/>
      <c r="M24" s="23"/>
      <c r="N24" s="23"/>
      <c r="O24" s="23"/>
      <c r="P24" s="23"/>
      <c r="Q24" s="23"/>
      <c r="R24" s="23"/>
      <c r="S24" s="23"/>
      <c r="T24" s="23"/>
      <c r="U24" s="23"/>
    </row>
    <row r="25" spans="1:21">
      <c r="A25" s="23"/>
      <c r="B25" s="100" t="s">
        <v>332</v>
      </c>
      <c r="C25" s="101"/>
      <c r="D25" s="101"/>
      <c r="E25" s="101"/>
      <c r="F25" s="101"/>
      <c r="G25" s="101"/>
      <c r="H25" s="101"/>
      <c r="I25" s="101"/>
      <c r="J25" s="105"/>
      <c r="K25" s="23"/>
      <c r="L25" s="23"/>
      <c r="M25" s="23"/>
      <c r="N25" s="23"/>
      <c r="O25" s="23"/>
      <c r="P25" s="23"/>
      <c r="Q25" s="23"/>
      <c r="R25" s="23"/>
      <c r="S25" s="23"/>
      <c r="T25" s="23"/>
      <c r="U25" s="23"/>
    </row>
    <row r="26" spans="1:21">
      <c r="A26" s="23"/>
      <c r="B26" s="871" t="s">
        <v>341</v>
      </c>
      <c r="C26" s="868">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342</v>
      </c>
      <c r="C27" s="31">
        <f>IF(C26&gt;0,1,0)</f>
        <v>1</v>
      </c>
      <c r="D27" s="101"/>
      <c r="E27" s="101" t="s">
        <v>818</v>
      </c>
      <c r="F27" s="101"/>
      <c r="G27" s="101" t="s">
        <v>343</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344</v>
      </c>
      <c r="H28" s="101"/>
      <c r="I28" s="101"/>
      <c r="J28" s="105"/>
      <c r="K28" s="23"/>
      <c r="L28" s="23"/>
      <c r="M28" s="23"/>
      <c r="N28" s="23"/>
      <c r="O28" s="23"/>
      <c r="P28" s="23"/>
      <c r="Q28" s="23"/>
      <c r="R28" s="23"/>
      <c r="S28" s="23"/>
      <c r="T28" s="23"/>
      <c r="U28" s="23"/>
    </row>
    <row r="29" spans="1:21">
      <c r="A29" s="23"/>
      <c r="B29" s="872" t="s">
        <v>348</v>
      </c>
      <c r="C29" s="868">
        <f>Orbit!O101</f>
        <v>-11.034199999999998</v>
      </c>
      <c r="D29" s="101" t="s">
        <v>4</v>
      </c>
      <c r="E29" s="101" t="s">
        <v>818</v>
      </c>
      <c r="F29" s="101"/>
      <c r="G29" s="101" t="s">
        <v>818</v>
      </c>
      <c r="H29" s="101"/>
      <c r="I29" s="101"/>
      <c r="J29" s="105"/>
      <c r="K29" s="23"/>
      <c r="L29" s="23"/>
      <c r="M29" s="23"/>
      <c r="N29" s="23" t="s">
        <v>818</v>
      </c>
      <c r="O29" s="23"/>
      <c r="P29" s="23"/>
      <c r="Q29" s="23"/>
      <c r="R29" s="23"/>
      <c r="S29" s="23"/>
      <c r="T29" s="23"/>
      <c r="U29" s="23"/>
    </row>
    <row r="30" spans="1:21">
      <c r="A30" s="23"/>
      <c r="B30" s="100" t="s">
        <v>333</v>
      </c>
      <c r="C30" s="31">
        <f>IF(C29&gt;0,1,0)</f>
        <v>0</v>
      </c>
      <c r="D30" s="101"/>
      <c r="E30" s="101"/>
      <c r="F30" s="101"/>
      <c r="G30" s="101" t="s">
        <v>345</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346</v>
      </c>
      <c r="H31" s="101"/>
      <c r="I31" s="101"/>
      <c r="J31" s="105"/>
      <c r="K31" s="23"/>
      <c r="L31" s="23"/>
      <c r="M31" s="23"/>
      <c r="N31" s="23"/>
      <c r="O31" s="23"/>
      <c r="P31" s="23"/>
      <c r="Q31" s="23"/>
      <c r="R31" s="23"/>
      <c r="S31" s="23"/>
      <c r="T31" s="23"/>
      <c r="U31" s="23"/>
    </row>
    <row r="32" spans="1:21">
      <c r="A32" s="23"/>
      <c r="B32" s="100"/>
      <c r="C32" s="875" t="s">
        <v>356</v>
      </c>
      <c r="D32" s="101"/>
      <c r="E32" s="875" t="s">
        <v>354</v>
      </c>
      <c r="F32" s="101"/>
      <c r="G32" s="875" t="s">
        <v>355</v>
      </c>
      <c r="H32" s="101"/>
      <c r="I32" s="101"/>
      <c r="J32" s="105"/>
      <c r="K32" s="23"/>
      <c r="L32" s="23"/>
      <c r="M32" s="23"/>
      <c r="N32" s="23"/>
      <c r="O32" s="23"/>
      <c r="P32" s="23"/>
      <c r="Q32" s="23"/>
      <c r="R32" s="23"/>
      <c r="S32" s="23"/>
      <c r="T32" s="23"/>
      <c r="U32" s="23"/>
    </row>
    <row r="33" spans="1:21">
      <c r="A33" s="23"/>
      <c r="B33" s="873" t="s">
        <v>334</v>
      </c>
      <c r="C33" s="31">
        <f>N(AND(C28,C31))</f>
        <v>0</v>
      </c>
      <c r="D33" s="101"/>
      <c r="E33" s="874">
        <f>C33*(-C38)</f>
        <v>0</v>
      </c>
      <c r="F33" s="101" t="s">
        <v>4</v>
      </c>
      <c r="G33" s="101" t="s">
        <v>338</v>
      </c>
      <c r="H33" s="101"/>
      <c r="I33" s="101"/>
      <c r="J33" s="105"/>
      <c r="K33" s="23"/>
      <c r="L33" s="23"/>
      <c r="M33" s="23"/>
      <c r="N33" s="23"/>
      <c r="O33" s="23"/>
      <c r="P33" s="23"/>
      <c r="Q33" s="23"/>
      <c r="R33" s="23"/>
      <c r="S33" s="23"/>
      <c r="T33" s="23"/>
      <c r="U33" s="23"/>
    </row>
    <row r="34" spans="1:21">
      <c r="A34" s="23"/>
      <c r="B34" s="100" t="s">
        <v>336</v>
      </c>
      <c r="C34" s="31">
        <f>N(AND(C27,C31))</f>
        <v>1</v>
      </c>
      <c r="D34" s="101"/>
      <c r="E34" s="874">
        <f>C34*(180-C38)</f>
        <v>146.93483583660557</v>
      </c>
      <c r="F34" s="101" t="s">
        <v>4</v>
      </c>
      <c r="G34" s="101" t="s">
        <v>340</v>
      </c>
      <c r="H34" s="101"/>
      <c r="I34" s="101"/>
      <c r="J34" s="105"/>
      <c r="K34" s="23"/>
      <c r="L34" s="23"/>
      <c r="M34" s="23"/>
      <c r="N34" s="23"/>
      <c r="O34" s="23"/>
      <c r="P34" s="23"/>
      <c r="Q34" s="23"/>
      <c r="R34" s="23"/>
      <c r="S34" s="23"/>
      <c r="T34" s="23"/>
      <c r="U34" s="23"/>
    </row>
    <row r="35" spans="1:21">
      <c r="A35" s="23"/>
      <c r="B35" s="873" t="s">
        <v>337</v>
      </c>
      <c r="C35" s="31">
        <f>N(AND(C27,C30))</f>
        <v>0</v>
      </c>
      <c r="D35" s="101"/>
      <c r="E35" s="874">
        <f>C35*(180-C38)</f>
        <v>0</v>
      </c>
      <c r="F35" s="101" t="s">
        <v>4</v>
      </c>
      <c r="G35" s="101" t="s">
        <v>347</v>
      </c>
      <c r="H35" s="101"/>
      <c r="I35" s="101"/>
      <c r="J35" s="105"/>
      <c r="K35" s="23"/>
      <c r="L35" s="23"/>
      <c r="M35" s="23"/>
      <c r="N35" s="23"/>
      <c r="O35" s="23"/>
      <c r="P35" s="23"/>
      <c r="Q35" s="23"/>
      <c r="R35" s="23"/>
      <c r="S35" s="23"/>
      <c r="T35" s="23"/>
      <c r="U35" s="23"/>
    </row>
    <row r="36" spans="1:21">
      <c r="A36" s="23"/>
      <c r="B36" s="873" t="s">
        <v>335</v>
      </c>
      <c r="C36" s="31">
        <f>N(AND(C28,C30))</f>
        <v>0</v>
      </c>
      <c r="D36" s="101"/>
      <c r="E36" s="874">
        <f>C36*(360-C38)</f>
        <v>0</v>
      </c>
      <c r="F36" s="101" t="s">
        <v>4</v>
      </c>
      <c r="G36" s="101" t="s">
        <v>339</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c r="A38" s="23"/>
      <c r="B38" s="871" t="s">
        <v>349</v>
      </c>
      <c r="C38" s="867">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c r="A40" s="23"/>
      <c r="B40" s="871" t="s">
        <v>350</v>
      </c>
      <c r="C40" s="101"/>
      <c r="D40" s="101"/>
      <c r="E40" s="869">
        <f>SUM(E33:E36)</f>
        <v>146.93483583660557</v>
      </c>
      <c r="F40" s="425"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5"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5546875" defaultRowHeight="12.75"/>
  <sheetData>
    <row r="1" spans="1:9">
      <c r="A1" t="s">
        <v>304</v>
      </c>
      <c r="B1" s="18"/>
      <c r="C1" s="18"/>
      <c r="D1" s="18"/>
    </row>
    <row r="2" spans="1:9">
      <c r="A2" s="351" t="s">
        <v>140</v>
      </c>
      <c r="B2" s="18" t="s">
        <v>837</v>
      </c>
      <c r="C2" s="18" t="s">
        <v>836</v>
      </c>
      <c r="D2" s="18" t="s">
        <v>838</v>
      </c>
      <c r="E2" s="18" t="s">
        <v>840</v>
      </c>
      <c r="F2" s="18" t="s">
        <v>839</v>
      </c>
      <c r="G2" s="18" t="s">
        <v>841</v>
      </c>
      <c r="I2" t="s">
        <v>818</v>
      </c>
    </row>
    <row r="3" spans="1:9">
      <c r="B3" s="18">
        <f>SQRT(D3-(C3)^2)</f>
        <v>3.5199431813596083</v>
      </c>
      <c r="C3" s="19">
        <v>-1.9</v>
      </c>
      <c r="D3" s="19">
        <v>16</v>
      </c>
      <c r="E3" s="18">
        <f>SQRT(G3-(F4)^2)</f>
        <v>3.5745629103430252</v>
      </c>
      <c r="F3" s="18">
        <v>-1.9</v>
      </c>
      <c r="G3" s="19">
        <v>16.2</v>
      </c>
      <c r="I3" t="s">
        <v>818</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818</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818</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topLeftCell="A3" zoomScale="130" zoomScaleNormal="130" workbookViewId="0">
      <selection activeCell="B34" sqref="B34"/>
    </sheetView>
  </sheetViews>
  <sheetFormatPr defaultColWidth="8.85546875" defaultRowHeight="12.75"/>
  <cols>
    <col min="1" max="1" width="28.42578125" customWidth="1"/>
    <col min="2" max="2" width="19.42578125" customWidth="1"/>
    <col min="3" max="3" width="12.5703125" customWidth="1"/>
    <col min="4" max="4" width="11.42578125" customWidth="1"/>
    <col min="5" max="5" width="9.42578125" bestFit="1" customWidth="1"/>
    <col min="7" max="7" width="10.85546875" customWidth="1"/>
    <col min="10" max="10" width="9.5703125" customWidth="1"/>
    <col min="11" max="11" width="10.5703125" customWidth="1"/>
    <col min="12" max="12" width="11" customWidth="1"/>
    <col min="14" max="14" width="11.5703125" customWidth="1"/>
    <col min="15" max="15" width="16.140625" customWidth="1"/>
  </cols>
  <sheetData>
    <row r="1" spans="1:21" ht="24" thickBot="1">
      <c r="A1" s="391" t="s">
        <v>592</v>
      </c>
      <c r="B1" s="24"/>
      <c r="C1" s="24"/>
      <c r="D1" s="24"/>
      <c r="E1" s="689" t="str">
        <f>'Title Page'!F3</f>
        <v>OreSat - CS0</v>
      </c>
      <c r="F1" s="24"/>
      <c r="G1" s="51" t="s">
        <v>818</v>
      </c>
      <c r="H1" s="24"/>
      <c r="I1" s="51" t="str">
        <f>'Title Page'!F23</f>
        <v>2018 October 19</v>
      </c>
      <c r="J1" s="51"/>
      <c r="K1" s="51" t="str">
        <f>'Title Page'!G1</f>
        <v xml:space="preserve"> Version: 2.5.5</v>
      </c>
      <c r="L1" s="51"/>
      <c r="M1" s="24"/>
      <c r="N1" s="24"/>
      <c r="O1" s="24"/>
      <c r="P1" s="24"/>
      <c r="Q1" s="127"/>
      <c r="R1" s="127"/>
      <c r="S1" s="127"/>
      <c r="T1" s="127"/>
      <c r="U1" s="292"/>
    </row>
    <row r="2" spans="1:21" ht="12.75" customHeight="1">
      <c r="A2" s="895" t="s">
        <v>687</v>
      </c>
      <c r="B2" s="101"/>
      <c r="C2" s="101"/>
      <c r="D2" s="101"/>
      <c r="E2" s="814"/>
      <c r="F2" s="101"/>
      <c r="G2" s="473"/>
      <c r="H2" s="101"/>
      <c r="I2" s="473"/>
      <c r="J2" s="473"/>
      <c r="K2" s="473"/>
      <c r="L2" s="473"/>
      <c r="M2" s="101"/>
      <c r="N2" s="101"/>
      <c r="O2" s="101"/>
      <c r="P2" s="101"/>
      <c r="Q2" s="101"/>
      <c r="R2" s="101"/>
      <c r="S2" s="101"/>
      <c r="T2" s="101"/>
      <c r="U2" s="101"/>
    </row>
    <row r="3" spans="1:21" s="815" customFormat="1" ht="12.75" customHeight="1" thickBot="1">
      <c r="A3" s="895" t="s">
        <v>688</v>
      </c>
      <c r="B3" s="562"/>
      <c r="C3" s="562"/>
      <c r="D3" s="562"/>
      <c r="E3" s="814"/>
      <c r="F3" s="562"/>
      <c r="G3" s="473"/>
      <c r="H3" s="562"/>
      <c r="I3" s="473"/>
      <c r="J3" s="473"/>
      <c r="K3" s="473"/>
      <c r="L3" s="473"/>
      <c r="M3" s="562"/>
      <c r="N3" s="562"/>
      <c r="O3" s="562"/>
      <c r="P3" s="562"/>
      <c r="Q3" s="562"/>
      <c r="R3" s="562"/>
      <c r="S3" s="562"/>
      <c r="T3" s="562"/>
      <c r="U3" s="562"/>
    </row>
    <row r="4" spans="1:21" s="815" customFormat="1" ht="12.75" customHeight="1" thickBot="1">
      <c r="A4" s="896" t="s">
        <v>686</v>
      </c>
      <c r="B4" s="818" t="s">
        <v>623</v>
      </c>
      <c r="C4" s="396">
        <v>1</v>
      </c>
      <c r="D4" s="854" t="str">
        <f>INDEX(C6:DC9,C4,1)</f>
        <v>LEO</v>
      </c>
      <c r="E4" s="814"/>
      <c r="F4" s="818" t="s">
        <v>795</v>
      </c>
      <c r="G4" s="856">
        <f>INDEX(D6:D9,C4,1)</f>
        <v>1454.4339505997034</v>
      </c>
      <c r="H4" s="855" t="s">
        <v>823</v>
      </c>
      <c r="I4" s="562" t="s">
        <v>625</v>
      </c>
      <c r="J4" s="473"/>
      <c r="K4" s="473"/>
      <c r="L4" s="473"/>
      <c r="M4" s="562"/>
      <c r="N4" s="562"/>
      <c r="O4" s="562"/>
      <c r="P4" s="562"/>
      <c r="Q4" s="562"/>
      <c r="R4" s="562"/>
      <c r="S4" s="562"/>
      <c r="T4" s="562"/>
      <c r="U4" s="562"/>
    </row>
    <row r="5" spans="1:21" s="815" customFormat="1" ht="12.75" customHeight="1">
      <c r="A5" s="473"/>
      <c r="B5" s="816" t="s">
        <v>626</v>
      </c>
      <c r="C5" s="816" t="s">
        <v>815</v>
      </c>
      <c r="D5" s="816" t="s">
        <v>624</v>
      </c>
      <c r="E5" s="814"/>
      <c r="F5" s="819"/>
      <c r="G5" s="473"/>
      <c r="H5" s="562"/>
      <c r="I5" s="562"/>
      <c r="J5" s="473"/>
      <c r="K5" s="473"/>
      <c r="L5" s="473"/>
      <c r="M5" s="562"/>
      <c r="N5" s="562"/>
      <c r="O5" s="562"/>
      <c r="P5" s="562"/>
      <c r="Q5" s="562"/>
      <c r="R5" s="562"/>
      <c r="S5" s="562"/>
      <c r="T5" s="562"/>
      <c r="U5" s="562"/>
    </row>
    <row r="6" spans="1:21" ht="12.75" customHeight="1">
      <c r="A6" s="813"/>
      <c r="B6" s="817">
        <v>1</v>
      </c>
      <c r="C6" s="817" t="s">
        <v>620</v>
      </c>
      <c r="D6" s="822">
        <f>B36</f>
        <v>1454.4339505997034</v>
      </c>
      <c r="E6" s="562" t="s">
        <v>823</v>
      </c>
      <c r="F6" s="101"/>
      <c r="G6" s="473"/>
      <c r="H6" s="101"/>
      <c r="I6" s="473"/>
      <c r="J6" s="473"/>
      <c r="K6" s="473"/>
      <c r="L6" s="473"/>
      <c r="M6" s="101" t="s">
        <v>818</v>
      </c>
      <c r="N6" s="101"/>
      <c r="O6" s="101"/>
      <c r="P6" s="101"/>
      <c r="Q6" s="101"/>
      <c r="R6" s="101"/>
      <c r="S6" s="101"/>
      <c r="T6" s="101"/>
      <c r="U6" s="101"/>
    </row>
    <row r="7" spans="1:21" ht="12.75" customHeight="1">
      <c r="A7" s="813"/>
      <c r="B7" s="817">
        <v>2</v>
      </c>
      <c r="C7" s="817" t="s">
        <v>621</v>
      </c>
      <c r="D7" s="827">
        <f>K63</f>
        <v>41126.753187550428</v>
      </c>
      <c r="E7" s="562" t="s">
        <v>823</v>
      </c>
      <c r="F7" s="101"/>
      <c r="G7" s="473"/>
      <c r="H7" s="101"/>
      <c r="I7" s="473"/>
      <c r="J7" s="473"/>
      <c r="K7" s="473"/>
      <c r="L7" s="473"/>
      <c r="M7" s="101"/>
      <c r="N7" s="101"/>
      <c r="O7" s="101"/>
      <c r="P7" s="101"/>
      <c r="Q7" s="101"/>
      <c r="R7" s="101"/>
      <c r="S7" s="101"/>
      <c r="T7" s="101"/>
      <c r="U7" s="101"/>
    </row>
    <row r="8" spans="1:21" ht="12.75" customHeight="1">
      <c r="A8" s="813"/>
      <c r="B8" s="817">
        <v>3</v>
      </c>
      <c r="C8" s="817" t="s">
        <v>622</v>
      </c>
      <c r="D8" s="822">
        <f>B104</f>
        <v>36488.15588571554</v>
      </c>
      <c r="E8" s="562" t="s">
        <v>823</v>
      </c>
      <c r="F8" s="101"/>
      <c r="G8" s="473"/>
      <c r="H8" s="101"/>
      <c r="I8" s="473"/>
      <c r="J8" s="473"/>
      <c r="K8" s="473"/>
      <c r="L8" s="473"/>
      <c r="M8" s="101"/>
      <c r="N8" s="101"/>
      <c r="O8" s="101"/>
      <c r="P8" s="101"/>
      <c r="Q8" s="101"/>
      <c r="R8" s="101"/>
      <c r="S8" s="101"/>
      <c r="T8" s="101"/>
      <c r="U8" s="101"/>
    </row>
    <row r="9" spans="1:21" ht="12.75" customHeight="1">
      <c r="A9" s="813"/>
      <c r="B9" s="817">
        <v>4</v>
      </c>
      <c r="C9" s="853" t="s">
        <v>794</v>
      </c>
      <c r="D9" s="899">
        <f>D125</f>
        <v>315000000.00000006</v>
      </c>
      <c r="E9" s="562" t="s">
        <v>823</v>
      </c>
      <c r="F9" s="101"/>
      <c r="G9" s="473"/>
      <c r="H9" s="101"/>
      <c r="I9" s="473"/>
      <c r="J9" s="473"/>
      <c r="K9" s="473"/>
      <c r="L9" s="473"/>
      <c r="M9" s="101"/>
      <c r="N9" s="101"/>
      <c r="O9" s="101"/>
      <c r="P9" s="101"/>
      <c r="Q9" s="101"/>
      <c r="R9" s="101"/>
      <c r="S9" s="101"/>
      <c r="T9" s="101"/>
      <c r="U9" s="101"/>
    </row>
    <row r="10" spans="1:21" ht="12.75" customHeight="1" thickBot="1">
      <c r="A10" s="801"/>
      <c r="B10" s="3"/>
      <c r="C10" s="3"/>
      <c r="D10" s="3"/>
      <c r="E10" s="3"/>
      <c r="F10" s="3"/>
      <c r="G10" s="3"/>
      <c r="H10" s="3"/>
      <c r="I10" s="3"/>
      <c r="J10" s="3"/>
      <c r="K10" s="3"/>
      <c r="L10" s="3"/>
      <c r="M10" s="3"/>
      <c r="N10" s="3"/>
      <c r="O10" s="3"/>
      <c r="P10" s="3"/>
      <c r="Q10" s="3"/>
      <c r="R10" s="3"/>
      <c r="S10" s="3"/>
      <c r="T10" s="3"/>
      <c r="U10" s="3"/>
    </row>
    <row r="11" spans="1:21" ht="13.5" thickBot="1">
      <c r="A11" s="3"/>
      <c r="B11" s="540"/>
      <c r="C11" s="3"/>
      <c r="D11" s="729" t="s">
        <v>844</v>
      </c>
      <c r="E11" s="26" t="s">
        <v>845</v>
      </c>
      <c r="F11" s="26"/>
      <c r="G11" s="3"/>
      <c r="H11" s="3"/>
      <c r="I11" s="48" t="s">
        <v>846</v>
      </c>
      <c r="J11" s="27" t="s">
        <v>847</v>
      </c>
      <c r="K11" s="3"/>
      <c r="L11" s="4" t="s">
        <v>927</v>
      </c>
      <c r="M11" s="3"/>
      <c r="N11" s="3"/>
      <c r="O11" s="3"/>
      <c r="P11" s="3"/>
      <c r="Q11" s="3"/>
      <c r="R11" s="3"/>
      <c r="S11" s="3"/>
      <c r="T11" s="3"/>
      <c r="U11" s="3"/>
    </row>
    <row r="12" spans="1:21">
      <c r="A12" s="3" t="s">
        <v>930</v>
      </c>
      <c r="B12" s="733" t="s">
        <v>168</v>
      </c>
      <c r="C12" s="3"/>
      <c r="D12" s="49" t="s">
        <v>848</v>
      </c>
      <c r="E12" s="26" t="s">
        <v>937</v>
      </c>
      <c r="F12" s="26"/>
      <c r="G12" s="3"/>
      <c r="H12" s="3"/>
      <c r="I12" s="392" t="s">
        <v>924</v>
      </c>
      <c r="J12" s="27" t="s">
        <v>929</v>
      </c>
      <c r="K12" s="3"/>
      <c r="L12" s="3"/>
      <c r="M12" s="3"/>
      <c r="N12" s="3"/>
      <c r="O12" s="3"/>
      <c r="P12" s="3"/>
      <c r="Q12" s="3"/>
      <c r="R12" s="3"/>
      <c r="S12" s="3"/>
      <c r="T12" s="3"/>
      <c r="U12" s="3"/>
    </row>
    <row r="13" spans="1:21" ht="13.5" thickBot="1">
      <c r="A13" s="112"/>
      <c r="B13" s="829"/>
      <c r="C13" s="112"/>
      <c r="D13" s="830"/>
      <c r="E13" s="831"/>
      <c r="F13" s="831"/>
      <c r="G13" s="112"/>
      <c r="H13" s="112"/>
      <c r="I13" s="832"/>
      <c r="J13" s="833"/>
      <c r="K13" s="112"/>
      <c r="L13" s="112"/>
      <c r="M13" s="112"/>
      <c r="N13" s="112"/>
      <c r="O13" s="112"/>
      <c r="P13" s="112"/>
      <c r="Q13" s="112"/>
      <c r="R13" s="112"/>
      <c r="S13" s="112"/>
      <c r="T13" s="112"/>
      <c r="U13" s="112"/>
    </row>
    <row r="14" spans="1:21" ht="15">
      <c r="A14" s="881" t="s">
        <v>611</v>
      </c>
      <c r="B14" s="351" t="s">
        <v>278</v>
      </c>
      <c r="C14" s="23"/>
      <c r="D14" s="23"/>
      <c r="E14" s="23"/>
      <c r="F14" s="23"/>
      <c r="G14" s="23"/>
      <c r="H14" s="23"/>
      <c r="I14" s="23"/>
      <c r="J14" s="23"/>
      <c r="K14" s="23"/>
      <c r="L14" s="23"/>
      <c r="M14" s="23"/>
      <c r="N14" s="23"/>
      <c r="O14" s="23"/>
      <c r="P14" s="23"/>
      <c r="Q14" s="23"/>
      <c r="R14" s="23"/>
      <c r="S14" s="23"/>
      <c r="T14" s="23"/>
      <c r="U14" s="23"/>
    </row>
    <row r="15" spans="1:21" ht="15.75">
      <c r="A15" s="802" t="s">
        <v>593</v>
      </c>
      <c r="B15" s="800"/>
      <c r="C15" s="800"/>
      <c r="Q15" s="3"/>
      <c r="R15" s="3"/>
      <c r="S15" s="3"/>
      <c r="T15" s="3"/>
      <c r="U15" s="3"/>
    </row>
    <row r="16" spans="1:21">
      <c r="A16" s="4" t="s">
        <v>853</v>
      </c>
      <c r="B16" s="4"/>
      <c r="C16" s="4"/>
      <c r="Q16" s="3"/>
      <c r="R16" s="3"/>
      <c r="S16" s="3"/>
      <c r="T16" s="3"/>
      <c r="U16" s="3"/>
    </row>
    <row r="17" spans="1:21">
      <c r="A17" s="9" t="s">
        <v>819</v>
      </c>
      <c r="B17" s="10" t="s">
        <v>820</v>
      </c>
      <c r="C17" s="11" t="s">
        <v>821</v>
      </c>
      <c r="Q17" s="3"/>
      <c r="R17" s="3"/>
      <c r="S17" s="3"/>
      <c r="T17" s="3"/>
      <c r="U17" s="3"/>
    </row>
    <row r="18" spans="1:21">
      <c r="A18" s="12" t="s">
        <v>822</v>
      </c>
      <c r="B18" s="13">
        <v>6378.1360000000004</v>
      </c>
      <c r="C18" s="12" t="s">
        <v>823</v>
      </c>
      <c r="Q18" s="3"/>
      <c r="R18" s="3"/>
      <c r="S18" s="3"/>
      <c r="T18" s="3"/>
      <c r="U18" s="3"/>
    </row>
    <row r="19" spans="1:21">
      <c r="A19" s="12" t="s">
        <v>842</v>
      </c>
      <c r="B19" s="708">
        <v>408</v>
      </c>
      <c r="C19" s="12" t="s">
        <v>823</v>
      </c>
      <c r="Q19" s="3"/>
      <c r="R19" s="3"/>
      <c r="S19" s="3"/>
      <c r="T19" s="3"/>
      <c r="U19" s="3"/>
    </row>
    <row r="20" spans="1:21">
      <c r="A20" s="12" t="s">
        <v>843</v>
      </c>
      <c r="B20" s="707">
        <v>403</v>
      </c>
      <c r="C20" s="12" t="s">
        <v>823</v>
      </c>
      <c r="Q20" s="3"/>
      <c r="R20" s="3"/>
      <c r="S20" s="3"/>
      <c r="T20" s="3"/>
      <c r="U20" s="3"/>
    </row>
    <row r="21" spans="1:21">
      <c r="A21" s="3" t="s">
        <v>824</v>
      </c>
      <c r="B21" s="709">
        <f>(B19+B20+2*B18)/2</f>
        <v>6783.6360000000004</v>
      </c>
      <c r="C21" s="3" t="s">
        <v>823</v>
      </c>
      <c r="Q21" s="3"/>
      <c r="R21" s="3"/>
      <c r="S21" s="3"/>
      <c r="T21" s="3"/>
      <c r="U21" s="3"/>
    </row>
    <row r="22" spans="1:21">
      <c r="A22" s="3" t="s">
        <v>825</v>
      </c>
      <c r="B22" s="14">
        <f>((B19+B18)-(B20+B18))/((B19+B18)+(B20+B18))</f>
        <v>3.6853392487450683E-4</v>
      </c>
      <c r="C22" s="3"/>
      <c r="Q22" s="3"/>
      <c r="R22" s="3"/>
      <c r="S22" s="3"/>
      <c r="T22" s="3"/>
      <c r="U22" s="3"/>
    </row>
    <row r="23" spans="1:21">
      <c r="A23" s="3" t="s">
        <v>826</v>
      </c>
      <c r="B23" s="60">
        <v>98.61</v>
      </c>
      <c r="C23" s="3" t="s">
        <v>4</v>
      </c>
      <c r="Q23" s="3"/>
      <c r="R23" s="3"/>
      <c r="S23" s="3"/>
      <c r="T23" s="3"/>
      <c r="U23" s="3"/>
    </row>
    <row r="24" spans="1:21">
      <c r="A24" s="3" t="s">
        <v>828</v>
      </c>
      <c r="B24" s="61">
        <v>180</v>
      </c>
      <c r="C24" s="3" t="s">
        <v>4</v>
      </c>
      <c r="Q24" s="3"/>
      <c r="R24" s="3"/>
      <c r="S24" s="3"/>
      <c r="T24" s="3"/>
      <c r="U24" s="3"/>
    </row>
    <row r="25" spans="1:21">
      <c r="A25" s="3" t="s">
        <v>829</v>
      </c>
      <c r="B25" s="837">
        <v>123.7</v>
      </c>
      <c r="C25" s="3" t="s">
        <v>4</v>
      </c>
      <c r="Q25" s="3"/>
      <c r="R25" s="3"/>
      <c r="S25" s="3"/>
      <c r="T25" s="3"/>
      <c r="U25" s="3"/>
    </row>
    <row r="26" spans="1:21">
      <c r="A26" s="3" t="s">
        <v>830</v>
      </c>
      <c r="B26" s="62">
        <v>0</v>
      </c>
      <c r="C26" s="3" t="s">
        <v>4</v>
      </c>
      <c r="Q26" s="3"/>
      <c r="R26" s="3"/>
      <c r="S26" s="3"/>
      <c r="T26" s="3"/>
      <c r="U26" s="3"/>
    </row>
    <row r="27" spans="1:21">
      <c r="A27" s="3" t="s">
        <v>831</v>
      </c>
      <c r="B27" s="32">
        <f xml:space="preserve"> 84.4892*((B21/B18)^1.5)</f>
        <v>92.673238367165595</v>
      </c>
      <c r="C27" s="3" t="s">
        <v>832</v>
      </c>
      <c r="Q27" s="3"/>
      <c r="R27" s="3"/>
      <c r="S27" s="3"/>
      <c r="T27" s="3"/>
      <c r="U27" s="3"/>
    </row>
    <row r="28" spans="1:21">
      <c r="A28" s="3" t="s">
        <v>833</v>
      </c>
      <c r="B28" s="16">
        <f>19.919482*((B18/B21)^3.5)*(1-1.25*((SIN(B23/57.29578))^2))/((1-B22^2)^2)</f>
        <v>-3.5637728361830368</v>
      </c>
      <c r="C28" s="3" t="s">
        <v>834</v>
      </c>
      <c r="Q28" s="3"/>
      <c r="R28" s="3"/>
      <c r="S28" s="3"/>
      <c r="T28" s="3"/>
      <c r="U28" s="3"/>
    </row>
    <row r="29" spans="1:21">
      <c r="A29" s="3" t="s">
        <v>835</v>
      </c>
      <c r="B29" s="16">
        <f>(-9.9597408/(1-B22^2)^2)*((B18/B21)^3.5)*COS(B23/57.29578)</f>
        <v>1.2017169905724339</v>
      </c>
      <c r="C29" s="3" t="s">
        <v>834</v>
      </c>
      <c r="Q29" s="3"/>
      <c r="R29" s="3"/>
      <c r="S29" s="3"/>
      <c r="T29" s="3"/>
      <c r="U29" s="3"/>
    </row>
    <row r="30" spans="1:21">
      <c r="A30" s="3" t="s">
        <v>923</v>
      </c>
      <c r="B30" s="49" t="s">
        <v>940</v>
      </c>
      <c r="C30" s="3" t="s">
        <v>834</v>
      </c>
      <c r="Q30" s="3"/>
      <c r="R30" s="3"/>
      <c r="S30" s="3"/>
      <c r="T30" s="3"/>
      <c r="U30" s="3"/>
    </row>
    <row r="31" spans="1:21">
      <c r="A31" s="3" t="s">
        <v>849</v>
      </c>
      <c r="B31" s="15">
        <f>(B19+B20)/2</f>
        <v>405.5</v>
      </c>
      <c r="C31" s="3" t="s">
        <v>823</v>
      </c>
      <c r="Q31" s="3"/>
      <c r="R31" s="3"/>
      <c r="S31" s="3"/>
      <c r="T31" s="3"/>
      <c r="U31" s="3"/>
    </row>
    <row r="32" spans="1:21">
      <c r="A32" s="3" t="s">
        <v>855</v>
      </c>
      <c r="B32" s="30">
        <f>B31+B18</f>
        <v>6783.6360000000004</v>
      </c>
      <c r="C32" s="3" t="s">
        <v>823</v>
      </c>
      <c r="Q32" s="3"/>
      <c r="R32" s="3"/>
      <c r="S32" s="3"/>
      <c r="T32" s="3"/>
      <c r="U32" s="3"/>
    </row>
    <row r="33" spans="1:21">
      <c r="A33" s="3" t="s">
        <v>864</v>
      </c>
      <c r="B33" s="15">
        <f>57.2958*ACOS((0.98561)/(-9.95974/(((1-B22^2)^2))*(B18/B21)^3.5))</f>
        <v>97.052932990475142</v>
      </c>
      <c r="C33" s="3" t="s">
        <v>135</v>
      </c>
      <c r="Q33" s="3"/>
      <c r="R33" s="3"/>
      <c r="S33" s="3"/>
      <c r="T33" s="3"/>
      <c r="U33" s="3"/>
    </row>
    <row r="34" spans="1:21">
      <c r="A34" s="3" t="s">
        <v>850</v>
      </c>
      <c r="B34" s="395">
        <v>10</v>
      </c>
      <c r="C34" s="3" t="s">
        <v>135</v>
      </c>
      <c r="Q34" s="3"/>
      <c r="R34" s="3"/>
      <c r="S34" s="3"/>
      <c r="T34" s="3"/>
      <c r="U34" s="3"/>
    </row>
    <row r="35" spans="1:21" ht="13.5" thickBot="1">
      <c r="A35" s="3"/>
      <c r="B35" s="17"/>
      <c r="C35" s="3"/>
      <c r="Q35" s="3"/>
      <c r="R35" s="3"/>
      <c r="S35" s="3"/>
      <c r="T35" s="3"/>
      <c r="U35" s="3"/>
    </row>
    <row r="36" spans="1:21" ht="13.5" thickBot="1">
      <c r="A36" s="3" t="s">
        <v>942</v>
      </c>
      <c r="B36" s="821">
        <f>B18*((((B32^2/B18^2)-(COS(B34/57.2958))^2)^0.5)-SIN(B34/57.2958))</f>
        <v>1454.4339505997034</v>
      </c>
      <c r="C36" s="3" t="s">
        <v>854</v>
      </c>
      <c r="Q36" s="3"/>
      <c r="R36" s="3"/>
      <c r="S36" s="3"/>
      <c r="T36" s="3"/>
      <c r="U36" s="3"/>
    </row>
    <row r="37" spans="1:21" ht="13.5" thickBot="1">
      <c r="A37" s="112"/>
      <c r="B37" s="767"/>
      <c r="C37" s="112"/>
      <c r="D37" s="768"/>
      <c r="E37" s="768"/>
      <c r="F37" s="768"/>
      <c r="G37" s="768"/>
      <c r="H37" s="768"/>
      <c r="I37" s="768"/>
      <c r="J37" s="768"/>
      <c r="K37" s="768"/>
      <c r="L37" s="768"/>
      <c r="M37" s="768"/>
      <c r="N37" s="768"/>
      <c r="O37" s="768"/>
      <c r="P37" s="768"/>
      <c r="Q37" s="112"/>
      <c r="R37" s="112"/>
      <c r="S37" s="112"/>
      <c r="T37" s="112"/>
      <c r="U37" s="112"/>
    </row>
    <row r="38" spans="1:21" ht="16.5" thickBot="1">
      <c r="A38" s="882" t="s">
        <v>612</v>
      </c>
      <c r="B38" s="23"/>
      <c r="C38" s="863" t="s">
        <v>140</v>
      </c>
      <c r="D38" s="23"/>
      <c r="E38" s="23"/>
      <c r="F38" s="23"/>
      <c r="G38" s="769"/>
      <c r="H38" s="23"/>
      <c r="I38" s="23"/>
      <c r="J38" s="23" t="s">
        <v>755</v>
      </c>
      <c r="K38" s="23"/>
      <c r="L38" s="23"/>
      <c r="M38" s="23"/>
      <c r="N38" s="23"/>
      <c r="O38" s="23"/>
      <c r="P38" s="23"/>
      <c r="Q38" s="23"/>
      <c r="R38" s="23"/>
      <c r="S38" s="23"/>
      <c r="T38" s="23"/>
      <c r="U38" s="23"/>
    </row>
    <row r="39" spans="1:21" ht="15.75">
      <c r="A39" s="802" t="s">
        <v>594</v>
      </c>
      <c r="B39" s="800"/>
      <c r="C39" s="800"/>
      <c r="D39" s="770"/>
      <c r="E39" s="771"/>
      <c r="F39" s="771"/>
      <c r="G39" s="771"/>
      <c r="H39" s="771"/>
      <c r="I39" s="771"/>
      <c r="J39" s="771"/>
      <c r="K39" s="771"/>
      <c r="L39" s="771"/>
      <c r="M39" s="772"/>
      <c r="N39" s="3"/>
      <c r="O39" s="3"/>
      <c r="P39" s="3"/>
      <c r="Q39" s="3"/>
      <c r="R39" s="3"/>
      <c r="S39" s="3"/>
      <c r="T39" s="3"/>
      <c r="U39" s="3"/>
    </row>
    <row r="40" spans="1:21">
      <c r="A40" s="4" t="s">
        <v>577</v>
      </c>
      <c r="B40" s="4"/>
      <c r="C40" s="4"/>
      <c r="D40" s="773"/>
      <c r="E40" s="774"/>
      <c r="F40" s="774"/>
      <c r="G40" s="774"/>
      <c r="H40" s="774"/>
      <c r="I40" s="774"/>
      <c r="J40" s="774"/>
      <c r="K40" s="774"/>
      <c r="L40" s="774"/>
      <c r="M40" s="775"/>
      <c r="N40" s="3"/>
      <c r="O40" s="3"/>
      <c r="P40" s="3"/>
      <c r="Q40" s="3"/>
      <c r="R40" s="3"/>
      <c r="S40" s="3"/>
      <c r="T40" s="3"/>
      <c r="U40" s="3"/>
    </row>
    <row r="41" spans="1:21">
      <c r="A41" s="9" t="s">
        <v>819</v>
      </c>
      <c r="B41" s="10" t="s">
        <v>820</v>
      </c>
      <c r="C41" s="10" t="s">
        <v>821</v>
      </c>
      <c r="D41" s="773"/>
      <c r="E41" s="774"/>
      <c r="F41" s="774"/>
      <c r="G41" s="774"/>
      <c r="H41" s="774"/>
      <c r="I41" s="774"/>
      <c r="J41" s="774"/>
      <c r="K41" s="774"/>
      <c r="L41" s="774"/>
      <c r="M41" s="775"/>
      <c r="N41" s="3"/>
      <c r="O41" s="3"/>
      <c r="P41" s="3"/>
      <c r="Q41" s="3"/>
      <c r="R41" s="3"/>
      <c r="S41" s="3"/>
      <c r="T41" s="3"/>
      <c r="U41" s="3"/>
    </row>
    <row r="42" spans="1:21">
      <c r="A42" s="12" t="s">
        <v>822</v>
      </c>
      <c r="B42" s="13">
        <v>6378.1369999999997</v>
      </c>
      <c r="C42" s="12" t="s">
        <v>823</v>
      </c>
      <c r="D42" s="773"/>
      <c r="E42" s="774"/>
      <c r="F42" s="774"/>
      <c r="G42" s="774"/>
      <c r="H42" s="774"/>
      <c r="I42" s="774"/>
      <c r="J42" s="774"/>
      <c r="K42" s="774"/>
      <c r="L42" s="774"/>
      <c r="M42" s="775"/>
      <c r="N42" s="3"/>
      <c r="O42" s="3"/>
      <c r="P42" s="3"/>
      <c r="Q42" s="3"/>
      <c r="R42" s="3"/>
      <c r="S42" s="3"/>
      <c r="T42" s="3"/>
      <c r="U42" s="3"/>
    </row>
    <row r="43" spans="1:21">
      <c r="A43" s="12" t="s">
        <v>578</v>
      </c>
      <c r="B43" s="884">
        <v>35786</v>
      </c>
      <c r="C43" s="12" t="s">
        <v>823</v>
      </c>
      <c r="D43" s="773"/>
      <c r="E43" s="774"/>
      <c r="F43" s="774"/>
      <c r="G43" s="774"/>
      <c r="H43" s="774"/>
      <c r="I43" s="774"/>
      <c r="J43" s="774"/>
      <c r="K43" s="774"/>
      <c r="L43" s="774"/>
      <c r="M43" s="775"/>
      <c r="N43" s="3"/>
      <c r="O43" s="3"/>
      <c r="P43" s="3"/>
      <c r="Q43" s="3"/>
      <c r="R43" s="3"/>
      <c r="S43" s="3"/>
      <c r="T43" s="3"/>
      <c r="U43" s="3"/>
    </row>
    <row r="44" spans="1:21">
      <c r="A44" s="12" t="s">
        <v>579</v>
      </c>
      <c r="B44" s="885">
        <v>500</v>
      </c>
      <c r="C44" s="12" t="s">
        <v>823</v>
      </c>
      <c r="D44" s="773"/>
      <c r="E44" s="774"/>
      <c r="F44" s="774"/>
      <c r="G44" s="774"/>
      <c r="H44" s="774"/>
      <c r="I44" s="774"/>
      <c r="J44" s="774"/>
      <c r="K44" s="774"/>
      <c r="L44" s="774"/>
      <c r="M44" s="775"/>
      <c r="N44" s="3"/>
      <c r="O44" s="3"/>
      <c r="P44" s="3"/>
      <c r="Q44" s="3"/>
      <c r="R44" s="3"/>
      <c r="S44" s="3"/>
      <c r="T44" s="3"/>
      <c r="U44" s="3"/>
    </row>
    <row r="45" spans="1:21">
      <c r="A45" s="3" t="s">
        <v>824</v>
      </c>
      <c r="B45" s="13">
        <f>(B43+B44+2*B42)/2</f>
        <v>24521.136999999999</v>
      </c>
      <c r="C45" s="3" t="s">
        <v>823</v>
      </c>
      <c r="D45" s="773"/>
      <c r="E45" s="774"/>
      <c r="F45" s="774"/>
      <c r="G45" s="774"/>
      <c r="H45" s="774"/>
      <c r="I45" s="774"/>
      <c r="J45" s="774"/>
      <c r="K45" s="774"/>
      <c r="L45" s="774"/>
      <c r="M45" s="775"/>
      <c r="N45" s="3"/>
      <c r="O45" s="3"/>
      <c r="P45" s="3"/>
      <c r="Q45" s="3"/>
      <c r="R45" s="3"/>
      <c r="S45" s="3"/>
      <c r="T45" s="3"/>
      <c r="U45" s="3"/>
    </row>
    <row r="46" spans="1:21">
      <c r="A46" s="3" t="s">
        <v>825</v>
      </c>
      <c r="B46" s="14">
        <f>((B43+B42)-(B44+B42))/((B43+B42)+(B44+B42))</f>
        <v>0.71950170989216355</v>
      </c>
      <c r="C46" s="3"/>
      <c r="D46" s="773"/>
      <c r="E46" s="774"/>
      <c r="F46" s="774"/>
      <c r="G46" s="774"/>
      <c r="H46" s="774"/>
      <c r="I46" s="774"/>
      <c r="J46" s="774"/>
      <c r="K46" s="774"/>
      <c r="L46" s="774"/>
      <c r="M46" s="775"/>
      <c r="N46" s="3"/>
      <c r="O46" s="3"/>
      <c r="P46" s="3"/>
      <c r="Q46" s="3"/>
      <c r="R46" s="3"/>
      <c r="S46" s="3"/>
      <c r="T46" s="3"/>
      <c r="U46" s="3"/>
    </row>
    <row r="47" spans="1:21">
      <c r="A47" s="3" t="s">
        <v>826</v>
      </c>
      <c r="B47" s="60">
        <v>7</v>
      </c>
      <c r="C47" s="3" t="s">
        <v>827</v>
      </c>
      <c r="D47" s="773"/>
      <c r="E47" s="774"/>
      <c r="F47" s="774"/>
      <c r="G47" s="774"/>
      <c r="H47" s="774"/>
      <c r="I47" s="774"/>
      <c r="J47" s="774"/>
      <c r="K47" s="774"/>
      <c r="L47" s="774"/>
      <c r="M47" s="775"/>
      <c r="N47" s="3"/>
      <c r="O47" s="3"/>
      <c r="P47" s="3"/>
      <c r="Q47" s="3"/>
      <c r="R47" s="3"/>
      <c r="S47" s="3"/>
      <c r="T47" s="3"/>
      <c r="U47" s="3"/>
    </row>
    <row r="48" spans="1:21">
      <c r="A48" s="3" t="s">
        <v>828</v>
      </c>
      <c r="B48" s="61">
        <v>180</v>
      </c>
      <c r="C48" s="3" t="s">
        <v>827</v>
      </c>
      <c r="D48" s="773"/>
      <c r="E48" s="774"/>
      <c r="F48" s="774"/>
      <c r="G48" s="774"/>
      <c r="H48" s="774"/>
      <c r="I48" s="774"/>
      <c r="J48" s="774"/>
      <c r="K48" s="774"/>
      <c r="L48" s="774"/>
      <c r="M48" s="775"/>
      <c r="N48" s="3"/>
      <c r="O48" s="3"/>
      <c r="P48" s="3"/>
      <c r="Q48" s="3"/>
      <c r="R48" s="3"/>
      <c r="S48" s="3"/>
      <c r="T48" s="3"/>
      <c r="U48" s="3"/>
    </row>
    <row r="49" spans="1:21">
      <c r="A49" s="3" t="s">
        <v>829</v>
      </c>
      <c r="B49" s="62">
        <v>0</v>
      </c>
      <c r="C49" s="3" t="s">
        <v>827</v>
      </c>
      <c r="D49" s="773"/>
      <c r="E49" s="774"/>
      <c r="F49" s="774"/>
      <c r="G49" s="774"/>
      <c r="H49" s="774"/>
      <c r="I49" s="774"/>
      <c r="J49" s="774"/>
      <c r="K49" s="774"/>
      <c r="L49" s="774"/>
      <c r="M49" s="775"/>
      <c r="N49" s="3"/>
      <c r="O49" s="3"/>
      <c r="P49" s="3"/>
      <c r="Q49" s="3"/>
      <c r="R49" s="3"/>
      <c r="S49" s="3"/>
      <c r="T49" s="3"/>
      <c r="U49" s="3"/>
    </row>
    <row r="50" spans="1:21">
      <c r="A50" s="3" t="s">
        <v>830</v>
      </c>
      <c r="B50" s="888">
        <f>INDEX(C65:C78,B63,1)</f>
        <v>179.99999</v>
      </c>
      <c r="C50" s="3" t="s">
        <v>827</v>
      </c>
      <c r="D50" s="773"/>
      <c r="E50" s="774"/>
      <c r="F50" s="774"/>
      <c r="G50" s="774"/>
      <c r="H50" s="774"/>
      <c r="I50" s="774"/>
      <c r="J50" s="774"/>
      <c r="K50" s="774"/>
      <c r="L50" s="774"/>
      <c r="M50" s="775"/>
      <c r="N50" s="3"/>
      <c r="O50" s="3"/>
      <c r="P50" s="3"/>
      <c r="Q50" s="3"/>
      <c r="R50" s="3"/>
      <c r="S50" s="3"/>
      <c r="T50" s="3"/>
      <c r="U50" s="3"/>
    </row>
    <row r="51" spans="1:21">
      <c r="A51" s="3" t="s">
        <v>831</v>
      </c>
      <c r="B51" s="15">
        <f xml:space="preserve"> 84.4892*((B45/B42)^1.5)</f>
        <v>636.90013117168326</v>
      </c>
      <c r="C51" s="3" t="s">
        <v>832</v>
      </c>
      <c r="D51" s="773"/>
      <c r="E51" s="774"/>
      <c r="F51" s="774"/>
      <c r="G51" s="774"/>
      <c r="H51" s="774"/>
      <c r="I51" s="774"/>
      <c r="J51" s="774"/>
      <c r="K51" s="774"/>
      <c r="L51" s="774"/>
      <c r="M51" s="775"/>
      <c r="N51" s="3"/>
      <c r="O51" s="3"/>
      <c r="P51" s="3"/>
      <c r="Q51" s="3"/>
      <c r="R51" s="3"/>
      <c r="S51" s="3"/>
      <c r="T51" s="3"/>
      <c r="U51" s="3"/>
    </row>
    <row r="52" spans="1:21">
      <c r="A52" s="3" t="s">
        <v>833</v>
      </c>
      <c r="B52" s="16">
        <f>19.919482*((B42/B45)^3.5)*(1-1.25*((SIN(B47/57.29578))^2))/((1-B46^2)^2)</f>
        <v>0.75424108469762274</v>
      </c>
      <c r="C52" s="3" t="s">
        <v>834</v>
      </c>
      <c r="D52" s="773"/>
      <c r="E52" s="774"/>
      <c r="F52" s="774"/>
      <c r="G52" s="774"/>
      <c r="H52" s="774"/>
      <c r="I52" s="774"/>
      <c r="J52" s="774"/>
      <c r="K52" s="774"/>
      <c r="L52" s="774"/>
      <c r="M52" s="775"/>
      <c r="N52" s="3"/>
      <c r="O52" s="3"/>
      <c r="P52" s="3"/>
      <c r="Q52" s="3"/>
      <c r="R52" s="3"/>
      <c r="S52" s="3"/>
      <c r="T52" s="3"/>
      <c r="U52" s="3"/>
    </row>
    <row r="53" spans="1:21">
      <c r="A53" s="3" t="s">
        <v>835</v>
      </c>
      <c r="B53" s="16">
        <f>(-9.9597408/(1-B46^2)^2)*((B42/B45)^3.5)*COS(B47/57.29578)</f>
        <v>-0.38139010802751916</v>
      </c>
      <c r="C53" s="3" t="s">
        <v>834</v>
      </c>
      <c r="D53" s="773"/>
      <c r="E53" s="774"/>
      <c r="F53" s="774"/>
      <c r="G53" s="774"/>
      <c r="H53" s="774"/>
      <c r="I53" s="774"/>
      <c r="J53" s="774"/>
      <c r="K53" s="774"/>
      <c r="L53" s="774"/>
      <c r="M53" s="775"/>
      <c r="N53" s="3"/>
      <c r="O53" s="3"/>
      <c r="P53" s="3"/>
      <c r="Q53" s="3"/>
      <c r="R53" s="3"/>
      <c r="S53" s="3"/>
      <c r="T53" s="3"/>
      <c r="U53" s="3"/>
    </row>
    <row r="54" spans="1:21">
      <c r="A54" s="3"/>
      <c r="B54" s="17"/>
      <c r="C54" s="3"/>
      <c r="D54" s="773"/>
      <c r="E54" s="774"/>
      <c r="F54" s="774"/>
      <c r="G54" s="774"/>
      <c r="H54" s="774"/>
      <c r="I54" s="774"/>
      <c r="J54" s="774"/>
      <c r="K54" s="774"/>
      <c r="L54" s="774"/>
      <c r="M54" s="775"/>
      <c r="N54" s="3"/>
      <c r="O54" s="3"/>
      <c r="P54" s="3"/>
      <c r="Q54" s="3"/>
      <c r="R54" s="3"/>
      <c r="S54" s="3"/>
      <c r="T54" s="3"/>
      <c r="U54" s="3"/>
    </row>
    <row r="55" spans="1:21">
      <c r="A55" s="3"/>
      <c r="B55" s="17" t="s">
        <v>818</v>
      </c>
      <c r="C55" s="3"/>
      <c r="D55" s="773"/>
      <c r="E55" s="774"/>
      <c r="F55" s="774"/>
      <c r="G55" s="774"/>
      <c r="H55" s="774"/>
      <c r="I55" s="774"/>
      <c r="J55" s="774"/>
      <c r="K55" s="774"/>
      <c r="L55" s="774"/>
      <c r="M55" s="775"/>
      <c r="N55" s="3"/>
      <c r="O55" s="3"/>
      <c r="P55" s="3"/>
      <c r="Q55" s="3"/>
      <c r="R55" s="3"/>
      <c r="S55" s="3"/>
      <c r="T55" s="3"/>
      <c r="U55" s="3"/>
    </row>
    <row r="56" spans="1:21">
      <c r="A56" s="3"/>
      <c r="B56" s="17"/>
      <c r="C56" s="3"/>
      <c r="D56" s="773"/>
      <c r="E56" s="774"/>
      <c r="F56" s="774"/>
      <c r="G56" s="774"/>
      <c r="H56" s="774"/>
      <c r="I56" s="774"/>
      <c r="J56" s="774"/>
      <c r="K56" s="774"/>
      <c r="L56" s="774"/>
      <c r="M56" s="775"/>
      <c r="N56" s="3"/>
      <c r="O56" s="3"/>
      <c r="P56" s="3"/>
      <c r="Q56" s="3"/>
      <c r="R56" s="3"/>
      <c r="S56" s="3"/>
      <c r="T56" s="3"/>
      <c r="U56" s="3"/>
    </row>
    <row r="57" spans="1:21">
      <c r="A57" s="3"/>
      <c r="B57" s="17"/>
      <c r="C57" s="3"/>
      <c r="D57" s="773"/>
      <c r="E57" s="774"/>
      <c r="F57" s="774"/>
      <c r="G57" s="774"/>
      <c r="H57" s="774"/>
      <c r="I57" s="774"/>
      <c r="J57" s="774"/>
      <c r="K57" s="774"/>
      <c r="L57" s="774"/>
      <c r="M57" s="775"/>
      <c r="N57" s="3"/>
      <c r="O57" s="3"/>
      <c r="P57" s="3"/>
      <c r="Q57" s="3"/>
      <c r="R57" s="3"/>
      <c r="S57" s="3"/>
      <c r="T57" s="3"/>
      <c r="U57" s="3"/>
    </row>
    <row r="58" spans="1:21">
      <c r="A58" s="3"/>
      <c r="B58" s="17"/>
      <c r="C58" s="897" t="s">
        <v>621</v>
      </c>
      <c r="D58" s="773"/>
      <c r="E58" s="774"/>
      <c r="F58" s="774"/>
      <c r="G58" s="774"/>
      <c r="H58" s="774"/>
      <c r="I58" s="774"/>
      <c r="J58" s="774"/>
      <c r="K58" s="774"/>
      <c r="L58" s="774"/>
      <c r="M58" s="775"/>
      <c r="N58" s="3"/>
      <c r="O58" s="3"/>
      <c r="P58" s="3"/>
      <c r="Q58" s="3"/>
      <c r="R58" s="3"/>
      <c r="S58" s="3"/>
      <c r="T58" s="3"/>
      <c r="U58" s="3"/>
    </row>
    <row r="59" spans="1:21">
      <c r="A59" s="3"/>
      <c r="B59" s="17"/>
      <c r="C59" s="897" t="s">
        <v>756</v>
      </c>
      <c r="D59" s="773"/>
      <c r="E59" s="774"/>
      <c r="F59" s="774"/>
      <c r="G59" s="774"/>
      <c r="H59" s="774"/>
      <c r="I59" s="774"/>
      <c r="J59" s="774"/>
      <c r="K59" s="774"/>
      <c r="L59" s="776"/>
      <c r="M59" s="775"/>
      <c r="N59" s="3"/>
      <c r="O59" s="3"/>
      <c r="P59" s="3"/>
      <c r="Q59" s="3"/>
      <c r="R59" s="3"/>
      <c r="S59" s="3"/>
      <c r="T59" s="3"/>
      <c r="U59" s="3"/>
    </row>
    <row r="60" spans="1:21">
      <c r="A60" s="3"/>
      <c r="B60" s="17"/>
      <c r="C60" s="897" t="s">
        <v>757</v>
      </c>
      <c r="D60" s="773"/>
      <c r="E60" s="774"/>
      <c r="F60" s="774"/>
      <c r="G60" s="774"/>
      <c r="H60" s="774"/>
      <c r="I60" s="774"/>
      <c r="J60" s="774"/>
      <c r="K60" s="774"/>
      <c r="L60" s="774"/>
      <c r="M60" s="775"/>
      <c r="N60" s="3"/>
      <c r="O60" s="3"/>
      <c r="P60" s="3"/>
      <c r="Q60" s="3"/>
      <c r="R60" s="3"/>
      <c r="S60" s="3"/>
      <c r="T60" s="3"/>
      <c r="U60" s="3"/>
    </row>
    <row r="61" spans="1:21" ht="13.5" thickBot="1">
      <c r="A61" s="3"/>
      <c r="B61" s="17"/>
      <c r="C61" s="3"/>
      <c r="D61" s="811"/>
      <c r="E61" s="777"/>
      <c r="F61" s="777"/>
      <c r="G61" s="777"/>
      <c r="H61" s="777"/>
      <c r="I61" s="777"/>
      <c r="J61" s="777"/>
      <c r="K61" s="777"/>
      <c r="L61" s="777"/>
      <c r="M61" s="778"/>
      <c r="N61" s="3"/>
      <c r="O61" s="3"/>
      <c r="P61" s="3"/>
      <c r="Q61" s="3"/>
      <c r="R61" s="3"/>
      <c r="S61" s="3"/>
      <c r="T61" s="3"/>
      <c r="U61" s="3"/>
    </row>
    <row r="62" spans="1:21" ht="13.5"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79" t="s">
        <v>580</v>
      </c>
      <c r="B63" s="886">
        <v>13</v>
      </c>
      <c r="C63" s="780">
        <f>INDEX(D65:D78,B63,1)</f>
        <v>35785.99999999781</v>
      </c>
      <c r="D63" s="781" t="s">
        <v>581</v>
      </c>
      <c r="E63" s="3"/>
      <c r="F63" s="825" t="s">
        <v>2</v>
      </c>
      <c r="G63" s="820">
        <v>5</v>
      </c>
      <c r="H63" s="94" t="s">
        <v>4</v>
      </c>
      <c r="I63" s="826" t="s">
        <v>627</v>
      </c>
      <c r="J63" s="3"/>
      <c r="K63" s="858">
        <f>B90*(((((C63+B90)^2/B90^2)-(COS(G63/57.2958))^2)^0.5)-SIN(G63/57.2958))</f>
        <v>41126.753187550428</v>
      </c>
      <c r="L63" s="222" t="s">
        <v>823</v>
      </c>
      <c r="M63" s="3"/>
      <c r="N63" s="3"/>
      <c r="O63" s="3"/>
      <c r="P63" s="3"/>
      <c r="Q63" s="3"/>
      <c r="R63" s="3"/>
      <c r="S63" s="3"/>
      <c r="T63" s="3"/>
      <c r="U63" s="3"/>
    </row>
    <row r="64" spans="1:21">
      <c r="A64" s="823" t="s">
        <v>582</v>
      </c>
      <c r="B64" s="823" t="s">
        <v>583</v>
      </c>
      <c r="C64" s="823" t="s">
        <v>584</v>
      </c>
      <c r="D64" s="823" t="s">
        <v>585</v>
      </c>
      <c r="E64" s="824" t="s">
        <v>586</v>
      </c>
      <c r="F64" s="3"/>
      <c r="G64" s="824" t="s">
        <v>587</v>
      </c>
      <c r="H64" s="3"/>
      <c r="I64" s="3"/>
      <c r="J64" s="3"/>
      <c r="K64" s="3"/>
      <c r="L64" s="3"/>
      <c r="M64" s="3"/>
      <c r="N64" s="3"/>
      <c r="O64" s="3"/>
      <c r="P64" s="3"/>
      <c r="Q64" s="3"/>
      <c r="R64" s="3"/>
      <c r="S64" s="3"/>
      <c r="T64" s="3"/>
      <c r="U64" s="3"/>
    </row>
    <row r="65" spans="1:21">
      <c r="A65" s="215">
        <v>1</v>
      </c>
      <c r="B65" s="782">
        <f>(B45*(1-(B46)^2))/(1+B46*COS(C65/57.29578))</f>
        <v>6878.1370000000024</v>
      </c>
      <c r="C65" s="783">
        <v>0</v>
      </c>
      <c r="D65" s="784">
        <f>B65-B42</f>
        <v>500.00000000000273</v>
      </c>
      <c r="E65" s="64">
        <f t="shared" ref="E65:E75" si="0">180-C65</f>
        <v>180</v>
      </c>
      <c r="F65" s="23" t="s">
        <v>12</v>
      </c>
      <c r="G65" s="785">
        <v>35</v>
      </c>
      <c r="H65" s="23" t="s">
        <v>818</v>
      </c>
      <c r="I65" s="23"/>
      <c r="J65" s="23"/>
      <c r="K65" s="23"/>
      <c r="L65" s="23"/>
      <c r="M65" s="23"/>
      <c r="N65" s="3"/>
      <c r="O65" s="3"/>
      <c r="P65" s="3"/>
      <c r="Q65" s="3"/>
      <c r="R65" s="3"/>
      <c r="S65" s="3"/>
      <c r="T65" s="3"/>
      <c r="U65" s="3"/>
    </row>
    <row r="66" spans="1:21" ht="13.5" thickBot="1">
      <c r="A66" s="215">
        <v>2</v>
      </c>
      <c r="B66" s="782">
        <f>(B45*(1-(B46)^2))/(1+B46*COS(C66/57.29578))</f>
        <v>6977.6230175021201</v>
      </c>
      <c r="C66" s="215">
        <v>15</v>
      </c>
      <c r="D66" s="784">
        <f>B66-B42</f>
        <v>599.48601750212038</v>
      </c>
      <c r="E66" s="64">
        <f t="shared" si="0"/>
        <v>165</v>
      </c>
      <c r="F66" s="23" t="s">
        <v>12</v>
      </c>
      <c r="G66" s="785">
        <v>35</v>
      </c>
      <c r="H66" s="23"/>
      <c r="I66" s="23"/>
      <c r="J66" s="23"/>
      <c r="K66" s="23"/>
      <c r="L66" s="23"/>
      <c r="M66" s="23"/>
      <c r="N66" s="3"/>
      <c r="O66" s="3"/>
      <c r="P66" s="3"/>
      <c r="Q66" s="3"/>
      <c r="R66" s="3"/>
      <c r="S66" s="3"/>
      <c r="T66" s="3"/>
      <c r="U66" s="3"/>
    </row>
    <row r="67" spans="1:21" ht="13.5" thickBot="1">
      <c r="A67" s="215">
        <v>3</v>
      </c>
      <c r="B67" s="782">
        <f>(B45*(1-(B46)^2))/(1+B46*COS(C67/57.29578))</f>
        <v>7286.6237888209216</v>
      </c>
      <c r="C67" s="215">
        <v>30</v>
      </c>
      <c r="D67" s="784">
        <f>B67-B42</f>
        <v>908.4867888209219</v>
      </c>
      <c r="E67" s="64">
        <f t="shared" si="0"/>
        <v>150</v>
      </c>
      <c r="F67" s="23" t="s">
        <v>12</v>
      </c>
      <c r="G67" s="785">
        <v>35</v>
      </c>
      <c r="H67" s="786"/>
      <c r="I67" s="787" t="s">
        <v>503</v>
      </c>
      <c r="J67" s="787"/>
      <c r="K67" s="787"/>
      <c r="L67" s="788"/>
      <c r="M67" s="23"/>
      <c r="N67" s="3"/>
      <c r="O67" s="3"/>
      <c r="P67" s="3"/>
      <c r="Q67" s="3"/>
      <c r="R67" s="3"/>
      <c r="S67" s="3"/>
      <c r="T67" s="3"/>
      <c r="U67" s="3"/>
    </row>
    <row r="68" spans="1:21" ht="13.5" thickBot="1">
      <c r="A68" s="215">
        <v>4</v>
      </c>
      <c r="B68" s="782">
        <f>(B45*(1-(B46)^2))/(1+B46*COS(C68/57.29578))</f>
        <v>7838.8429783306747</v>
      </c>
      <c r="C68" s="215">
        <v>45</v>
      </c>
      <c r="D68" s="784">
        <f>B68-B42</f>
        <v>1460.705978330675</v>
      </c>
      <c r="E68" s="64">
        <f t="shared" si="0"/>
        <v>135</v>
      </c>
      <c r="F68" s="23" t="s">
        <v>12</v>
      </c>
      <c r="G68" s="785">
        <v>35</v>
      </c>
      <c r="H68" s="900" t="s">
        <v>983</v>
      </c>
      <c r="I68" s="24"/>
      <c r="J68" s="406"/>
      <c r="K68" s="789">
        <f>2*((ASIN(B42/(B42+C63)))*57.2958)</f>
        <v>17.400982397943942</v>
      </c>
      <c r="L68" s="903" t="s">
        <v>4</v>
      </c>
      <c r="M68" s="23"/>
      <c r="N68" s="3"/>
      <c r="O68" s="3"/>
      <c r="P68" s="3"/>
      <c r="Q68" s="3"/>
      <c r="R68" s="3"/>
      <c r="S68" s="3"/>
      <c r="T68" s="3"/>
      <c r="U68" s="3"/>
    </row>
    <row r="69" spans="1:21" ht="13.5" thickBot="1">
      <c r="A69" s="215">
        <v>5</v>
      </c>
      <c r="B69" s="782">
        <f>(B45*(1-(B46)^2))/(1+B46*COS(C69/57.29578))</f>
        <v>8697.8936186138471</v>
      </c>
      <c r="C69" s="215">
        <v>60</v>
      </c>
      <c r="D69" s="784">
        <f>B69-B42</f>
        <v>2319.7566186138474</v>
      </c>
      <c r="E69" s="64">
        <f t="shared" si="0"/>
        <v>120</v>
      </c>
      <c r="F69" s="23" t="s">
        <v>12</v>
      </c>
      <c r="G69" s="785">
        <v>35</v>
      </c>
      <c r="H69" s="901" t="s">
        <v>984</v>
      </c>
      <c r="I69" s="24"/>
      <c r="J69" s="406"/>
      <c r="K69" s="902">
        <v>10</v>
      </c>
      <c r="L69" s="904" t="s">
        <v>4</v>
      </c>
      <c r="M69" s="23"/>
      <c r="N69" s="3"/>
      <c r="O69" s="3"/>
      <c r="P69" s="3"/>
      <c r="Q69" s="3"/>
      <c r="R69" s="3"/>
      <c r="S69" s="3"/>
      <c r="T69" s="3"/>
      <c r="U69" s="3"/>
    </row>
    <row r="70" spans="1:21" ht="13.5" thickBot="1">
      <c r="A70" s="215">
        <v>6</v>
      </c>
      <c r="B70" s="782">
        <f>(B45*(1-(B46)^2))/(1+B46*COS(C70/57.29578))</f>
        <v>9970.292881925574</v>
      </c>
      <c r="C70" s="215">
        <v>75</v>
      </c>
      <c r="D70" s="784">
        <f>B70-B42</f>
        <v>3592.1558819255742</v>
      </c>
      <c r="E70" s="64">
        <f t="shared" si="0"/>
        <v>105</v>
      </c>
      <c r="F70" s="23" t="s">
        <v>12</v>
      </c>
      <c r="G70" s="785">
        <v>35</v>
      </c>
      <c r="H70" s="250" t="s">
        <v>588</v>
      </c>
      <c r="I70" s="24"/>
      <c r="J70" s="406"/>
      <c r="K70" s="789">
        <f>K68/2+K69</f>
        <v>18.700491198971971</v>
      </c>
      <c r="L70" s="903" t="s">
        <v>4</v>
      </c>
      <c r="M70" s="23"/>
      <c r="N70" s="3"/>
      <c r="O70" s="3"/>
      <c r="P70" s="3"/>
      <c r="Q70" s="3"/>
      <c r="R70" s="3"/>
      <c r="S70" s="3"/>
      <c r="T70" s="3"/>
      <c r="U70" s="3"/>
    </row>
    <row r="71" spans="1:21" ht="13.5" thickBot="1">
      <c r="A71" s="215">
        <v>7</v>
      </c>
      <c r="B71" s="782">
        <f>(B45*(1-(B46)^2))/(1+B46*COS(C71/57.29578))</f>
        <v>11826.968218777867</v>
      </c>
      <c r="C71" s="215">
        <v>90</v>
      </c>
      <c r="D71" s="784">
        <f>B71-B42</f>
        <v>5448.8312187778674</v>
      </c>
      <c r="E71" s="64">
        <f t="shared" si="0"/>
        <v>90</v>
      </c>
      <c r="F71" s="23" t="s">
        <v>12</v>
      </c>
      <c r="G71" s="785">
        <v>35</v>
      </c>
      <c r="H71" s="250" t="s">
        <v>589</v>
      </c>
      <c r="I71" s="24"/>
      <c r="J71" s="406"/>
      <c r="K71" s="791">
        <f>'Antenna Pointing Losses'!K63</f>
        <v>0</v>
      </c>
      <c r="L71" s="790" t="s">
        <v>860</v>
      </c>
      <c r="M71" s="23"/>
      <c r="N71" s="3"/>
      <c r="O71" s="3"/>
      <c r="P71" s="3"/>
      <c r="Q71" s="3"/>
      <c r="R71" s="3"/>
      <c r="S71" s="3"/>
      <c r="T71" s="3"/>
      <c r="U71" s="3"/>
    </row>
    <row r="72" spans="1:21" ht="13.5" thickBot="1">
      <c r="A72" s="215">
        <v>8</v>
      </c>
      <c r="B72" s="782">
        <f>(B45*(1-(B46)^2))/(1+B46*COS(C72/57.29578))</f>
        <v>14533.386185165687</v>
      </c>
      <c r="C72" s="215">
        <v>105</v>
      </c>
      <c r="D72" s="784">
        <f>B72-B42</f>
        <v>8155.2491851656878</v>
      </c>
      <c r="E72" s="64">
        <f t="shared" si="0"/>
        <v>75</v>
      </c>
      <c r="F72" s="23" t="s">
        <v>12</v>
      </c>
      <c r="G72" s="785">
        <v>35</v>
      </c>
      <c r="H72" s="250" t="s">
        <v>590</v>
      </c>
      <c r="I72" s="24"/>
      <c r="J72" s="406"/>
      <c r="K72" s="791">
        <f>'Antenna Pointing Losses'!K85</f>
        <v>0</v>
      </c>
      <c r="L72" s="790" t="s">
        <v>860</v>
      </c>
      <c r="M72" s="23"/>
      <c r="N72" s="3"/>
      <c r="O72" s="3"/>
      <c r="P72" s="3"/>
      <c r="Q72" s="3"/>
      <c r="R72" s="3"/>
      <c r="S72" s="3"/>
      <c r="T72" s="3"/>
      <c r="U72" s="3"/>
    </row>
    <row r="73" spans="1:21" ht="13.5" thickBot="1">
      <c r="A73" s="215">
        <v>9</v>
      </c>
      <c r="B73" s="782">
        <f>(B45*(1-(B46)^2))/(1+B46*COS(C73/57.29578))</f>
        <v>18472.446576256712</v>
      </c>
      <c r="C73" s="215">
        <v>120</v>
      </c>
      <c r="D73" s="784">
        <f>B73-B42</f>
        <v>12094.309576256714</v>
      </c>
      <c r="E73" s="64">
        <f t="shared" si="0"/>
        <v>60</v>
      </c>
      <c r="F73" s="23" t="s">
        <v>12</v>
      </c>
      <c r="G73" s="785">
        <v>35</v>
      </c>
      <c r="H73" s="250" t="s">
        <v>502</v>
      </c>
      <c r="I73" s="24"/>
      <c r="J73" s="406"/>
      <c r="K73" s="789">
        <f>'Downlink Budget'!B30</f>
        <v>38.414656980372243</v>
      </c>
      <c r="L73" s="790" t="s">
        <v>860</v>
      </c>
      <c r="M73" s="23"/>
      <c r="N73" s="3"/>
      <c r="O73" s="3"/>
      <c r="P73" s="3"/>
      <c r="Q73" s="3"/>
      <c r="R73" s="3"/>
      <c r="S73" s="3"/>
      <c r="T73" s="3"/>
      <c r="U73" s="3"/>
    </row>
    <row r="74" spans="1:21" ht="13.5" thickBot="1">
      <c r="A74" s="215">
        <v>10</v>
      </c>
      <c r="B74" s="782">
        <f>(B45*(1-(B46)^2))/(1+B46*COS(C74/57.29578))</f>
        <v>24075.965611934313</v>
      </c>
      <c r="C74" s="215">
        <v>135</v>
      </c>
      <c r="D74" s="784">
        <f>B74-B42</f>
        <v>17697.828611934314</v>
      </c>
      <c r="E74" s="64">
        <f t="shared" si="0"/>
        <v>45</v>
      </c>
      <c r="F74" s="23" t="s">
        <v>12</v>
      </c>
      <c r="G74" s="785">
        <v>40</v>
      </c>
      <c r="H74" s="632" t="s">
        <v>985</v>
      </c>
      <c r="I74" s="127"/>
      <c r="J74" s="292"/>
      <c r="K74" s="905">
        <f>'Uplink Budget'!B30</f>
        <v>12.867706294329679</v>
      </c>
      <c r="L74" s="792" t="s">
        <v>860</v>
      </c>
      <c r="M74" s="23"/>
      <c r="N74" s="3"/>
      <c r="O74" s="3"/>
      <c r="P74" s="3"/>
      <c r="Q74" s="3"/>
      <c r="R74" s="3"/>
      <c r="S74" s="3"/>
      <c r="T74" s="3"/>
      <c r="U74" s="3"/>
    </row>
    <row r="75" spans="1:21">
      <c r="A75" s="215">
        <v>11</v>
      </c>
      <c r="B75" s="782">
        <f>(B45*(1-(B46)^2))/(1+B46*COS(C75/57.29578))</f>
        <v>31380.154349772623</v>
      </c>
      <c r="C75" s="215">
        <v>150</v>
      </c>
      <c r="D75" s="784">
        <f>B75-B42</f>
        <v>25002.017349772625</v>
      </c>
      <c r="E75" s="64">
        <f t="shared" si="0"/>
        <v>30</v>
      </c>
      <c r="F75" s="23" t="s">
        <v>12</v>
      </c>
      <c r="G75" s="785">
        <v>50</v>
      </c>
      <c r="H75" s="23"/>
      <c r="I75" s="23"/>
      <c r="J75" s="23"/>
      <c r="K75" s="23"/>
      <c r="L75" s="23"/>
      <c r="M75" s="23"/>
      <c r="N75" s="3"/>
      <c r="O75" s="3"/>
      <c r="P75" s="3"/>
      <c r="Q75" s="3"/>
      <c r="R75" s="3"/>
      <c r="S75" s="3"/>
      <c r="T75" s="3"/>
      <c r="U75" s="3"/>
    </row>
    <row r="76" spans="1:21">
      <c r="A76" s="215">
        <v>12</v>
      </c>
      <c r="B76" s="782">
        <f>(B45*(1-(B46)^2))/(1+B46*COS(C76/57.29578))</f>
        <v>38775.073861854115</v>
      </c>
      <c r="C76" s="215">
        <v>165</v>
      </c>
      <c r="D76" s="784">
        <f>B76-B42</f>
        <v>32396.936861854116</v>
      </c>
      <c r="E76" s="64">
        <f>180-C76</f>
        <v>15</v>
      </c>
      <c r="F76" s="23" t="s">
        <v>12</v>
      </c>
      <c r="G76" s="785">
        <v>90</v>
      </c>
      <c r="H76" s="23"/>
      <c r="I76" s="23"/>
      <c r="J76" s="23"/>
      <c r="K76" s="23"/>
      <c r="L76" s="23"/>
      <c r="M76" s="23"/>
      <c r="N76" s="3"/>
      <c r="O76" s="3"/>
      <c r="P76" s="3"/>
      <c r="Q76" s="3"/>
      <c r="R76" s="3"/>
      <c r="S76" s="3"/>
      <c r="T76" s="3"/>
      <c r="U76" s="3"/>
    </row>
    <row r="77" spans="1:21">
      <c r="A77" s="215">
        <v>13</v>
      </c>
      <c r="B77" s="782">
        <f>(B45*(1-(B46)^2))/(1+B46*COS(C77/57.29578))</f>
        <v>42164.136999997812</v>
      </c>
      <c r="C77" s="783">
        <v>179.99999</v>
      </c>
      <c r="D77" s="784">
        <f>B77-B42</f>
        <v>35785.99999999781</v>
      </c>
      <c r="E77" s="64">
        <f>180-C77</f>
        <v>1.0000000003174137E-5</v>
      </c>
      <c r="F77" s="23" t="s">
        <v>12</v>
      </c>
      <c r="G77" s="785">
        <v>170</v>
      </c>
      <c r="H77" s="23"/>
      <c r="I77" s="23"/>
      <c r="J77" s="23"/>
      <c r="K77" s="23"/>
      <c r="L77" s="23"/>
      <c r="M77" s="23"/>
      <c r="N77" s="3"/>
      <c r="O77" s="3"/>
      <c r="P77" s="3"/>
      <c r="Q77" s="3"/>
      <c r="R77" s="3"/>
      <c r="S77" s="3"/>
      <c r="T77" s="3"/>
      <c r="U77" s="3"/>
    </row>
    <row r="78" spans="1:21">
      <c r="A78" s="793">
        <v>14</v>
      </c>
      <c r="B78" s="794">
        <f>(B45*(1-(B46)^2))/(1+B46*COS(C78/57.29578))</f>
        <v>41756.554391673679</v>
      </c>
      <c r="C78" s="795">
        <v>175</v>
      </c>
      <c r="D78" s="796">
        <f>B78-B42</f>
        <v>35378.417391673676</v>
      </c>
      <c r="E78" s="797">
        <f>180-C78</f>
        <v>5</v>
      </c>
      <c r="F78" s="621" t="s">
        <v>12</v>
      </c>
      <c r="G78" s="798">
        <v>160</v>
      </c>
      <c r="H78" s="621"/>
      <c r="I78" s="799" t="s">
        <v>591</v>
      </c>
      <c r="J78" s="621"/>
      <c r="K78" s="621"/>
      <c r="L78" s="621"/>
      <c r="M78" s="378"/>
      <c r="N78" s="3"/>
      <c r="O78" s="3"/>
      <c r="P78" s="3"/>
      <c r="Q78" s="3"/>
      <c r="R78" s="3"/>
      <c r="S78" s="3"/>
      <c r="T78" s="3"/>
      <c r="U78" s="3"/>
    </row>
    <row r="79" spans="1:21">
      <c r="A79" s="3"/>
      <c r="B79" s="3" t="s">
        <v>818</v>
      </c>
      <c r="C79" s="3"/>
      <c r="D79" s="3"/>
      <c r="E79" s="3" t="s">
        <v>818</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5"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
      <c r="A85" s="882" t="s">
        <v>618</v>
      </c>
      <c r="B85" s="23"/>
      <c r="C85" s="23"/>
      <c r="D85" s="863"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c r="A87" s="4" t="s">
        <v>608</v>
      </c>
      <c r="B87" s="3"/>
      <c r="C87" s="3"/>
      <c r="D87" s="3"/>
      <c r="E87" s="3"/>
      <c r="F87" s="3"/>
      <c r="G87" s="3"/>
      <c r="H87" s="3"/>
      <c r="I87" s="3"/>
      <c r="J87" s="3"/>
      <c r="K87" s="3"/>
      <c r="L87" s="3"/>
      <c r="M87" s="3"/>
      <c r="N87" s="3"/>
      <c r="O87" s="3"/>
      <c r="P87" s="3"/>
      <c r="Q87" s="3"/>
      <c r="R87" s="3"/>
      <c r="S87" s="3"/>
      <c r="T87" s="3"/>
      <c r="U87" s="3"/>
    </row>
    <row r="88" spans="1:21">
      <c r="A88" s="803" t="s">
        <v>819</v>
      </c>
      <c r="B88" s="804" t="s">
        <v>820</v>
      </c>
      <c r="C88" s="803" t="s">
        <v>821</v>
      </c>
      <c r="D88" s="810" t="s">
        <v>595</v>
      </c>
      <c r="E88" s="3"/>
      <c r="F88" s="3"/>
      <c r="G88" s="3"/>
      <c r="H88" s="3"/>
      <c r="I88" s="3"/>
      <c r="J88" s="3"/>
      <c r="K88" s="3"/>
      <c r="L88" s="3"/>
      <c r="M88" s="3"/>
      <c r="N88" s="3"/>
      <c r="O88" s="3"/>
      <c r="P88" s="3"/>
      <c r="Q88" s="3"/>
      <c r="R88" s="3"/>
      <c r="S88" s="3"/>
      <c r="T88" s="3"/>
      <c r="U88" s="3"/>
    </row>
    <row r="89" spans="1:21" ht="17.25" customHeight="1">
      <c r="A89" s="805" t="s">
        <v>600</v>
      </c>
      <c r="B89" s="806">
        <f>B91-B90</f>
        <v>35786.018697888401</v>
      </c>
      <c r="C89" s="805" t="s">
        <v>823</v>
      </c>
      <c r="D89" s="809" t="s">
        <v>601</v>
      </c>
      <c r="E89" s="3"/>
      <c r="F89" s="3"/>
      <c r="G89" s="3"/>
      <c r="H89" s="3"/>
      <c r="I89" s="3"/>
      <c r="J89" s="3"/>
      <c r="K89" s="3"/>
      <c r="L89" s="3"/>
      <c r="M89" s="3"/>
      <c r="N89" s="3"/>
      <c r="O89" s="3"/>
      <c r="P89" s="3"/>
      <c r="Q89" s="3"/>
      <c r="R89" s="3"/>
      <c r="S89" s="3"/>
      <c r="T89" s="3"/>
      <c r="U89" s="3"/>
    </row>
    <row r="90" spans="1:21">
      <c r="A90" s="805" t="s">
        <v>602</v>
      </c>
      <c r="B90" s="806">
        <v>6378.1369999999997</v>
      </c>
      <c r="C90" s="805" t="s">
        <v>823</v>
      </c>
      <c r="D90" s="807"/>
      <c r="E90" s="3"/>
      <c r="F90" s="3"/>
      <c r="G90" s="3"/>
      <c r="H90" s="3"/>
      <c r="I90" s="3"/>
      <c r="J90" s="3"/>
      <c r="K90" s="3"/>
      <c r="L90" s="3"/>
      <c r="M90" s="3"/>
      <c r="N90" s="3"/>
      <c r="O90" s="3"/>
      <c r="P90" s="3"/>
      <c r="Q90" s="3"/>
      <c r="R90" s="3"/>
      <c r="S90" s="3"/>
      <c r="T90" s="3"/>
      <c r="U90" s="3"/>
    </row>
    <row r="91" spans="1:21">
      <c r="A91" s="805" t="s">
        <v>603</v>
      </c>
      <c r="B91" s="806">
        <f>(398600000000000*(86400*(365.25/366.25)/(2*PI()))^2)^(1/3)/1000</f>
        <v>42164.155697888404</v>
      </c>
      <c r="C91" s="805" t="s">
        <v>823</v>
      </c>
      <c r="D91" s="562" t="s">
        <v>604</v>
      </c>
      <c r="E91" s="3"/>
      <c r="F91" s="3"/>
      <c r="G91" s="3"/>
      <c r="H91" s="3"/>
      <c r="I91" s="3"/>
      <c r="J91" s="3"/>
      <c r="K91" s="3"/>
      <c r="L91" s="3"/>
      <c r="M91" s="3"/>
      <c r="N91" s="3"/>
      <c r="O91" s="3"/>
      <c r="P91" s="3"/>
      <c r="Q91" s="3"/>
      <c r="R91" s="3"/>
      <c r="S91" s="3"/>
      <c r="T91" s="3"/>
      <c r="U91" s="3"/>
    </row>
    <row r="92" spans="1:21">
      <c r="A92" s="805" t="s">
        <v>605</v>
      </c>
      <c r="B92" s="806">
        <v>37410</v>
      </c>
      <c r="C92" s="101" t="s">
        <v>823</v>
      </c>
      <c r="D92" s="101" t="s">
        <v>609</v>
      </c>
      <c r="E92" s="3"/>
      <c r="F92" s="3"/>
      <c r="G92" s="3"/>
      <c r="H92" s="3"/>
      <c r="I92" s="3"/>
      <c r="J92" s="3"/>
      <c r="K92" s="3"/>
      <c r="L92" s="3"/>
      <c r="M92" s="3"/>
      <c r="N92" s="3"/>
      <c r="O92" s="3"/>
      <c r="P92" s="3"/>
      <c r="Q92" s="3"/>
      <c r="R92" s="3"/>
      <c r="S92" s="3"/>
      <c r="T92" s="3"/>
      <c r="U92" s="3"/>
    </row>
    <row r="93" spans="1:21">
      <c r="A93" s="805" t="s">
        <v>606</v>
      </c>
      <c r="B93" s="812">
        <v>35786.019</v>
      </c>
      <c r="C93" s="805" t="s">
        <v>823</v>
      </c>
      <c r="D93" s="101" t="s">
        <v>610</v>
      </c>
      <c r="E93" s="3"/>
      <c r="F93" s="3"/>
      <c r="G93" s="3"/>
      <c r="H93" s="3"/>
      <c r="I93" s="3"/>
      <c r="J93" s="3"/>
      <c r="K93" s="3"/>
      <c r="L93" s="3"/>
      <c r="M93" s="3"/>
      <c r="N93" s="3"/>
      <c r="O93" s="3"/>
      <c r="P93" s="3"/>
      <c r="Q93" s="3"/>
      <c r="R93" s="3"/>
      <c r="S93" s="3"/>
      <c r="T93" s="3"/>
      <c r="U93" s="3"/>
    </row>
    <row r="94" spans="1:21">
      <c r="A94" s="805" t="s">
        <v>607</v>
      </c>
      <c r="B94" s="812">
        <v>41678.957000000002</v>
      </c>
      <c r="C94" s="805" t="s">
        <v>823</v>
      </c>
      <c r="D94" s="101" t="s">
        <v>619</v>
      </c>
      <c r="E94" s="3"/>
      <c r="F94" s="3"/>
      <c r="G94" s="3"/>
      <c r="H94" s="3"/>
      <c r="I94" s="3"/>
      <c r="J94" s="3"/>
      <c r="K94" s="3"/>
      <c r="L94" s="3"/>
      <c r="M94" s="3"/>
      <c r="N94" s="3"/>
      <c r="O94" s="3"/>
      <c r="P94" s="3"/>
      <c r="Q94" s="3"/>
      <c r="R94" s="3"/>
      <c r="S94" s="3"/>
      <c r="T94" s="3"/>
      <c r="U94" s="3"/>
    </row>
    <row r="95" spans="1:21" ht="13.5" thickBot="1">
      <c r="A95" s="101" t="s">
        <v>818</v>
      </c>
      <c r="B95" s="808" t="s">
        <v>818</v>
      </c>
      <c r="C95" s="101" t="s">
        <v>818</v>
      </c>
      <c r="D95" s="101"/>
      <c r="E95" s="3"/>
      <c r="F95" s="3"/>
      <c r="G95" s="3"/>
      <c r="H95" s="3"/>
      <c r="I95" s="3"/>
      <c r="J95" s="3"/>
      <c r="K95" s="3"/>
      <c r="L95" s="3"/>
      <c r="M95" s="3"/>
      <c r="N95" s="3"/>
      <c r="O95" s="878" t="s">
        <v>28</v>
      </c>
      <c r="P95" s="3"/>
      <c r="Q95" s="3"/>
      <c r="R95" s="3"/>
      <c r="S95" s="3"/>
      <c r="T95" s="3"/>
      <c r="U95" s="3"/>
    </row>
    <row r="96" spans="1:21" ht="13.5" thickBot="1">
      <c r="A96" s="101" t="s">
        <v>818</v>
      </c>
      <c r="B96" s="834" t="s">
        <v>119</v>
      </c>
      <c r="C96" s="101"/>
      <c r="D96" s="101"/>
      <c r="E96" s="3"/>
      <c r="F96" s="3"/>
      <c r="G96" s="835" t="s">
        <v>371</v>
      </c>
      <c r="H96" s="3"/>
      <c r="I96" s="3"/>
      <c r="J96" s="3"/>
      <c r="K96" s="3"/>
      <c r="L96" s="3"/>
      <c r="M96" s="834" t="s">
        <v>122</v>
      </c>
      <c r="N96" s="101"/>
      <c r="O96" s="836" t="s">
        <v>140</v>
      </c>
      <c r="P96" s="3"/>
      <c r="Q96" s="3"/>
      <c r="R96" s="3"/>
      <c r="S96" s="3"/>
      <c r="T96" s="3"/>
      <c r="U96" s="3"/>
    </row>
    <row r="97" spans="1:21" ht="13.5" thickBot="1">
      <c r="A97" s="3"/>
      <c r="B97" s="878" t="s">
        <v>599</v>
      </c>
      <c r="C97" s="3"/>
      <c r="D97" s="3"/>
      <c r="E97" s="3"/>
      <c r="F97" s="3"/>
      <c r="G97" s="3"/>
      <c r="H97" s="3"/>
      <c r="I97" s="3"/>
      <c r="J97" s="3"/>
      <c r="K97" s="3"/>
      <c r="L97" s="3"/>
      <c r="M97" s="3"/>
      <c r="N97" s="3"/>
      <c r="O97" s="878" t="s">
        <v>818</v>
      </c>
      <c r="P97" s="3"/>
      <c r="Q97" s="3"/>
      <c r="R97" s="3"/>
      <c r="S97" s="3"/>
      <c r="T97" s="3"/>
      <c r="U97" s="3"/>
    </row>
    <row r="98" spans="1:21" ht="13.5" thickBot="1">
      <c r="A98" s="3" t="s">
        <v>613</v>
      </c>
      <c r="B98" s="864">
        <v>19.062200000000001</v>
      </c>
      <c r="C98" s="3" t="s">
        <v>4</v>
      </c>
      <c r="D98" s="26" t="s">
        <v>615</v>
      </c>
      <c r="E98" s="3"/>
      <c r="F98" s="3"/>
      <c r="G98" s="3"/>
      <c r="H98" s="3"/>
      <c r="I98" s="3"/>
      <c r="J98" s="3"/>
      <c r="K98" s="3"/>
      <c r="L98" s="3"/>
      <c r="M98" s="860" t="s">
        <v>613</v>
      </c>
      <c r="N98" s="3"/>
      <c r="O98" s="864">
        <v>17.429200000000002</v>
      </c>
      <c r="P98" s="3" t="s">
        <v>4</v>
      </c>
      <c r="Q98" s="3"/>
      <c r="R98" s="3"/>
      <c r="S98" s="3"/>
      <c r="T98" s="3"/>
      <c r="U98" s="3"/>
    </row>
    <row r="99" spans="1:21" ht="13.5" thickBot="1">
      <c r="A99" s="3"/>
      <c r="B99" s="865" t="s">
        <v>818</v>
      </c>
      <c r="C99" s="3"/>
      <c r="D99" s="3"/>
      <c r="E99" s="3"/>
      <c r="F99" s="3"/>
      <c r="G99" s="3"/>
      <c r="H99" s="3"/>
      <c r="I99" s="3"/>
      <c r="J99" s="3"/>
      <c r="K99" s="3"/>
      <c r="L99" s="3"/>
      <c r="M99" s="629"/>
      <c r="N99" s="3"/>
      <c r="O99" s="3"/>
      <c r="P99" s="3"/>
      <c r="Q99" s="3"/>
      <c r="R99" s="3"/>
      <c r="S99" s="3"/>
      <c r="T99" s="3"/>
      <c r="U99" s="3"/>
    </row>
    <row r="100" spans="1:21" ht="13.5" thickBot="1">
      <c r="A100" s="3" t="s">
        <v>614</v>
      </c>
      <c r="B100" s="864">
        <v>72.874200000000002</v>
      </c>
      <c r="C100" s="3" t="s">
        <v>4</v>
      </c>
      <c r="D100" s="26" t="s">
        <v>616</v>
      </c>
      <c r="E100" s="3"/>
      <c r="F100" s="3"/>
      <c r="G100" s="3"/>
      <c r="H100" s="3"/>
      <c r="I100" s="3"/>
      <c r="J100" s="3"/>
      <c r="K100" s="3"/>
      <c r="L100" s="3"/>
      <c r="M100" s="860" t="s">
        <v>614</v>
      </c>
      <c r="N100" s="3"/>
      <c r="O100" s="864">
        <v>78.465800000000002</v>
      </c>
      <c r="P100" s="3" t="s">
        <v>4</v>
      </c>
      <c r="Q100" s="3"/>
      <c r="R100" s="3"/>
      <c r="S100" s="3"/>
      <c r="T100" s="3"/>
      <c r="U100" s="3"/>
    </row>
    <row r="101" spans="1:21" ht="13.5" thickBot="1">
      <c r="A101" s="3"/>
      <c r="B101" s="908">
        <f>(B100-B102)</f>
        <v>-16.625799999999998</v>
      </c>
      <c r="C101" s="3"/>
      <c r="D101" s="3"/>
      <c r="E101" s="3"/>
      <c r="F101" s="3"/>
      <c r="G101" s="3"/>
      <c r="H101" s="3"/>
      <c r="I101" s="3"/>
      <c r="J101" s="3"/>
      <c r="K101" s="3"/>
      <c r="L101" s="3"/>
      <c r="M101" s="629"/>
      <c r="N101" s="3"/>
      <c r="O101" s="908">
        <f>O100-O102</f>
        <v>-11.034199999999998</v>
      </c>
      <c r="P101" s="3"/>
      <c r="Q101" s="3"/>
      <c r="R101" s="3"/>
      <c r="S101" s="3"/>
      <c r="T101" s="3"/>
      <c r="U101" s="3"/>
    </row>
    <row r="102" spans="1:21" ht="13.5" thickBot="1">
      <c r="A102" s="3" t="s">
        <v>331</v>
      </c>
      <c r="B102" s="864">
        <v>89.5</v>
      </c>
      <c r="C102" s="3" t="s">
        <v>4</v>
      </c>
      <c r="D102" s="3" t="s">
        <v>351</v>
      </c>
      <c r="E102" s="3"/>
      <c r="F102" s="3"/>
      <c r="G102" s="3"/>
      <c r="H102" s="3"/>
      <c r="I102" s="3"/>
      <c r="J102" s="3"/>
      <c r="K102" s="3"/>
      <c r="L102" s="3"/>
      <c r="M102" s="893" t="s">
        <v>925</v>
      </c>
      <c r="N102" s="3"/>
      <c r="O102" s="894">
        <f>B102</f>
        <v>89.5</v>
      </c>
      <c r="P102" s="3" t="s">
        <v>4</v>
      </c>
      <c r="Q102" s="3" t="s">
        <v>926</v>
      </c>
      <c r="R102" s="3"/>
      <c r="S102" s="3"/>
      <c r="T102" s="3"/>
      <c r="U102" s="3"/>
    </row>
    <row r="103" spans="1:21" ht="13.5" thickBot="1">
      <c r="A103" s="3"/>
      <c r="B103" s="3"/>
      <c r="C103" s="3"/>
      <c r="D103" s="3"/>
      <c r="E103" s="3"/>
      <c r="F103" s="3"/>
      <c r="G103" s="3"/>
      <c r="H103" s="3"/>
      <c r="I103" s="3"/>
      <c r="J103" s="3"/>
      <c r="K103" s="3"/>
      <c r="L103" s="3"/>
      <c r="M103" s="629"/>
      <c r="N103" s="3"/>
      <c r="O103" s="3"/>
      <c r="P103" s="3"/>
      <c r="Q103" s="3"/>
      <c r="R103" s="3"/>
      <c r="S103" s="3"/>
      <c r="T103" s="3"/>
      <c r="U103" s="3"/>
    </row>
    <row r="104" spans="1:21" ht="13.5" thickBot="1">
      <c r="A104" s="3" t="s">
        <v>617</v>
      </c>
      <c r="B104" s="828">
        <f>SQRT($B$91^2+$B$90^2-2*$B$91*$B$90*COS(B110/57.29578))</f>
        <v>36488.15588571554</v>
      </c>
      <c r="C104" s="3" t="s">
        <v>823</v>
      </c>
      <c r="D104" s="3" t="s">
        <v>352</v>
      </c>
      <c r="E104" s="3"/>
      <c r="F104" s="3"/>
      <c r="G104" s="3"/>
      <c r="H104" s="3"/>
      <c r="I104" s="3"/>
      <c r="J104" s="3"/>
      <c r="K104" s="3"/>
      <c r="L104" s="3"/>
      <c r="M104" s="859" t="s">
        <v>617</v>
      </c>
      <c r="N104" s="3"/>
      <c r="O104" s="828">
        <f>SQRT($B$91^2+$B$90^2-2*$B$91*$B$90*COS(O110/57.29578))</f>
        <v>36260.448781198123</v>
      </c>
      <c r="P104" s="3" t="s">
        <v>823</v>
      </c>
      <c r="Q104" s="3"/>
      <c r="R104" s="3"/>
      <c r="S104" s="3"/>
      <c r="T104" s="3"/>
      <c r="U104" s="3"/>
    </row>
    <row r="105" spans="1:21" ht="13.5" thickBot="1">
      <c r="A105" s="3"/>
      <c r="B105" s="3"/>
      <c r="C105" s="3"/>
      <c r="D105" s="3"/>
      <c r="E105" s="3"/>
      <c r="F105" s="3"/>
      <c r="G105" s="3"/>
      <c r="H105" s="3"/>
      <c r="I105" s="3"/>
      <c r="J105" s="3"/>
      <c r="K105" s="3"/>
      <c r="L105" s="3"/>
      <c r="M105" s="629"/>
      <c r="N105" s="3"/>
      <c r="O105" s="3"/>
      <c r="P105" s="3"/>
      <c r="Q105" s="3"/>
      <c r="R105" s="3"/>
      <c r="S105" s="3"/>
      <c r="T105" s="3"/>
      <c r="U105" s="3"/>
    </row>
    <row r="106" spans="1:21" ht="13.5" thickBot="1">
      <c r="A106" s="3" t="s">
        <v>628</v>
      </c>
      <c r="B106" s="887">
        <f>57.29578*ATAN((COS(B110/57.29578)-($B$90/$B$91))/SIN(B110/57.29578))</f>
        <v>60.660455833168932</v>
      </c>
      <c r="C106" s="3" t="s">
        <v>4</v>
      </c>
      <c r="D106" s="3" t="s">
        <v>353</v>
      </c>
      <c r="E106" s="3"/>
      <c r="F106" s="3"/>
      <c r="G106" s="3"/>
      <c r="H106" s="3"/>
      <c r="I106" s="3"/>
      <c r="J106" s="3"/>
      <c r="K106" s="3"/>
      <c r="L106" s="3"/>
      <c r="M106" s="860" t="s">
        <v>628</v>
      </c>
      <c r="N106" s="3"/>
      <c r="O106" s="887">
        <f>57.29578*ATAN((COS(O110/57.29578)-($B$90/$B$91))/SIN(O110/57.29578))</f>
        <v>65.925927773075983</v>
      </c>
      <c r="P106" s="3" t="s">
        <v>4</v>
      </c>
      <c r="Q106" s="3"/>
      <c r="R106" s="3"/>
      <c r="S106" s="3"/>
      <c r="T106" s="3"/>
      <c r="U106" s="3"/>
    </row>
    <row r="107" spans="1:21" ht="13.5" thickBot="1">
      <c r="A107" s="3"/>
      <c r="B107" s="909">
        <f>57.29578*ATAN(SIN($B$101/57.29578)/((-SIN($B$98/57.29578)*COS($B$101/57.29578))))</f>
        <v>42.436490136550354</v>
      </c>
      <c r="C107" s="3"/>
      <c r="D107" s="3"/>
      <c r="E107" s="3"/>
      <c r="F107" s="3"/>
      <c r="G107" s="3"/>
      <c r="H107" s="3"/>
      <c r="I107" s="3"/>
      <c r="J107" s="3"/>
      <c r="K107" s="3"/>
      <c r="L107" s="3"/>
      <c r="M107" s="860"/>
      <c r="N107" s="3"/>
      <c r="O107" s="909">
        <f>57.29578*ATAN(SIN(O101/57.29578)/((-SIN(O98/57.29578)*COS(O101/57.29578))))</f>
        <v>33.065164163394428</v>
      </c>
      <c r="P107" s="3"/>
      <c r="Q107" s="3"/>
      <c r="R107" s="3"/>
      <c r="S107" s="3"/>
      <c r="T107" s="3"/>
      <c r="U107" s="3"/>
    </row>
    <row r="108" spans="1:21" ht="13.5" thickBot="1">
      <c r="A108" s="3" t="s">
        <v>597</v>
      </c>
      <c r="B108" s="887">
        <f>'GEO Azimuth Calc Data'!E19</f>
        <v>137.56350986344964</v>
      </c>
      <c r="C108" s="3" t="s">
        <v>4</v>
      </c>
      <c r="D108" s="3" t="s">
        <v>598</v>
      </c>
      <c r="E108" s="3"/>
      <c r="F108" s="3"/>
      <c r="G108" s="3"/>
      <c r="H108" s="3"/>
      <c r="I108" s="3"/>
      <c r="J108" s="3"/>
      <c r="K108" s="3"/>
      <c r="L108" s="3"/>
      <c r="M108" s="860" t="s">
        <v>597</v>
      </c>
      <c r="N108" s="3"/>
      <c r="O108" s="887">
        <f>'GEO Azimuth Calc Data'!E40</f>
        <v>146.93483583660557</v>
      </c>
      <c r="P108" s="880" t="s">
        <v>4</v>
      </c>
      <c r="Q108" s="3"/>
      <c r="R108" s="3"/>
      <c r="S108" s="3"/>
      <c r="T108" s="3"/>
      <c r="U108" s="3"/>
    </row>
    <row r="109" spans="1:21" ht="13.5" thickBot="1">
      <c r="A109" s="3"/>
      <c r="B109" s="3" t="s">
        <v>818</v>
      </c>
      <c r="C109" s="3"/>
      <c r="D109" s="3"/>
      <c r="E109" s="3"/>
      <c r="F109" s="3"/>
      <c r="G109" s="3"/>
      <c r="H109" s="3"/>
      <c r="I109" s="3"/>
      <c r="J109" s="3"/>
      <c r="K109" s="3"/>
      <c r="L109" s="3"/>
      <c r="M109" s="3"/>
      <c r="N109" s="3"/>
      <c r="O109" s="3"/>
      <c r="P109" s="3"/>
      <c r="Q109" s="3"/>
      <c r="R109" s="3"/>
      <c r="S109" s="3"/>
      <c r="T109" s="3"/>
      <c r="U109" s="3"/>
    </row>
    <row r="110" spans="1:21" ht="13.5" thickBot="1">
      <c r="A110" s="3" t="s">
        <v>596</v>
      </c>
      <c r="B110" s="870">
        <f>57.29578*ACOS(COS(B98/57.29578)*COS(B101/57.29578))</f>
        <v>25.088911834355539</v>
      </c>
      <c r="C110" s="3" t="s">
        <v>4</v>
      </c>
      <c r="D110" s="3" t="s">
        <v>357</v>
      </c>
      <c r="E110" s="3"/>
      <c r="F110" s="3"/>
      <c r="G110" s="3"/>
      <c r="H110" s="3"/>
      <c r="I110" s="3"/>
      <c r="J110" s="3"/>
      <c r="K110" s="3"/>
      <c r="L110" s="3"/>
      <c r="M110" s="3" t="s">
        <v>596</v>
      </c>
      <c r="N110" s="3"/>
      <c r="O110" s="870">
        <f>57.29578*ACOS(COS(O98/57.29578)*COS(O101/57.29578))</f>
        <v>20.536371124162212</v>
      </c>
      <c r="P110" s="3" t="s">
        <v>4</v>
      </c>
      <c r="Q110" s="3"/>
      <c r="R110" s="3"/>
      <c r="S110" s="3"/>
      <c r="T110" s="3"/>
      <c r="U110" s="3"/>
    </row>
    <row r="111" spans="1:21">
      <c r="A111" s="3"/>
      <c r="B111" s="866"/>
      <c r="C111" s="3"/>
      <c r="D111" s="3"/>
      <c r="E111" s="3"/>
      <c r="F111" s="3"/>
      <c r="G111" s="3"/>
      <c r="H111" s="3"/>
      <c r="I111" s="3"/>
      <c r="J111" s="3"/>
      <c r="K111" s="3"/>
      <c r="L111" s="3"/>
      <c r="M111" s="3"/>
      <c r="N111" s="3"/>
      <c r="O111" s="507"/>
      <c r="P111" s="3"/>
      <c r="Q111" s="3"/>
      <c r="R111" s="3"/>
      <c r="S111" s="3"/>
      <c r="T111" s="3"/>
      <c r="U111" s="3"/>
    </row>
    <row r="112" spans="1:21">
      <c r="A112" s="3"/>
      <c r="B112" s="866" t="s">
        <v>818</v>
      </c>
      <c r="C112" s="3"/>
      <c r="D112" s="3"/>
      <c r="E112" s="3"/>
      <c r="F112" s="3"/>
      <c r="G112" s="3"/>
      <c r="H112" s="3"/>
      <c r="I112" s="3"/>
      <c r="J112" s="3"/>
      <c r="K112" s="3"/>
      <c r="L112" s="3"/>
      <c r="M112" s="3"/>
      <c r="N112" s="3"/>
      <c r="O112" s="507"/>
      <c r="P112" s="3"/>
      <c r="Q112" s="3"/>
      <c r="R112" s="3"/>
      <c r="S112" s="3"/>
      <c r="T112" s="3"/>
      <c r="U112" s="3"/>
    </row>
    <row r="113" spans="1:21">
      <c r="A113" s="3"/>
      <c r="B113" s="866"/>
      <c r="C113" s="3"/>
      <c r="D113" s="3"/>
      <c r="E113" s="3"/>
      <c r="F113" s="3"/>
      <c r="G113" s="3"/>
      <c r="H113" s="3"/>
      <c r="I113" s="3"/>
      <c r="J113" s="3"/>
      <c r="K113" s="3"/>
      <c r="L113" s="3"/>
      <c r="M113" s="3"/>
      <c r="N113" s="3"/>
      <c r="O113" s="507"/>
      <c r="P113" s="3"/>
      <c r="Q113" s="3"/>
      <c r="R113" s="3"/>
      <c r="S113" s="3"/>
      <c r="T113" s="3"/>
      <c r="U113" s="3"/>
    </row>
    <row r="114" spans="1:21" ht="13.5"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75">
      <c r="A115" s="883" t="s">
        <v>30</v>
      </c>
      <c r="B115" s="862"/>
      <c r="C115" s="130"/>
      <c r="D115" s="130"/>
      <c r="E115" s="130"/>
      <c r="F115" s="130"/>
      <c r="G115" s="242" t="s">
        <v>140</v>
      </c>
      <c r="H115" s="130"/>
      <c r="I115" s="130"/>
      <c r="J115" s="130"/>
      <c r="K115" s="130"/>
      <c r="L115" s="130"/>
      <c r="M115" s="130"/>
      <c r="N115" s="130"/>
      <c r="O115" s="130"/>
      <c r="P115" s="130"/>
      <c r="Q115" s="130"/>
      <c r="R115" s="589"/>
      <c r="S115" s="589"/>
      <c r="T115" s="589"/>
      <c r="U115" s="589"/>
    </row>
    <row r="116" spans="1:21">
      <c r="A116" s="3"/>
      <c r="B116" s="221"/>
      <c r="C116" s="50"/>
      <c r="D116" s="3"/>
      <c r="E116" s="50"/>
      <c r="F116" s="3"/>
      <c r="G116" s="3"/>
      <c r="H116" s="50"/>
      <c r="I116" s="3"/>
      <c r="J116" s="3"/>
      <c r="K116" s="3"/>
      <c r="L116" s="3"/>
      <c r="M116" s="3"/>
      <c r="N116" s="3"/>
      <c r="O116" s="3"/>
      <c r="P116" s="3"/>
      <c r="Q116" s="3"/>
      <c r="R116" s="3"/>
      <c r="S116" s="3"/>
      <c r="T116" s="3"/>
      <c r="U116" s="3"/>
    </row>
    <row r="117" spans="1:21">
      <c r="A117" s="50"/>
      <c r="B117" s="220"/>
      <c r="C117" s="65"/>
      <c r="D117" s="101"/>
      <c r="E117" s="32"/>
      <c r="F117" s="3"/>
      <c r="G117" s="3"/>
      <c r="H117" s="33"/>
      <c r="I117" s="3"/>
      <c r="J117" s="3"/>
      <c r="K117" s="3"/>
      <c r="L117" s="101"/>
      <c r="M117" s="848"/>
      <c r="N117" s="849"/>
      <c r="O117" s="814"/>
      <c r="P117" s="101"/>
      <c r="Q117" s="3"/>
      <c r="R117" s="3"/>
      <c r="S117" s="3"/>
      <c r="T117" s="3"/>
      <c r="U117" s="3"/>
    </row>
    <row r="118" spans="1:21">
      <c r="A118" s="50"/>
      <c r="B118" s="220"/>
      <c r="C118" s="65"/>
      <c r="D118" s="101"/>
      <c r="E118" s="32"/>
      <c r="F118" s="3"/>
      <c r="G118" s="3"/>
      <c r="H118" s="33"/>
      <c r="I118" s="3"/>
      <c r="J118" s="3"/>
      <c r="K118" s="3"/>
      <c r="L118" s="101"/>
      <c r="M118" s="101"/>
      <c r="N118" s="101"/>
      <c r="O118" s="101"/>
      <c r="P118" s="101"/>
      <c r="Q118" s="3"/>
      <c r="R118" s="3"/>
      <c r="S118" s="3"/>
      <c r="T118" s="3"/>
      <c r="U118" s="3"/>
    </row>
    <row r="119" spans="1:21">
      <c r="A119" s="50"/>
      <c r="B119" s="220"/>
      <c r="C119" s="65"/>
      <c r="D119" s="101"/>
      <c r="E119" s="32"/>
      <c r="F119" s="3"/>
      <c r="G119" s="3"/>
      <c r="H119" s="33"/>
      <c r="I119" s="3"/>
      <c r="J119" s="3"/>
      <c r="K119" s="3"/>
      <c r="L119" s="101"/>
      <c r="M119" s="101"/>
      <c r="N119" s="101"/>
      <c r="O119" s="101"/>
      <c r="P119" s="101"/>
      <c r="Q119" s="3"/>
      <c r="R119" s="3"/>
      <c r="S119" s="3"/>
      <c r="T119" s="3"/>
      <c r="U119" s="3"/>
    </row>
    <row r="120" spans="1:21">
      <c r="A120" s="229"/>
      <c r="B120" s="220"/>
      <c r="C120" s="844"/>
      <c r="D120" s="845"/>
      <c r="E120" s="32"/>
      <c r="F120" s="3"/>
      <c r="G120" s="3"/>
      <c r="H120" s="33"/>
      <c r="I120" s="3"/>
      <c r="J120" s="3"/>
      <c r="K120" s="3"/>
      <c r="L120" s="101"/>
      <c r="M120" s="101"/>
      <c r="N120" s="101"/>
      <c r="O120" s="101"/>
      <c r="P120" s="101"/>
      <c r="Q120" s="3"/>
      <c r="R120" s="3"/>
      <c r="S120" s="3"/>
      <c r="T120" s="3"/>
      <c r="U120" s="3"/>
    </row>
    <row r="121" spans="1:21">
      <c r="A121" s="850" t="s">
        <v>789</v>
      </c>
      <c r="B121" s="394" t="s">
        <v>790</v>
      </c>
      <c r="C121" s="65"/>
      <c r="D121" s="101" t="s">
        <v>791</v>
      </c>
      <c r="E121" s="32"/>
      <c r="F121" s="861">
        <v>2.1</v>
      </c>
      <c r="G121" s="378" t="s">
        <v>792</v>
      </c>
      <c r="H121" s="33"/>
      <c r="I121" s="101"/>
      <c r="J121" s="847"/>
      <c r="K121" s="101"/>
      <c r="L121" s="101"/>
      <c r="M121" s="101"/>
      <c r="N121" s="101"/>
      <c r="O121" s="101"/>
      <c r="P121" s="101"/>
      <c r="Q121" s="3"/>
      <c r="R121" s="3"/>
      <c r="S121" s="3"/>
      <c r="T121" s="3"/>
      <c r="U121" s="3"/>
    </row>
    <row r="122" spans="1:21">
      <c r="A122" s="3"/>
      <c r="B122" s="79"/>
      <c r="C122" s="65"/>
      <c r="D122" s="101"/>
      <c r="E122" s="32"/>
      <c r="F122" s="3"/>
      <c r="G122" s="3"/>
      <c r="H122" s="3"/>
      <c r="I122" s="3"/>
      <c r="J122" s="34"/>
      <c r="K122" s="3"/>
      <c r="L122" s="101"/>
      <c r="M122" s="101"/>
      <c r="N122" s="101"/>
      <c r="O122" s="101"/>
      <c r="P122" s="101"/>
      <c r="Q122" s="3"/>
      <c r="R122" s="3"/>
      <c r="S122" s="3"/>
      <c r="T122" s="3"/>
      <c r="U122" s="3"/>
    </row>
    <row r="123" spans="1:21">
      <c r="A123" s="50"/>
      <c r="B123" s="220"/>
      <c r="C123" s="65"/>
      <c r="D123" s="101"/>
      <c r="E123" s="32"/>
      <c r="F123" s="3"/>
      <c r="G123" s="3"/>
      <c r="H123" s="33"/>
      <c r="I123" s="3"/>
      <c r="J123" s="3"/>
      <c r="K123" s="3"/>
      <c r="L123" s="101"/>
      <c r="M123" s="848"/>
      <c r="N123" s="849"/>
      <c r="O123" s="814"/>
      <c r="P123" s="101"/>
      <c r="Q123" s="3"/>
      <c r="R123" s="3"/>
      <c r="S123" s="3"/>
      <c r="T123" s="3"/>
      <c r="U123" s="3"/>
    </row>
    <row r="124" spans="1:21">
      <c r="A124" s="3"/>
      <c r="B124" s="221"/>
      <c r="C124" s="65"/>
      <c r="D124" s="101"/>
      <c r="E124" s="32"/>
      <c r="F124" s="3"/>
      <c r="G124" s="3"/>
      <c r="H124" s="33"/>
      <c r="I124" s="3"/>
      <c r="J124" s="3"/>
      <c r="K124" s="3"/>
      <c r="L124" s="101"/>
      <c r="M124" s="101"/>
      <c r="N124" s="101"/>
      <c r="O124" s="101"/>
      <c r="P124" s="101"/>
      <c r="Q124" s="3"/>
      <c r="R124" s="3"/>
      <c r="S124" s="3"/>
      <c r="T124" s="3"/>
      <c r="U124" s="3"/>
    </row>
    <row r="125" spans="1:21">
      <c r="A125" s="3"/>
      <c r="B125" s="851" t="s">
        <v>793</v>
      </c>
      <c r="C125" s="65"/>
      <c r="D125" s="898">
        <f>F121*1.5*100000000</f>
        <v>315000000.00000006</v>
      </c>
      <c r="E125" s="852" t="s">
        <v>823</v>
      </c>
      <c r="F125" s="3"/>
      <c r="G125" s="3"/>
      <c r="H125" s="33"/>
      <c r="I125" s="3"/>
      <c r="J125" s="3"/>
      <c r="K125" s="3"/>
      <c r="L125" s="101"/>
      <c r="M125" s="101"/>
      <c r="N125" s="101"/>
      <c r="O125" s="101"/>
      <c r="P125" s="101"/>
      <c r="Q125" s="3"/>
      <c r="R125" s="3"/>
      <c r="S125" s="3"/>
      <c r="T125" s="3"/>
      <c r="U125" s="3"/>
    </row>
    <row r="126" spans="1:21">
      <c r="A126" s="229"/>
      <c r="B126" s="221"/>
      <c r="C126" s="846"/>
      <c r="D126" s="845"/>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818</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818</v>
      </c>
      <c r="I129" s="3"/>
      <c r="J129" s="3"/>
      <c r="K129" s="3"/>
      <c r="L129" s="3"/>
      <c r="M129" s="3"/>
      <c r="N129" s="3"/>
      <c r="O129" s="3"/>
      <c r="P129" s="3"/>
      <c r="Q129" s="3"/>
      <c r="R129" s="3"/>
      <c r="S129" s="3"/>
      <c r="T129" s="3"/>
      <c r="U129" s="3"/>
    </row>
    <row r="130" spans="1:21">
      <c r="A130" s="3"/>
      <c r="B130" s="3" t="s">
        <v>818</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818</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19" sqref="C19"/>
    </sheetView>
  </sheetViews>
  <sheetFormatPr defaultColWidth="8.85546875" defaultRowHeight="12.75"/>
  <cols>
    <col min="1" max="1" width="25.85546875" customWidth="1"/>
    <col min="7" max="7" width="14.42578125" customWidth="1"/>
    <col min="8" max="8" width="5.42578125" customWidth="1"/>
    <col min="11" max="11" width="10.5703125" customWidth="1"/>
    <col min="14" max="14" width="7" customWidth="1"/>
  </cols>
  <sheetData>
    <row r="1" spans="1:21" ht="18.75" thickBot="1">
      <c r="A1" s="704" t="s">
        <v>114</v>
      </c>
      <c r="B1" s="705"/>
      <c r="C1" s="706"/>
      <c r="D1" s="706"/>
      <c r="E1" s="706"/>
      <c r="F1" s="706"/>
      <c r="G1" s="706"/>
      <c r="H1" s="706"/>
      <c r="I1" s="706"/>
      <c r="J1" s="706"/>
      <c r="K1" s="706"/>
      <c r="L1" s="706"/>
      <c r="M1" s="706"/>
      <c r="N1" s="706"/>
      <c r="O1" s="706"/>
      <c r="P1" s="706"/>
      <c r="Q1" s="706"/>
      <c r="R1" s="127"/>
      <c r="S1" s="127"/>
      <c r="T1" s="127"/>
      <c r="U1" s="127"/>
    </row>
    <row r="2" spans="1:21" ht="18">
      <c r="A2" s="838"/>
      <c r="B2" s="633"/>
      <c r="C2" s="839"/>
      <c r="D2" s="839"/>
      <c r="E2" s="839"/>
      <c r="F2" s="839"/>
      <c r="G2" s="839"/>
      <c r="H2" s="839"/>
      <c r="I2" s="839"/>
      <c r="J2" s="839"/>
      <c r="K2" s="839"/>
      <c r="L2" s="839"/>
      <c r="M2" s="839"/>
      <c r="N2" s="839"/>
      <c r="O2" s="839"/>
      <c r="P2" s="839"/>
      <c r="Q2" s="839"/>
      <c r="R2" s="101"/>
      <c r="S2" s="101"/>
      <c r="T2" s="101"/>
      <c r="U2" s="101"/>
    </row>
    <row r="3" spans="1:21" ht="18">
      <c r="A3" s="838"/>
      <c r="B3" s="633"/>
      <c r="C3" s="839"/>
      <c r="D3" s="839"/>
      <c r="E3" s="839"/>
      <c r="F3" s="839"/>
      <c r="G3" s="839"/>
      <c r="H3" s="839"/>
      <c r="I3" s="839"/>
      <c r="J3" s="839"/>
      <c r="K3" s="839"/>
      <c r="L3" s="839"/>
      <c r="M3" s="839"/>
      <c r="N3" s="839"/>
      <c r="O3" s="839"/>
      <c r="P3" s="839"/>
      <c r="Q3" s="839"/>
      <c r="R3" s="101"/>
      <c r="S3" s="101"/>
      <c r="T3" s="101"/>
      <c r="U3" s="101"/>
    </row>
    <row r="4" spans="1:21" ht="18">
      <c r="A4" s="838"/>
      <c r="B4" s="633"/>
      <c r="C4" s="840" t="s">
        <v>818</v>
      </c>
      <c r="D4" s="840" t="s">
        <v>982</v>
      </c>
      <c r="E4" s="839"/>
      <c r="F4" s="839"/>
      <c r="G4" s="906" t="str">
        <f>Orbit!D4</f>
        <v>LEO</v>
      </c>
      <c r="H4" s="839"/>
      <c r="I4" s="839"/>
      <c r="J4" s="225" t="s">
        <v>863</v>
      </c>
      <c r="K4" s="123"/>
      <c r="L4" s="124"/>
      <c r="M4" s="839"/>
      <c r="N4" s="839"/>
      <c r="O4" s="839"/>
      <c r="P4" s="839"/>
      <c r="Q4" s="839"/>
      <c r="R4" s="101"/>
      <c r="S4" s="101"/>
      <c r="T4" s="101"/>
      <c r="U4" s="101"/>
    </row>
    <row r="5" spans="1:21" ht="13.5" customHeight="1">
      <c r="A5" s="838"/>
      <c r="B5" s="633"/>
      <c r="C5" s="839"/>
      <c r="D5" s="839"/>
      <c r="E5" s="839"/>
      <c r="F5" s="839"/>
      <c r="G5" s="839"/>
      <c r="H5" s="839"/>
      <c r="I5" s="839"/>
      <c r="J5" s="839"/>
      <c r="K5" s="839"/>
      <c r="L5" s="839"/>
      <c r="M5" s="839"/>
      <c r="N5" s="839"/>
      <c r="O5" s="839"/>
      <c r="P5" s="839"/>
      <c r="Q5" s="839"/>
      <c r="R5" s="101"/>
      <c r="S5" s="101"/>
      <c r="T5" s="101"/>
      <c r="U5" s="101"/>
    </row>
    <row r="6" spans="1:21" ht="13.5" customHeight="1">
      <c r="A6" s="838"/>
      <c r="B6" s="633"/>
      <c r="C6" s="840" t="s">
        <v>382</v>
      </c>
      <c r="D6" s="839"/>
      <c r="E6" s="839"/>
      <c r="F6" s="839"/>
      <c r="G6" s="907">
        <f>Orbit!G4</f>
        <v>1454.4339505997034</v>
      </c>
      <c r="H6" s="857" t="s">
        <v>823</v>
      </c>
      <c r="I6" s="839"/>
      <c r="J6" s="839"/>
      <c r="K6" s="839"/>
      <c r="L6" s="839"/>
      <c r="M6" s="839"/>
      <c r="N6" s="839"/>
      <c r="O6" s="839"/>
      <c r="P6" s="839"/>
      <c r="Q6" s="839"/>
      <c r="R6" s="101"/>
      <c r="S6" s="101"/>
      <c r="T6" s="101"/>
      <c r="U6" s="101"/>
    </row>
    <row r="7" spans="1:21" ht="13.5" customHeight="1">
      <c r="A7" s="838"/>
      <c r="B7" s="242" t="s">
        <v>140</v>
      </c>
      <c r="C7" s="839"/>
      <c r="D7" s="839"/>
      <c r="E7" s="839"/>
      <c r="F7" s="839"/>
      <c r="G7" s="839"/>
      <c r="H7" s="839"/>
      <c r="I7" s="839"/>
      <c r="J7" s="839"/>
      <c r="K7" s="839"/>
      <c r="L7" s="839"/>
      <c r="M7" s="839"/>
      <c r="N7" s="839"/>
      <c r="O7" s="839"/>
      <c r="P7" s="839"/>
      <c r="Q7" s="839"/>
      <c r="R7" s="101"/>
      <c r="S7" s="101"/>
      <c r="T7" s="101"/>
      <c r="U7" s="101"/>
    </row>
    <row r="8" spans="1:21" ht="13.5" customHeight="1">
      <c r="A8" s="838"/>
      <c r="B8" s="633"/>
      <c r="C8" s="839"/>
      <c r="D8" s="839"/>
      <c r="E8" s="839"/>
      <c r="F8" s="839"/>
      <c r="G8" s="839"/>
      <c r="H8" s="839"/>
      <c r="I8" s="839"/>
      <c r="J8" s="839"/>
      <c r="K8" s="839"/>
      <c r="L8" s="839"/>
      <c r="M8" s="839"/>
      <c r="N8" s="839"/>
      <c r="O8" s="839"/>
      <c r="P8" s="839"/>
      <c r="Q8" s="839"/>
      <c r="R8" s="101"/>
      <c r="S8" s="101"/>
      <c r="T8" s="101"/>
      <c r="U8" s="101"/>
    </row>
    <row r="9" spans="1:21" ht="13.5" thickBot="1">
      <c r="A9" s="3" t="s">
        <v>818</v>
      </c>
      <c r="B9" s="221" t="s">
        <v>945</v>
      </c>
      <c r="C9" s="50" t="s">
        <v>856</v>
      </c>
      <c r="D9" s="3"/>
      <c r="E9" s="50" t="s">
        <v>943</v>
      </c>
      <c r="F9" s="3"/>
      <c r="G9" s="50" t="s">
        <v>859</v>
      </c>
      <c r="H9" s="3"/>
      <c r="I9" s="3"/>
      <c r="J9" s="3"/>
      <c r="K9" s="3"/>
      <c r="L9" s="3"/>
      <c r="M9" s="3"/>
      <c r="N9" s="3"/>
      <c r="O9" s="3"/>
      <c r="P9" s="3"/>
      <c r="Q9" s="3"/>
      <c r="R9" s="3"/>
      <c r="S9" s="3"/>
      <c r="T9" s="3"/>
      <c r="U9" s="3"/>
    </row>
    <row r="10" spans="1:21" ht="13.5" thickBot="1">
      <c r="A10" s="843" t="s">
        <v>861</v>
      </c>
      <c r="B10" s="220" t="s">
        <v>111</v>
      </c>
      <c r="C10" s="224">
        <v>145.80000000000001</v>
      </c>
      <c r="D10" s="124" t="s">
        <v>857</v>
      </c>
      <c r="E10" s="32">
        <f>299.8/C10</f>
        <v>2.056241426611797</v>
      </c>
      <c r="F10" s="3" t="s">
        <v>858</v>
      </c>
      <c r="G10" s="33">
        <f>22+20*LOG10(($G$6*1000)/E10)</f>
        <v>138.99239798253504</v>
      </c>
      <c r="H10" s="3" t="s">
        <v>860</v>
      </c>
      <c r="I10" s="3" t="s">
        <v>116</v>
      </c>
      <c r="J10" s="3"/>
      <c r="K10" s="3"/>
      <c r="L10" s="396">
        <v>4</v>
      </c>
      <c r="M10" s="223">
        <f>INDEX(C10:C13,L10,1)</f>
        <v>1265</v>
      </c>
      <c r="N10" s="222" t="s">
        <v>857</v>
      </c>
      <c r="O10" s="3"/>
      <c r="P10" s="3"/>
      <c r="Q10" s="3"/>
      <c r="R10" s="3"/>
      <c r="S10" s="3"/>
      <c r="T10" s="3"/>
      <c r="U10" s="3"/>
    </row>
    <row r="11" spans="1:21">
      <c r="A11" s="50"/>
      <c r="B11" s="220" t="s">
        <v>112</v>
      </c>
      <c r="C11" s="224">
        <v>437.5</v>
      </c>
      <c r="D11" s="124" t="s">
        <v>857</v>
      </c>
      <c r="E11" s="32">
        <f t="shared" ref="E11:E18" si="0">299.8/C11</f>
        <v>0.6852571428571429</v>
      </c>
      <c r="F11" s="3" t="s">
        <v>858</v>
      </c>
      <c r="G11" s="33">
        <f>22+20*LOG10(($G$6*1000)/E11)</f>
        <v>148.53680865006257</v>
      </c>
      <c r="H11" s="3" t="s">
        <v>860</v>
      </c>
      <c r="I11" s="3"/>
      <c r="J11" s="3"/>
      <c r="K11" s="3"/>
      <c r="L11" s="3"/>
      <c r="M11" s="3"/>
      <c r="N11" s="3"/>
      <c r="O11" s="3"/>
      <c r="P11" s="3"/>
      <c r="Q11" s="3"/>
      <c r="R11" s="3"/>
      <c r="S11" s="3"/>
      <c r="T11" s="3"/>
      <c r="U11" s="3"/>
    </row>
    <row r="12" spans="1:21">
      <c r="A12" s="50"/>
      <c r="B12" s="220" t="s">
        <v>113</v>
      </c>
      <c r="C12" s="224">
        <v>1269.9000000000001</v>
      </c>
      <c r="D12" s="124" t="s">
        <v>857</v>
      </c>
      <c r="E12" s="32">
        <f t="shared" si="0"/>
        <v>0.23608158122686826</v>
      </c>
      <c r="F12" s="3" t="s">
        <v>858</v>
      </c>
      <c r="G12" s="33">
        <f>22+20*LOG10(($G$6*1000)/E12)</f>
        <v>157.79263796676938</v>
      </c>
      <c r="H12" s="3" t="s">
        <v>860</v>
      </c>
      <c r="I12" s="3" t="s">
        <v>90</v>
      </c>
      <c r="J12" s="3"/>
      <c r="K12" s="3"/>
      <c r="L12" s="3"/>
      <c r="M12" s="841">
        <f>INDEX(G10:G13,L10,1)</f>
        <v>157.75905801313266</v>
      </c>
      <c r="N12" s="842" t="s">
        <v>860</v>
      </c>
      <c r="O12" s="3"/>
      <c r="P12" s="3"/>
      <c r="Q12" s="3"/>
      <c r="R12" s="3"/>
      <c r="S12" s="3"/>
      <c r="T12" s="3"/>
      <c r="U12" s="3"/>
    </row>
    <row r="13" spans="1:21">
      <c r="A13" s="229" t="s">
        <v>118</v>
      </c>
      <c r="B13" s="220" t="s">
        <v>117</v>
      </c>
      <c r="C13" s="226">
        <v>1265</v>
      </c>
      <c r="D13" s="227" t="s">
        <v>857</v>
      </c>
      <c r="E13" s="32">
        <f>299.8/C13</f>
        <v>0.23699604743083005</v>
      </c>
      <c r="F13" s="3" t="s">
        <v>858</v>
      </c>
      <c r="G13" s="33">
        <f>22+20*LOG10(($G$6*1000)/E13)</f>
        <v>157.75905801313266</v>
      </c>
      <c r="H13" s="3" t="s">
        <v>860</v>
      </c>
      <c r="I13" s="3"/>
      <c r="J13" s="3"/>
      <c r="K13" s="3"/>
      <c r="L13" s="3"/>
      <c r="M13" s="3"/>
      <c r="N13" s="3"/>
      <c r="O13" s="3"/>
      <c r="P13" s="3"/>
      <c r="Q13" s="3"/>
      <c r="R13" s="3"/>
      <c r="S13" s="3"/>
      <c r="T13" s="3"/>
      <c r="U13" s="3"/>
    </row>
    <row r="14" spans="1:21">
      <c r="A14" s="50"/>
      <c r="B14" s="220"/>
      <c r="C14" s="65"/>
      <c r="D14" s="3"/>
      <c r="E14" s="32" t="s">
        <v>818</v>
      </c>
      <c r="F14" s="3"/>
      <c r="G14" s="33"/>
      <c r="H14" s="3"/>
      <c r="I14" s="847"/>
      <c r="J14" s="101"/>
      <c r="K14" s="101"/>
      <c r="L14" s="3"/>
      <c r="M14" s="3"/>
      <c r="N14" s="3"/>
      <c r="O14" s="3"/>
      <c r="P14" s="3"/>
      <c r="Q14" s="3"/>
      <c r="R14" s="3"/>
      <c r="S14" s="3"/>
      <c r="T14" s="3"/>
      <c r="U14" s="3"/>
    </row>
    <row r="15" spans="1:21" ht="13.5" thickBot="1">
      <c r="A15" s="3"/>
      <c r="B15" s="79"/>
      <c r="C15" s="219" t="s">
        <v>818</v>
      </c>
      <c r="D15" s="3"/>
      <c r="E15" s="32" t="s">
        <v>818</v>
      </c>
      <c r="F15" s="3"/>
      <c r="G15" s="3"/>
      <c r="H15" s="3"/>
      <c r="I15" s="34" t="s">
        <v>818</v>
      </c>
      <c r="J15" s="3"/>
      <c r="K15" s="3"/>
      <c r="L15" s="3"/>
      <c r="M15" s="3"/>
      <c r="N15" s="3"/>
      <c r="O15" s="3"/>
      <c r="P15" s="3"/>
      <c r="Q15" s="3"/>
      <c r="R15" s="3"/>
      <c r="S15" s="3"/>
      <c r="T15" s="3"/>
      <c r="U15" s="3"/>
    </row>
    <row r="16" spans="1:21" ht="13.5" thickBot="1">
      <c r="A16" s="843" t="s">
        <v>862</v>
      </c>
      <c r="B16" s="220" t="s">
        <v>111</v>
      </c>
      <c r="C16" s="224">
        <v>145.80000000000001</v>
      </c>
      <c r="D16" s="124" t="s">
        <v>857</v>
      </c>
      <c r="E16" s="32">
        <f t="shared" si="0"/>
        <v>2.056241426611797</v>
      </c>
      <c r="F16" s="3" t="s">
        <v>858</v>
      </c>
      <c r="G16" s="33">
        <f>22+20*LOG10(($G$6*1000)/E16)</f>
        <v>138.99239798253504</v>
      </c>
      <c r="H16" s="3" t="s">
        <v>860</v>
      </c>
      <c r="I16" s="3" t="s">
        <v>115</v>
      </c>
      <c r="J16" s="3"/>
      <c r="K16" s="3"/>
      <c r="L16" s="396">
        <v>4</v>
      </c>
      <c r="M16" s="223">
        <f>INDEX(C16:C19,L16,1)</f>
        <v>436.5</v>
      </c>
      <c r="N16" s="222" t="s">
        <v>857</v>
      </c>
      <c r="O16" s="3"/>
      <c r="P16" s="3"/>
      <c r="Q16" s="3"/>
      <c r="R16" s="3"/>
      <c r="S16" s="3"/>
      <c r="T16" s="3"/>
      <c r="U16" s="3"/>
    </row>
    <row r="17" spans="1:21">
      <c r="A17" s="3"/>
      <c r="B17" s="221" t="s">
        <v>112</v>
      </c>
      <c r="C17" s="224">
        <v>437.45</v>
      </c>
      <c r="D17" s="124" t="s">
        <v>857</v>
      </c>
      <c r="E17" s="32">
        <f t="shared" si="0"/>
        <v>0.68533546691050407</v>
      </c>
      <c r="F17" s="3" t="s">
        <v>858</v>
      </c>
      <c r="G17" s="33">
        <f>22+20*LOG10(($G$6*1000)/E17)</f>
        <v>148.53581592023258</v>
      </c>
      <c r="H17" s="3" t="s">
        <v>860</v>
      </c>
      <c r="I17" s="3"/>
      <c r="J17" s="3"/>
      <c r="K17" s="3"/>
      <c r="L17" s="3"/>
      <c r="M17" s="3"/>
      <c r="N17" s="3"/>
      <c r="O17" s="3"/>
      <c r="P17" s="3"/>
      <c r="Q17" s="3"/>
      <c r="R17" s="3"/>
      <c r="S17" s="3"/>
      <c r="T17" s="3"/>
      <c r="U17" s="3"/>
    </row>
    <row r="18" spans="1:21">
      <c r="A18" s="3"/>
      <c r="B18" s="221" t="s">
        <v>113</v>
      </c>
      <c r="C18" s="224">
        <v>2405</v>
      </c>
      <c r="D18" s="124" t="s">
        <v>857</v>
      </c>
      <c r="E18" s="32">
        <f t="shared" si="0"/>
        <v>0.12465696465696466</v>
      </c>
      <c r="F18" s="3" t="s">
        <v>858</v>
      </c>
      <c r="G18" s="33">
        <f>22+20*LOG10(($G$6*1000)/E18)</f>
        <v>163.33954911709293</v>
      </c>
      <c r="H18" s="3" t="s">
        <v>860</v>
      </c>
      <c r="I18" s="3" t="s">
        <v>90</v>
      </c>
      <c r="J18" s="3"/>
      <c r="K18" s="3"/>
      <c r="L18" s="3"/>
      <c r="M18" s="841">
        <f>INDEX(G16:G19,L16,1)</f>
        <v>148.5169324637277</v>
      </c>
      <c r="N18" s="842" t="s">
        <v>860</v>
      </c>
      <c r="O18" s="3"/>
      <c r="P18" s="3"/>
      <c r="Q18" s="3"/>
      <c r="R18" s="3"/>
      <c r="S18" s="3"/>
      <c r="T18" s="3"/>
      <c r="U18" s="3"/>
    </row>
    <row r="19" spans="1:21">
      <c r="A19" s="229" t="s">
        <v>118</v>
      </c>
      <c r="B19" s="221" t="s">
        <v>117</v>
      </c>
      <c r="C19" s="228">
        <v>436.5</v>
      </c>
      <c r="D19" s="227" t="s">
        <v>857</v>
      </c>
      <c r="E19" s="32">
        <f>299.8/C19</f>
        <v>0.6868270332187858</v>
      </c>
      <c r="F19" s="3" t="s">
        <v>858</v>
      </c>
      <c r="G19" s="33">
        <f>22+20*LOG10(($G$6*1000)/E19)</f>
        <v>148.5169324637277</v>
      </c>
      <c r="H19" s="3" t="s">
        <v>860</v>
      </c>
      <c r="I19" s="3" t="s">
        <v>818</v>
      </c>
      <c r="J19" s="3"/>
      <c r="K19" s="3"/>
      <c r="L19" s="3"/>
      <c r="M19" s="3"/>
      <c r="N19" s="3"/>
      <c r="O19" s="3"/>
      <c r="P19" s="3"/>
      <c r="Q19" s="3"/>
      <c r="R19" s="3"/>
      <c r="S19" s="3"/>
      <c r="T19" s="3"/>
      <c r="U19" s="3"/>
    </row>
    <row r="20" spans="1:21">
      <c r="A20" s="3"/>
      <c r="B20" s="3"/>
      <c r="C20" s="3"/>
      <c r="D20" s="3"/>
      <c r="E20" s="3" t="s">
        <v>818</v>
      </c>
      <c r="F20" s="3"/>
      <c r="G20" s="3"/>
      <c r="H20" s="3"/>
      <c r="I20" s="3"/>
      <c r="J20" s="3" t="s">
        <v>818</v>
      </c>
      <c r="K20" s="3"/>
      <c r="L20" s="3"/>
      <c r="M20" s="3"/>
      <c r="N20" s="3"/>
      <c r="O20" s="3"/>
      <c r="P20" s="3"/>
      <c r="Q20" s="3"/>
      <c r="R20" s="3"/>
      <c r="S20" s="3"/>
      <c r="T20" s="3"/>
      <c r="U20" s="3"/>
    </row>
    <row r="21" spans="1:21">
      <c r="A21" s="3" t="s">
        <v>818</v>
      </c>
      <c r="B21" s="3"/>
      <c r="C21" s="3"/>
      <c r="D21" s="3"/>
      <c r="E21" s="3"/>
      <c r="F21" s="3"/>
      <c r="G21" s="3"/>
      <c r="H21" s="3"/>
      <c r="I21" s="3"/>
      <c r="J21" s="3"/>
      <c r="K21" s="3"/>
      <c r="L21" s="3"/>
      <c r="M21" s="3"/>
      <c r="N21" s="3"/>
      <c r="O21" s="3"/>
      <c r="P21" s="3"/>
      <c r="Q21" s="3"/>
      <c r="R21" s="3"/>
      <c r="S21" s="3"/>
      <c r="T21" s="3"/>
      <c r="U21" s="3"/>
    </row>
    <row r="22" spans="1:21">
      <c r="A22" s="3"/>
      <c r="B22" s="31" t="s">
        <v>818</v>
      </c>
      <c r="C22" s="3"/>
      <c r="D22" s="3"/>
      <c r="E22" s="3"/>
      <c r="F22" s="3"/>
      <c r="G22" s="3"/>
      <c r="H22" s="3" t="s">
        <v>818</v>
      </c>
      <c r="I22" s="3"/>
      <c r="J22" s="3"/>
      <c r="K22" s="3"/>
      <c r="L22" s="3"/>
      <c r="M22" s="3"/>
      <c r="N22" s="3"/>
      <c r="O22" s="3"/>
      <c r="P22" s="3"/>
      <c r="Q22" s="3"/>
      <c r="R22" s="3"/>
      <c r="S22" s="3"/>
      <c r="T22" s="3"/>
      <c r="U22" s="3"/>
    </row>
    <row r="23" spans="1:21">
      <c r="A23" s="3"/>
      <c r="B23" s="3" t="s">
        <v>818</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818</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4"/>
  <sheetViews>
    <sheetView zoomScale="150" zoomScaleNormal="150" workbookViewId="0">
      <selection activeCell="K15" sqref="K15"/>
    </sheetView>
  </sheetViews>
  <sheetFormatPr defaultColWidth="8.85546875" defaultRowHeight="12.75"/>
  <cols>
    <col min="4" max="4" width="23.42578125" customWidth="1"/>
    <col min="5" max="5" width="9.5703125" bestFit="1" customWidth="1"/>
    <col min="6" max="6" width="9.42578125" customWidth="1"/>
    <col min="7" max="7" width="9" customWidth="1"/>
    <col min="9" max="9" width="10.5703125" customWidth="1"/>
  </cols>
  <sheetData>
    <row r="1" spans="1:16" ht="18.75" thickBot="1">
      <c r="A1" s="125" t="s">
        <v>177</v>
      </c>
      <c r="B1" s="127"/>
      <c r="C1" s="127"/>
      <c r="D1" s="127"/>
      <c r="E1" s="127"/>
      <c r="F1" s="688" t="str">
        <f>'Title Page'!F3</f>
        <v>OreSat - CS0</v>
      </c>
      <c r="G1" s="127"/>
      <c r="H1" s="127"/>
      <c r="I1" s="127"/>
      <c r="J1" s="687" t="str">
        <f>'Title Page'!F23</f>
        <v>2018 October 19</v>
      </c>
      <c r="K1" s="127"/>
      <c r="L1" s="127"/>
      <c r="M1" s="127"/>
      <c r="N1" s="127"/>
      <c r="O1" s="127"/>
      <c r="P1" s="127"/>
    </row>
    <row r="2" spans="1:16">
      <c r="A2" s="3"/>
      <c r="B2" s="3"/>
      <c r="C2" s="3"/>
      <c r="D2" s="3"/>
      <c r="E2" s="3" t="s">
        <v>818</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75">
      <c r="A4" s="3"/>
      <c r="B4" s="273" t="s">
        <v>157</v>
      </c>
      <c r="C4" s="189"/>
      <c r="D4" s="189"/>
      <c r="E4" s="189"/>
      <c r="F4" s="189"/>
      <c r="G4" s="190"/>
      <c r="H4" s="3"/>
      <c r="I4" s="3"/>
      <c r="J4" s="540"/>
      <c r="K4" s="3"/>
      <c r="L4" s="3"/>
      <c r="M4" s="3"/>
      <c r="N4" s="3"/>
      <c r="O4" s="3"/>
      <c r="P4" s="3"/>
    </row>
    <row r="5" spans="1:16" ht="15.75">
      <c r="A5" s="3"/>
      <c r="B5" s="634"/>
      <c r="C5" s="101"/>
      <c r="D5" s="101"/>
      <c r="E5" s="101"/>
      <c r="F5" s="101"/>
      <c r="G5" s="101"/>
      <c r="H5" s="3"/>
      <c r="I5" s="3"/>
      <c r="J5" s="540"/>
      <c r="K5" s="3"/>
      <c r="L5" s="3"/>
      <c r="M5" s="3"/>
      <c r="N5" s="3"/>
      <c r="O5" s="3"/>
      <c r="P5" s="3"/>
    </row>
    <row r="6" spans="1:16">
      <c r="A6" s="3"/>
      <c r="B6" s="351" t="s">
        <v>278</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c r="A8" s="3"/>
      <c r="B8" s="3"/>
      <c r="C8" s="359" t="s">
        <v>159</v>
      </c>
      <c r="D8" s="333"/>
      <c r="E8" s="333"/>
      <c r="F8" s="333"/>
      <c r="G8" s="333"/>
      <c r="H8" s="333"/>
      <c r="I8" s="333"/>
      <c r="J8" s="333"/>
      <c r="K8" s="995" t="s">
        <v>1087</v>
      </c>
      <c r="L8" s="3"/>
      <c r="M8" s="3"/>
      <c r="N8" s="3"/>
      <c r="O8" s="3"/>
      <c r="P8" s="3"/>
    </row>
    <row r="9" spans="1:16">
      <c r="A9" s="3"/>
      <c r="B9" s="3"/>
      <c r="C9" s="334"/>
      <c r="D9" s="335"/>
      <c r="E9" s="335"/>
      <c r="F9" s="335"/>
      <c r="G9" s="335"/>
      <c r="H9" s="335"/>
      <c r="I9" s="335"/>
      <c r="J9" s="335"/>
      <c r="K9" s="324"/>
      <c r="L9" s="3"/>
      <c r="M9" s="3"/>
      <c r="N9" s="3"/>
      <c r="O9" s="3"/>
      <c r="P9" s="3"/>
    </row>
    <row r="10" spans="1:16">
      <c r="A10" s="3"/>
      <c r="B10" s="3"/>
      <c r="C10" s="334"/>
      <c r="D10" s="335"/>
      <c r="E10" s="335"/>
      <c r="F10" s="335"/>
      <c r="G10" s="335"/>
      <c r="H10" s="335"/>
      <c r="I10" s="335"/>
      <c r="J10" s="335"/>
      <c r="K10" s="324"/>
      <c r="L10" s="3"/>
      <c r="M10" s="3"/>
      <c r="N10" s="3"/>
      <c r="O10" s="3"/>
      <c r="P10" s="3"/>
    </row>
    <row r="11" spans="1:16">
      <c r="A11" s="3"/>
      <c r="B11" s="3"/>
      <c r="C11" s="334"/>
      <c r="D11" s="335"/>
      <c r="E11" s="335"/>
      <c r="F11" s="335" t="s">
        <v>180</v>
      </c>
      <c r="G11" s="335"/>
      <c r="H11" s="335" t="s">
        <v>181</v>
      </c>
      <c r="I11" s="335"/>
      <c r="J11" s="335" t="s">
        <v>179</v>
      </c>
      <c r="K11" s="324"/>
      <c r="L11" s="3"/>
      <c r="M11" s="3"/>
      <c r="N11" s="3"/>
      <c r="O11" s="3"/>
      <c r="P11" s="3"/>
    </row>
    <row r="12" spans="1:16">
      <c r="A12" s="3"/>
      <c r="B12" s="3"/>
      <c r="C12" s="334"/>
      <c r="D12" s="335"/>
      <c r="E12" s="335"/>
      <c r="F12" s="335"/>
      <c r="G12" s="335"/>
      <c r="H12" s="335"/>
      <c r="I12" s="335"/>
      <c r="J12" s="335"/>
      <c r="K12" s="324"/>
      <c r="L12" s="3"/>
      <c r="M12" s="3"/>
      <c r="N12" s="3"/>
      <c r="O12" s="3"/>
      <c r="P12" s="3"/>
    </row>
    <row r="13" spans="1:16">
      <c r="A13" s="3"/>
      <c r="B13" s="3"/>
      <c r="C13" s="334"/>
      <c r="D13" s="335"/>
      <c r="E13" s="335"/>
      <c r="F13" s="335"/>
      <c r="G13" s="335"/>
      <c r="H13" s="335"/>
      <c r="I13" s="335"/>
      <c r="J13" s="335"/>
      <c r="K13" s="324"/>
      <c r="L13" s="3"/>
      <c r="M13" s="3"/>
      <c r="N13" s="3"/>
      <c r="O13" s="3"/>
      <c r="P13" s="3"/>
    </row>
    <row r="14" spans="1:16">
      <c r="A14" s="3"/>
      <c r="B14" s="3"/>
      <c r="C14" s="334"/>
      <c r="D14" s="335"/>
      <c r="E14" s="335"/>
      <c r="F14" s="335"/>
      <c r="G14" s="335"/>
      <c r="H14" s="335"/>
      <c r="I14" s="335"/>
      <c r="J14" s="335"/>
      <c r="K14" s="324"/>
      <c r="L14" s="3"/>
      <c r="M14" s="3"/>
      <c r="N14" s="3"/>
      <c r="O14" s="3"/>
      <c r="P14" s="3"/>
    </row>
    <row r="15" spans="1:16">
      <c r="A15" s="3"/>
      <c r="B15" s="3"/>
      <c r="C15" s="334"/>
      <c r="D15" s="335"/>
      <c r="E15" s="335"/>
      <c r="F15" s="335"/>
      <c r="G15" s="335"/>
      <c r="H15" s="335"/>
      <c r="I15" s="335"/>
      <c r="J15" s="335"/>
      <c r="K15" s="324"/>
      <c r="L15" s="3"/>
      <c r="M15" s="3"/>
      <c r="N15" s="3"/>
      <c r="O15" s="3"/>
      <c r="P15" s="3"/>
    </row>
    <row r="16" spans="1:16">
      <c r="A16" s="3"/>
      <c r="B16" s="3"/>
      <c r="C16" s="334" t="s">
        <v>160</v>
      </c>
      <c r="D16" s="335"/>
      <c r="E16" s="347">
        <v>5</v>
      </c>
      <c r="F16" s="335" t="s">
        <v>161</v>
      </c>
      <c r="G16" s="415">
        <f>10*LOG10(E16)</f>
        <v>6.9897000433601884</v>
      </c>
      <c r="H16" s="335" t="s">
        <v>162</v>
      </c>
      <c r="I16" s="329">
        <f>G16+30</f>
        <v>36.989700043360187</v>
      </c>
      <c r="J16" s="335" t="s">
        <v>886</v>
      </c>
      <c r="K16" s="324" t="s">
        <v>818</v>
      </c>
      <c r="L16" s="3"/>
      <c r="M16" s="3"/>
      <c r="N16" s="3"/>
      <c r="O16" s="3"/>
      <c r="P16" s="3"/>
    </row>
    <row r="17" spans="1:16">
      <c r="A17" s="3"/>
      <c r="B17" s="3"/>
      <c r="C17" s="334"/>
      <c r="D17" s="335"/>
      <c r="E17" s="335"/>
      <c r="F17" s="335"/>
      <c r="G17" s="335"/>
      <c r="H17" s="335"/>
      <c r="I17" s="335"/>
      <c r="J17" s="335"/>
      <c r="K17" s="324"/>
      <c r="L17" s="3"/>
      <c r="M17" s="3"/>
      <c r="N17" s="3"/>
      <c r="O17" s="3"/>
      <c r="P17" s="3"/>
    </row>
    <row r="18" spans="1:16">
      <c r="A18" s="3"/>
      <c r="B18" s="3"/>
      <c r="C18" s="334" t="s">
        <v>220</v>
      </c>
      <c r="D18" s="335"/>
      <c r="E18" s="335"/>
      <c r="F18" s="335" t="s">
        <v>818</v>
      </c>
      <c r="G18" s="335"/>
      <c r="H18" s="335"/>
      <c r="I18" s="335"/>
      <c r="J18" s="335"/>
      <c r="K18" s="324"/>
      <c r="L18" s="3"/>
      <c r="M18" s="3"/>
      <c r="N18" s="3"/>
      <c r="O18" s="3"/>
      <c r="P18" s="3"/>
    </row>
    <row r="19" spans="1:16">
      <c r="A19" s="3"/>
      <c r="B19" s="3"/>
      <c r="C19" s="334"/>
      <c r="D19" s="984" t="s">
        <v>182</v>
      </c>
      <c r="E19" s="533" t="s">
        <v>1076</v>
      </c>
      <c r="F19" s="985"/>
      <c r="G19" s="335"/>
      <c r="H19" s="335"/>
      <c r="I19" s="347">
        <v>0.3</v>
      </c>
      <c r="J19" s="335" t="s">
        <v>858</v>
      </c>
      <c r="K19" s="324"/>
      <c r="L19" s="3"/>
      <c r="M19" s="3"/>
      <c r="N19" s="3"/>
      <c r="O19" s="3"/>
      <c r="P19" s="3"/>
    </row>
    <row r="20" spans="1:16">
      <c r="A20" s="3"/>
      <c r="B20" s="3"/>
      <c r="C20" s="334"/>
      <c r="D20" s="984" t="s">
        <v>183</v>
      </c>
      <c r="E20" s="533" t="s">
        <v>1076</v>
      </c>
      <c r="F20" s="985"/>
      <c r="G20" s="335"/>
      <c r="H20" s="335"/>
      <c r="I20" s="347">
        <v>0.61</v>
      </c>
      <c r="J20" s="335" t="s">
        <v>858</v>
      </c>
      <c r="K20" s="324"/>
      <c r="L20" s="3"/>
      <c r="M20" s="3"/>
      <c r="N20" s="3"/>
      <c r="O20" s="3"/>
      <c r="P20" s="3"/>
    </row>
    <row r="21" spans="1:16">
      <c r="A21" s="3"/>
      <c r="B21" s="3"/>
      <c r="C21" s="334"/>
      <c r="D21" s="984" t="s">
        <v>184</v>
      </c>
      <c r="E21" s="533" t="s">
        <v>1082</v>
      </c>
      <c r="F21" s="985"/>
      <c r="G21" s="335"/>
      <c r="H21" s="335"/>
      <c r="I21" s="347">
        <v>6</v>
      </c>
      <c r="J21" s="335" t="s">
        <v>858</v>
      </c>
      <c r="K21" s="324"/>
      <c r="L21" s="3"/>
      <c r="M21" s="3"/>
      <c r="N21" s="3"/>
      <c r="O21" s="3"/>
      <c r="P21" s="3"/>
    </row>
    <row r="22" spans="1:16">
      <c r="A22" s="3"/>
      <c r="B22" s="3"/>
      <c r="C22" s="334"/>
      <c r="D22" s="335"/>
      <c r="E22" s="335"/>
      <c r="F22" s="335" t="s">
        <v>818</v>
      </c>
      <c r="G22" s="335"/>
      <c r="H22" s="335"/>
      <c r="I22" s="335"/>
      <c r="J22" s="335" t="s">
        <v>818</v>
      </c>
      <c r="K22" s="324"/>
      <c r="L22" s="3"/>
      <c r="M22" s="3"/>
      <c r="N22" s="3"/>
      <c r="O22" s="3"/>
      <c r="P22" s="3"/>
    </row>
    <row r="23" spans="1:16">
      <c r="A23" s="3"/>
      <c r="B23" s="3"/>
      <c r="C23" s="334"/>
      <c r="D23" s="335" t="s">
        <v>188</v>
      </c>
      <c r="E23" s="335"/>
      <c r="F23" s="335" t="s">
        <v>818</v>
      </c>
      <c r="G23" s="335"/>
      <c r="H23" s="335"/>
      <c r="I23" s="711">
        <f>SUM(I19:I21)</f>
        <v>6.91</v>
      </c>
      <c r="J23" s="335" t="s">
        <v>858</v>
      </c>
      <c r="K23" s="324"/>
      <c r="L23" s="3"/>
      <c r="M23" s="3"/>
      <c r="N23" s="3"/>
      <c r="O23" s="3"/>
      <c r="P23" s="3"/>
    </row>
    <row r="24" spans="1:16">
      <c r="A24" s="3"/>
      <c r="B24" s="3"/>
      <c r="C24" s="334"/>
      <c r="D24" s="335"/>
      <c r="E24" s="335"/>
      <c r="F24" s="335"/>
      <c r="G24" s="335"/>
      <c r="H24" s="335"/>
      <c r="I24" s="711"/>
      <c r="J24" s="335"/>
      <c r="K24" s="324"/>
      <c r="L24" s="3"/>
      <c r="M24" s="3"/>
      <c r="N24" s="3"/>
      <c r="O24" s="3"/>
      <c r="P24" s="3"/>
    </row>
    <row r="25" spans="1:16">
      <c r="A25" s="3"/>
      <c r="B25" s="3"/>
      <c r="C25" s="334"/>
      <c r="D25" s="983" t="s">
        <v>1071</v>
      </c>
      <c r="E25" s="335"/>
      <c r="F25" s="335"/>
      <c r="G25" s="335"/>
      <c r="H25" s="335"/>
      <c r="I25" s="335"/>
      <c r="J25" s="335"/>
      <c r="K25" s="324"/>
      <c r="L25" s="3"/>
      <c r="M25" s="3"/>
      <c r="N25" s="3"/>
      <c r="O25" s="3"/>
      <c r="P25" s="3"/>
    </row>
    <row r="26" spans="1:16">
      <c r="A26" s="3"/>
      <c r="B26" s="3"/>
      <c r="C26" s="334"/>
      <c r="D26" s="335" t="s">
        <v>1072</v>
      </c>
      <c r="E26" s="992">
        <v>0.49</v>
      </c>
      <c r="F26" s="993" t="s">
        <v>1086</v>
      </c>
      <c r="G26" s="710">
        <f>Frequency!$M$10</f>
        <v>1265</v>
      </c>
      <c r="H26" s="335" t="s">
        <v>174</v>
      </c>
      <c r="I26" s="337">
        <f>I19*E26</f>
        <v>0.14699999999999999</v>
      </c>
      <c r="J26" s="335" t="s">
        <v>860</v>
      </c>
      <c r="K26" s="324"/>
      <c r="L26" s="3"/>
      <c r="M26" s="3"/>
      <c r="N26" s="3"/>
      <c r="O26" s="3"/>
      <c r="P26" s="3"/>
    </row>
    <row r="27" spans="1:16">
      <c r="A27" s="3"/>
      <c r="B27" s="3"/>
      <c r="C27" s="334"/>
      <c r="D27" s="983" t="s">
        <v>1073</v>
      </c>
      <c r="E27" s="992">
        <v>0.49</v>
      </c>
      <c r="F27" s="993" t="s">
        <v>1086</v>
      </c>
      <c r="G27" s="710">
        <f>Frequency!$M$10</f>
        <v>1265</v>
      </c>
      <c r="H27" s="335" t="s">
        <v>174</v>
      </c>
      <c r="I27" s="337">
        <f t="shared" ref="I27:I28" si="0">I20*E27</f>
        <v>0.2989</v>
      </c>
      <c r="J27" s="335" t="s">
        <v>860</v>
      </c>
      <c r="K27" s="324"/>
      <c r="L27" s="3"/>
      <c r="M27" s="3"/>
      <c r="N27" s="3"/>
      <c r="O27" s="3"/>
      <c r="P27" s="3"/>
    </row>
    <row r="28" spans="1:16">
      <c r="A28" s="3"/>
      <c r="B28" s="3"/>
      <c r="C28" s="334"/>
      <c r="D28" s="983" t="s">
        <v>1074</v>
      </c>
      <c r="E28" s="992">
        <v>0.13400000000000001</v>
      </c>
      <c r="F28" s="993" t="s">
        <v>1086</v>
      </c>
      <c r="G28" s="710">
        <f>Frequency!$M$10</f>
        <v>1265</v>
      </c>
      <c r="H28" s="335" t="s">
        <v>174</v>
      </c>
      <c r="I28" s="337">
        <f t="shared" si="0"/>
        <v>0.80400000000000005</v>
      </c>
      <c r="J28" s="335" t="s">
        <v>860</v>
      </c>
      <c r="K28" s="324"/>
      <c r="L28" s="3"/>
      <c r="M28" s="3"/>
      <c r="N28" s="3"/>
      <c r="O28" s="3"/>
      <c r="P28" s="3"/>
    </row>
    <row r="29" spans="1:16">
      <c r="A29" s="3"/>
      <c r="B29" s="3"/>
      <c r="C29" s="334"/>
      <c r="D29" s="335"/>
      <c r="E29" s="339"/>
      <c r="F29" s="335"/>
      <c r="G29" s="337"/>
      <c r="H29" s="335"/>
      <c r="I29" s="337"/>
      <c r="J29" s="335"/>
      <c r="K29" s="324"/>
      <c r="L29" s="3"/>
      <c r="M29" s="712"/>
      <c r="N29" s="3"/>
      <c r="O29" s="3"/>
      <c r="P29" s="3"/>
    </row>
    <row r="30" spans="1:16">
      <c r="A30" s="3"/>
      <c r="B30" s="3"/>
      <c r="C30" s="334"/>
      <c r="D30" s="983" t="s">
        <v>1075</v>
      </c>
      <c r="E30" s="339"/>
      <c r="F30" s="335"/>
      <c r="G30" s="337"/>
      <c r="H30" s="335"/>
      <c r="I30" s="337">
        <f>SUM(I26:I28)</f>
        <v>1.2499</v>
      </c>
      <c r="J30" s="983" t="s">
        <v>860</v>
      </c>
      <c r="K30" s="324"/>
      <c r="L30" s="3"/>
      <c r="M30" s="712"/>
      <c r="N30" s="3"/>
      <c r="O30" s="3"/>
      <c r="P30" s="3"/>
    </row>
    <row r="31" spans="1:16">
      <c r="A31" s="3"/>
      <c r="B31" s="3"/>
      <c r="C31" s="334"/>
      <c r="D31" s="335"/>
      <c r="E31" s="339"/>
      <c r="F31" s="335"/>
      <c r="G31" s="337"/>
      <c r="H31" s="335"/>
      <c r="I31" s="337"/>
      <c r="J31" s="335"/>
      <c r="K31" s="324"/>
      <c r="L31" s="3"/>
      <c r="M31" s="712"/>
      <c r="N31" s="3"/>
      <c r="O31" s="3"/>
      <c r="P31" s="3"/>
    </row>
    <row r="32" spans="1:16">
      <c r="A32" s="3"/>
      <c r="B32" s="3"/>
      <c r="C32" s="334" t="s">
        <v>175</v>
      </c>
      <c r="D32" s="335"/>
      <c r="E32" s="339"/>
      <c r="F32" s="335"/>
      <c r="G32" s="337"/>
      <c r="H32" s="335"/>
      <c r="I32" s="337"/>
      <c r="J32" s="335"/>
      <c r="K32" s="324"/>
      <c r="L32" s="3"/>
      <c r="M32" s="3"/>
      <c r="N32" s="3"/>
      <c r="O32" s="3"/>
      <c r="P32" s="3"/>
    </row>
    <row r="33" spans="1:16">
      <c r="A33" s="3"/>
      <c r="B33" s="3"/>
      <c r="C33" s="334"/>
      <c r="D33" s="335"/>
      <c r="E33" s="339"/>
      <c r="F33" s="335"/>
      <c r="G33" s="337"/>
      <c r="H33" s="335"/>
      <c r="I33" s="337"/>
      <c r="J33" s="335"/>
      <c r="K33" s="324"/>
      <c r="L33" s="3"/>
      <c r="M33" s="3"/>
      <c r="N33" s="3"/>
      <c r="O33" s="3"/>
      <c r="P33" s="3"/>
    </row>
    <row r="34" spans="1:16">
      <c r="A34" s="3"/>
      <c r="B34" s="3"/>
      <c r="C34" s="334"/>
      <c r="D34" s="335" t="s">
        <v>172</v>
      </c>
      <c r="E34" s="265">
        <v>8</v>
      </c>
      <c r="F34" s="983" t="s">
        <v>1083</v>
      </c>
      <c r="G34" s="335"/>
      <c r="H34" s="335"/>
      <c r="I34" s="988">
        <f>E34*0.05</f>
        <v>0.4</v>
      </c>
      <c r="J34" s="335" t="s">
        <v>860</v>
      </c>
      <c r="K34" s="324"/>
      <c r="L34" s="79"/>
      <c r="M34" s="3"/>
      <c r="N34" s="3"/>
      <c r="O34" s="3"/>
      <c r="P34" s="3"/>
    </row>
    <row r="35" spans="1:16">
      <c r="A35" s="3"/>
      <c r="B35" s="3"/>
      <c r="C35" s="334"/>
      <c r="D35" s="335" t="s">
        <v>171</v>
      </c>
      <c r="E35" s="338" t="s">
        <v>192</v>
      </c>
      <c r="F35" s="533" t="s">
        <v>527</v>
      </c>
      <c r="G35" s="378"/>
      <c r="H35" s="335"/>
      <c r="I35" s="347">
        <v>0</v>
      </c>
      <c r="J35" s="335" t="s">
        <v>860</v>
      </c>
      <c r="K35" s="324"/>
      <c r="L35" s="3"/>
      <c r="M35" s="3"/>
      <c r="N35" s="3"/>
      <c r="O35" s="3"/>
      <c r="P35" s="3"/>
    </row>
    <row r="36" spans="1:16">
      <c r="A36" s="3"/>
      <c r="B36" s="3"/>
      <c r="C36" s="334"/>
      <c r="D36" s="335" t="s">
        <v>173</v>
      </c>
      <c r="E36" s="338" t="s">
        <v>192</v>
      </c>
      <c r="F36" s="533" t="s">
        <v>527</v>
      </c>
      <c r="G36" s="378"/>
      <c r="H36" s="335"/>
      <c r="I36" s="347">
        <v>0</v>
      </c>
      <c r="J36" s="335" t="s">
        <v>860</v>
      </c>
      <c r="K36" s="324"/>
      <c r="L36" s="3"/>
      <c r="M36" s="3"/>
      <c r="N36" s="3"/>
      <c r="O36" s="3"/>
      <c r="P36" s="3"/>
    </row>
    <row r="37" spans="1:16">
      <c r="A37" s="3"/>
      <c r="B37" s="3"/>
      <c r="C37" s="334"/>
      <c r="D37" s="335"/>
      <c r="E37" s="338"/>
      <c r="F37" s="340"/>
      <c r="G37" s="335"/>
      <c r="H37" s="335"/>
      <c r="I37" s="336"/>
      <c r="J37" s="335"/>
      <c r="K37" s="324"/>
      <c r="L37" s="3"/>
      <c r="M37" s="3"/>
      <c r="N37" s="3"/>
      <c r="O37" s="3"/>
      <c r="P37" s="3"/>
    </row>
    <row r="38" spans="1:16">
      <c r="A38" s="3"/>
      <c r="B38" s="3"/>
      <c r="C38" s="334"/>
      <c r="D38" s="335" t="s">
        <v>178</v>
      </c>
      <c r="E38" s="335"/>
      <c r="F38" s="335" t="s">
        <v>529</v>
      </c>
      <c r="G38" s="335"/>
      <c r="H38" s="335"/>
      <c r="I38" s="347">
        <v>0.18</v>
      </c>
      <c r="J38" s="335" t="s">
        <v>860</v>
      </c>
      <c r="K38" s="324"/>
      <c r="L38" s="3"/>
      <c r="M38" s="3"/>
      <c r="N38" s="3"/>
      <c r="O38" s="3"/>
      <c r="P38" s="3"/>
    </row>
    <row r="39" spans="1:16">
      <c r="A39" s="3"/>
      <c r="B39" s="3"/>
      <c r="C39" s="334"/>
      <c r="D39" s="335"/>
      <c r="E39" s="335"/>
      <c r="F39" s="335"/>
      <c r="G39" s="335"/>
      <c r="H39" s="335"/>
      <c r="I39" s="336"/>
      <c r="J39" s="335"/>
      <c r="K39" s="324"/>
      <c r="L39" s="3"/>
      <c r="M39" s="3"/>
      <c r="N39" s="3"/>
      <c r="O39" s="3"/>
      <c r="P39" s="3"/>
    </row>
    <row r="40" spans="1:16">
      <c r="A40" s="3"/>
      <c r="B40" s="3"/>
      <c r="C40" s="334" t="s">
        <v>176</v>
      </c>
      <c r="D40" s="335"/>
      <c r="E40" s="335"/>
      <c r="F40" s="335"/>
      <c r="G40" s="335"/>
      <c r="H40" s="335"/>
      <c r="I40" s="734">
        <f>I30+I34+I35+I36+I38</f>
        <v>1.8299000000000001</v>
      </c>
      <c r="J40" s="335" t="s">
        <v>860</v>
      </c>
      <c r="K40" s="324"/>
      <c r="L40" s="3"/>
      <c r="M40" s="3"/>
      <c r="N40" s="3"/>
      <c r="O40" s="3"/>
      <c r="P40" s="3"/>
    </row>
    <row r="41" spans="1:16">
      <c r="A41" s="3"/>
      <c r="B41" s="3"/>
      <c r="C41" s="334"/>
      <c r="D41" s="335"/>
      <c r="E41" s="335"/>
      <c r="F41" s="335"/>
      <c r="G41" s="335"/>
      <c r="H41" s="335"/>
      <c r="I41" s="341"/>
      <c r="J41" s="335"/>
      <c r="K41" s="324"/>
      <c r="L41" s="3"/>
      <c r="M41" s="3"/>
      <c r="N41" s="3"/>
      <c r="O41" s="3"/>
      <c r="P41" s="3"/>
    </row>
    <row r="42" spans="1:16">
      <c r="A42" s="3"/>
      <c r="B42" s="3"/>
      <c r="C42" s="334" t="s">
        <v>190</v>
      </c>
      <c r="D42" s="335"/>
      <c r="E42" s="335"/>
      <c r="F42" s="335"/>
      <c r="G42" s="335"/>
      <c r="H42" s="335"/>
      <c r="I42" s="328">
        <f>G16-I40</f>
        <v>5.159800043360188</v>
      </c>
      <c r="J42" s="335" t="s">
        <v>885</v>
      </c>
      <c r="K42" s="324"/>
      <c r="L42" s="3"/>
      <c r="M42" s="3"/>
      <c r="N42" s="3"/>
      <c r="O42" s="3"/>
      <c r="P42" s="3"/>
    </row>
    <row r="43" spans="1:16">
      <c r="A43" s="3"/>
      <c r="B43" s="3"/>
      <c r="C43" s="342"/>
      <c r="D43" s="343"/>
      <c r="E43" s="343"/>
      <c r="F43" s="343"/>
      <c r="G43" s="343"/>
      <c r="H43" s="343"/>
      <c r="I43" s="343"/>
      <c r="J43" s="343"/>
      <c r="K43" s="344"/>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ht="15.75">
      <c r="A46" s="3"/>
      <c r="B46" s="273" t="s">
        <v>158</v>
      </c>
      <c r="C46" s="189"/>
      <c r="D46" s="189"/>
      <c r="E46" s="189"/>
      <c r="F46" s="189"/>
      <c r="G46" s="190"/>
      <c r="H46" s="3"/>
      <c r="I46" s="3"/>
      <c r="J46" s="3"/>
      <c r="K46" s="3"/>
      <c r="L46" s="3"/>
      <c r="M46" s="3" t="s">
        <v>818</v>
      </c>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70" t="s">
        <v>159</v>
      </c>
      <c r="D49" s="180"/>
      <c r="E49" s="180"/>
      <c r="F49" s="180"/>
      <c r="G49" s="180"/>
      <c r="H49" s="180"/>
      <c r="I49" s="180"/>
      <c r="J49" s="180"/>
      <c r="K49" s="996" t="s">
        <v>1087</v>
      </c>
      <c r="L49" s="3"/>
      <c r="M49" s="3"/>
      <c r="N49" s="3"/>
      <c r="O49" s="3"/>
      <c r="P49" s="3"/>
    </row>
    <row r="50" spans="1:16">
      <c r="A50" s="3"/>
      <c r="B50" s="3"/>
      <c r="C50" s="177"/>
      <c r="D50" s="141"/>
      <c r="E50" s="141"/>
      <c r="F50" s="141"/>
      <c r="G50" s="141"/>
      <c r="H50" s="141"/>
      <c r="I50" s="141"/>
      <c r="J50" s="141"/>
      <c r="K50" s="182"/>
      <c r="L50" s="3"/>
      <c r="M50" s="3"/>
      <c r="N50" s="3"/>
      <c r="O50" s="3"/>
      <c r="P50" s="3"/>
    </row>
    <row r="51" spans="1:16">
      <c r="A51" s="3"/>
      <c r="B51" s="3"/>
      <c r="C51" s="177"/>
      <c r="D51" s="142" t="s">
        <v>187</v>
      </c>
      <c r="E51" s="141"/>
      <c r="F51" s="192" t="s">
        <v>185</v>
      </c>
      <c r="G51" s="141"/>
      <c r="H51" s="141" t="s">
        <v>186</v>
      </c>
      <c r="I51" s="141"/>
      <c r="J51" s="141" t="s">
        <v>179</v>
      </c>
      <c r="K51" s="182"/>
      <c r="L51" s="3"/>
      <c r="M51" s="3"/>
      <c r="N51" s="3"/>
      <c r="O51" s="3"/>
      <c r="P51" s="3"/>
    </row>
    <row r="52" spans="1:16">
      <c r="A52" s="3"/>
      <c r="B52" s="3"/>
      <c r="C52" s="177"/>
      <c r="D52" s="141"/>
      <c r="E52" s="141"/>
      <c r="F52" s="141"/>
      <c r="G52" s="141"/>
      <c r="H52" s="141"/>
      <c r="I52" s="141"/>
      <c r="J52" s="141"/>
      <c r="K52" s="182"/>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1"/>
      <c r="E54" s="141"/>
      <c r="F54" s="141"/>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t="s">
        <v>160</v>
      </c>
      <c r="D57" s="141"/>
      <c r="E57" s="348">
        <v>2</v>
      </c>
      <c r="F57" s="141" t="s">
        <v>161</v>
      </c>
      <c r="G57" s="415">
        <f>10*LOG10(E57)</f>
        <v>3.0102999566398121</v>
      </c>
      <c r="H57" s="141" t="s">
        <v>162</v>
      </c>
      <c r="I57" s="329">
        <f>G57+30</f>
        <v>33.010299956639813</v>
      </c>
      <c r="J57" s="141" t="s">
        <v>886</v>
      </c>
      <c r="K57" s="182" t="s">
        <v>818</v>
      </c>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t="s">
        <v>164</v>
      </c>
      <c r="D59" s="141"/>
      <c r="E59" s="141"/>
      <c r="F59" s="141" t="s">
        <v>818</v>
      </c>
      <c r="G59" s="141"/>
      <c r="H59" s="141"/>
      <c r="I59" s="141"/>
      <c r="J59" s="141"/>
      <c r="K59" s="182"/>
      <c r="L59" s="3"/>
      <c r="M59" s="3"/>
      <c r="N59" s="3"/>
      <c r="O59" s="3"/>
      <c r="P59" s="3"/>
    </row>
    <row r="60" spans="1:16">
      <c r="A60" s="3"/>
      <c r="B60" s="3"/>
      <c r="C60" s="177"/>
      <c r="D60" s="141" t="s">
        <v>182</v>
      </c>
      <c r="E60" s="533" t="s">
        <v>1085</v>
      </c>
      <c r="F60" s="985"/>
      <c r="G60" s="141"/>
      <c r="H60" s="141"/>
      <c r="I60" s="347">
        <v>0.05</v>
      </c>
      <c r="J60" s="141" t="s">
        <v>858</v>
      </c>
      <c r="K60" s="182"/>
      <c r="L60" s="3"/>
      <c r="M60" s="3"/>
      <c r="N60" s="3"/>
      <c r="O60" s="3"/>
      <c r="P60" s="3"/>
    </row>
    <row r="61" spans="1:16">
      <c r="A61" s="3"/>
      <c r="B61" s="3"/>
      <c r="C61" s="177"/>
      <c r="D61" s="141" t="s">
        <v>183</v>
      </c>
      <c r="E61" s="533" t="s">
        <v>1085</v>
      </c>
      <c r="F61" s="985"/>
      <c r="G61" s="141"/>
      <c r="H61" s="141"/>
      <c r="I61" s="347">
        <v>0.05</v>
      </c>
      <c r="J61" s="141" t="s">
        <v>858</v>
      </c>
      <c r="K61" s="182"/>
      <c r="L61" s="3"/>
      <c r="M61" s="3"/>
      <c r="N61" s="3"/>
      <c r="O61" s="3"/>
      <c r="P61" s="3"/>
    </row>
    <row r="62" spans="1:16">
      <c r="A62" s="3"/>
      <c r="B62" s="3"/>
      <c r="C62" s="177"/>
      <c r="D62" s="141" t="s">
        <v>184</v>
      </c>
      <c r="E62" s="533" t="s">
        <v>1080</v>
      </c>
      <c r="F62" s="985"/>
      <c r="G62" s="141"/>
      <c r="H62" s="141"/>
      <c r="I62" s="347">
        <v>0</v>
      </c>
      <c r="J62" s="141" t="s">
        <v>858</v>
      </c>
      <c r="K62" s="182"/>
      <c r="L62" s="3"/>
      <c r="M62" s="3"/>
      <c r="N62" s="3"/>
      <c r="O62" s="3"/>
      <c r="P62" s="3"/>
    </row>
    <row r="63" spans="1:16">
      <c r="A63" s="3"/>
      <c r="B63" s="3"/>
      <c r="C63" s="177"/>
      <c r="D63" s="141"/>
      <c r="E63" s="141"/>
      <c r="F63" s="141" t="s">
        <v>818</v>
      </c>
      <c r="G63" s="141"/>
      <c r="H63" s="141"/>
      <c r="I63" s="141"/>
      <c r="J63" s="141" t="s">
        <v>818</v>
      </c>
      <c r="K63" s="182"/>
      <c r="L63" s="3"/>
      <c r="M63" s="3"/>
      <c r="N63" s="3"/>
      <c r="O63" s="3"/>
      <c r="P63" s="3"/>
    </row>
    <row r="64" spans="1:16">
      <c r="A64" s="3"/>
      <c r="B64" s="3"/>
      <c r="C64" s="177"/>
      <c r="D64" s="141" t="s">
        <v>189</v>
      </c>
      <c r="E64" s="141"/>
      <c r="F64" s="141" t="s">
        <v>818</v>
      </c>
      <c r="G64" s="141"/>
      <c r="H64" s="141"/>
      <c r="I64" s="713">
        <f>SUM(I60:I62)</f>
        <v>0.1</v>
      </c>
      <c r="J64" s="141" t="s">
        <v>858</v>
      </c>
      <c r="K64" s="182"/>
      <c r="L64" s="3"/>
      <c r="M64" s="3"/>
      <c r="N64" s="3"/>
      <c r="O64" s="3"/>
      <c r="P64" s="3"/>
    </row>
    <row r="65" spans="1:16">
      <c r="A65" s="3"/>
      <c r="B65" s="3"/>
      <c r="C65" s="177"/>
      <c r="D65" s="141"/>
      <c r="E65" s="141"/>
      <c r="F65" s="141"/>
      <c r="G65" s="141"/>
      <c r="H65" s="141"/>
      <c r="I65" s="713"/>
      <c r="J65" s="141"/>
      <c r="K65" s="182"/>
      <c r="L65" s="3"/>
      <c r="M65" s="3"/>
      <c r="N65" s="3"/>
      <c r="O65" s="3"/>
      <c r="P65" s="3"/>
    </row>
    <row r="66" spans="1:16">
      <c r="A66" s="3"/>
      <c r="B66" s="3"/>
      <c r="C66" s="177"/>
      <c r="D66" s="141" t="s">
        <v>1077</v>
      </c>
      <c r="E66" s="141"/>
      <c r="F66" s="141"/>
      <c r="G66" s="141"/>
      <c r="H66" s="141"/>
      <c r="I66" s="713"/>
      <c r="J66" s="141"/>
      <c r="K66" s="182"/>
      <c r="L66" s="3"/>
      <c r="M66" s="3"/>
      <c r="N66" s="3"/>
      <c r="O66" s="3"/>
      <c r="P66" s="3"/>
    </row>
    <row r="67" spans="1:16">
      <c r="A67" s="3"/>
      <c r="B67" s="3"/>
      <c r="C67" s="177"/>
      <c r="D67" s="141" t="s">
        <v>1072</v>
      </c>
      <c r="E67" s="992">
        <v>0.33</v>
      </c>
      <c r="F67" s="192" t="s">
        <v>1086</v>
      </c>
      <c r="G67" s="422">
        <f>Frequency!$M$16</f>
        <v>436.5</v>
      </c>
      <c r="H67" s="141" t="s">
        <v>174</v>
      </c>
      <c r="I67" s="192">
        <f>I60*E67</f>
        <v>1.6500000000000001E-2</v>
      </c>
      <c r="J67" s="141" t="s">
        <v>860</v>
      </c>
      <c r="K67" s="182"/>
      <c r="L67" s="3"/>
      <c r="M67" s="3"/>
      <c r="N67" s="3"/>
      <c r="O67" s="3"/>
      <c r="P67" s="3"/>
    </row>
    <row r="68" spans="1:16">
      <c r="A68" s="3"/>
      <c r="B68" s="3"/>
      <c r="C68" s="177"/>
      <c r="D68" s="141" t="s">
        <v>1073</v>
      </c>
      <c r="E68" s="992">
        <v>0.33</v>
      </c>
      <c r="F68" s="192" t="s">
        <v>1086</v>
      </c>
      <c r="G68" s="422">
        <f>Frequency!$M$16</f>
        <v>436.5</v>
      </c>
      <c r="H68" s="141" t="s">
        <v>174</v>
      </c>
      <c r="I68" s="192">
        <f t="shared" ref="I68:I69" si="1">I61*E68</f>
        <v>1.6500000000000001E-2</v>
      </c>
      <c r="J68" s="141" t="s">
        <v>860</v>
      </c>
      <c r="K68" s="182"/>
      <c r="L68" s="3"/>
      <c r="M68" s="3"/>
      <c r="N68" s="3"/>
      <c r="O68" s="3"/>
      <c r="P68" s="3"/>
    </row>
    <row r="69" spans="1:16">
      <c r="A69" s="3"/>
      <c r="B69" s="3"/>
      <c r="C69" s="177"/>
      <c r="D69" s="141" t="s">
        <v>1074</v>
      </c>
      <c r="E69" s="992">
        <v>0</v>
      </c>
      <c r="F69" s="192" t="s">
        <v>1086</v>
      </c>
      <c r="G69" s="422">
        <f>Frequency!$M$16</f>
        <v>436.5</v>
      </c>
      <c r="H69" s="141" t="s">
        <v>174</v>
      </c>
      <c r="I69" s="192">
        <f t="shared" si="1"/>
        <v>0</v>
      </c>
      <c r="J69" s="141" t="s">
        <v>860</v>
      </c>
      <c r="K69" s="182"/>
      <c r="L69" s="3"/>
      <c r="M69" s="3"/>
      <c r="N69" s="3"/>
      <c r="O69" s="3"/>
      <c r="P69" s="3"/>
    </row>
    <row r="70" spans="1:16">
      <c r="A70" s="3"/>
      <c r="B70" s="3"/>
      <c r="C70" s="177"/>
      <c r="D70" s="141"/>
      <c r="E70" s="331"/>
      <c r="F70" s="141"/>
      <c r="G70" s="192"/>
      <c r="H70" s="141"/>
      <c r="I70" s="192"/>
      <c r="J70" s="141"/>
      <c r="K70" s="182"/>
      <c r="L70" s="3"/>
      <c r="M70" s="3"/>
      <c r="N70" s="3"/>
      <c r="O70" s="3"/>
      <c r="P70" s="3"/>
    </row>
    <row r="71" spans="1:16">
      <c r="A71" s="3"/>
      <c r="B71" s="3"/>
      <c r="C71" s="177"/>
      <c r="D71" s="141" t="s">
        <v>1075</v>
      </c>
      <c r="E71" s="331"/>
      <c r="F71" s="141"/>
      <c r="G71" s="192"/>
      <c r="H71" s="141"/>
      <c r="I71" s="192">
        <f>SUM(I67:I69)</f>
        <v>3.3000000000000002E-2</v>
      </c>
      <c r="J71" s="141" t="s">
        <v>860</v>
      </c>
      <c r="K71" s="182"/>
      <c r="L71" s="3"/>
      <c r="M71" s="3"/>
      <c r="N71" s="3"/>
      <c r="O71" s="3"/>
      <c r="P71" s="3"/>
    </row>
    <row r="72" spans="1:16">
      <c r="A72" s="3"/>
      <c r="B72" s="3"/>
      <c r="C72" s="177"/>
      <c r="D72" s="141"/>
      <c r="E72" s="331"/>
      <c r="F72" s="141"/>
      <c r="G72" s="192"/>
      <c r="H72" s="141"/>
      <c r="I72" s="192"/>
      <c r="J72" s="141"/>
      <c r="K72" s="182"/>
      <c r="L72" s="3"/>
      <c r="M72" s="3"/>
      <c r="N72" s="3"/>
      <c r="O72" s="3"/>
      <c r="P72" s="3"/>
    </row>
    <row r="73" spans="1:16">
      <c r="A73" s="3"/>
      <c r="B73" s="3"/>
      <c r="C73" s="177" t="s">
        <v>175</v>
      </c>
      <c r="D73" s="141"/>
      <c r="E73" s="331"/>
      <c r="F73" s="141"/>
      <c r="G73" s="192"/>
      <c r="H73" s="141"/>
      <c r="I73" s="192"/>
      <c r="J73" s="141"/>
      <c r="K73" s="182"/>
      <c r="L73" s="3"/>
      <c r="M73" s="3"/>
      <c r="N73" s="3"/>
      <c r="O73" s="3"/>
      <c r="P73" s="3"/>
    </row>
    <row r="74" spans="1:16">
      <c r="A74" s="3"/>
      <c r="B74" s="3"/>
      <c r="C74" s="177"/>
      <c r="D74" s="141"/>
      <c r="E74" s="331"/>
      <c r="F74" s="141"/>
      <c r="G74" s="192"/>
      <c r="H74" s="141"/>
      <c r="I74" s="192"/>
      <c r="J74" s="141"/>
      <c r="K74" s="182"/>
      <c r="L74" s="3"/>
      <c r="M74" s="3"/>
      <c r="N74" s="3"/>
      <c r="O74" s="3"/>
      <c r="P74" s="3"/>
    </row>
    <row r="75" spans="1:16">
      <c r="A75" s="3"/>
      <c r="B75" s="3"/>
      <c r="C75" s="177"/>
      <c r="D75" s="141" t="s">
        <v>172</v>
      </c>
      <c r="E75" s="265">
        <v>6</v>
      </c>
      <c r="F75" s="986" t="s">
        <v>1084</v>
      </c>
      <c r="G75" s="141"/>
      <c r="H75" s="141"/>
      <c r="I75" s="987">
        <f>E75*0.05</f>
        <v>0.30000000000000004</v>
      </c>
      <c r="J75" s="141" t="s">
        <v>860</v>
      </c>
      <c r="K75" s="989" t="s">
        <v>1080</v>
      </c>
      <c r="L75" s="3"/>
      <c r="M75" s="3"/>
      <c r="N75" s="3"/>
      <c r="O75" s="3"/>
      <c r="P75" s="3"/>
    </row>
    <row r="76" spans="1:16">
      <c r="A76" s="3"/>
      <c r="B76" s="3"/>
      <c r="C76" s="177"/>
      <c r="D76" s="141" t="s">
        <v>171</v>
      </c>
      <c r="E76" s="142" t="s">
        <v>192</v>
      </c>
      <c r="F76" s="973" t="s">
        <v>1079</v>
      </c>
      <c r="G76" s="378"/>
      <c r="H76" s="141"/>
      <c r="I76" s="347">
        <v>0.5</v>
      </c>
      <c r="J76" s="141" t="s">
        <v>860</v>
      </c>
      <c r="K76" s="182" t="s">
        <v>1080</v>
      </c>
      <c r="L76" s="3"/>
      <c r="M76" s="3"/>
      <c r="N76" s="3"/>
      <c r="O76" s="3"/>
      <c r="P76" s="3"/>
    </row>
    <row r="77" spans="1:16">
      <c r="A77" s="3"/>
      <c r="B77" s="3"/>
      <c r="C77" s="177"/>
      <c r="D77" s="141" t="s">
        <v>173</v>
      </c>
      <c r="E77" s="142" t="s">
        <v>192</v>
      </c>
      <c r="F77" s="973" t="s">
        <v>1078</v>
      </c>
      <c r="G77" s="378"/>
      <c r="H77" s="141"/>
      <c r="I77" s="347">
        <v>0.18</v>
      </c>
      <c r="J77" s="141" t="s">
        <v>860</v>
      </c>
      <c r="K77" s="182"/>
      <c r="L77" s="3"/>
      <c r="M77" s="3"/>
      <c r="N77" s="3"/>
      <c r="O77" s="3"/>
      <c r="P77" s="3"/>
    </row>
    <row r="78" spans="1:16">
      <c r="A78" s="3"/>
      <c r="B78" s="3"/>
      <c r="C78" s="177"/>
      <c r="D78" s="141" t="s">
        <v>173</v>
      </c>
      <c r="E78" s="142" t="s">
        <v>192</v>
      </c>
      <c r="F78" s="973" t="s">
        <v>1081</v>
      </c>
      <c r="G78" s="378"/>
      <c r="H78" s="141"/>
      <c r="I78" s="347">
        <v>0.45</v>
      </c>
      <c r="J78" s="141" t="s">
        <v>860</v>
      </c>
      <c r="K78" s="182"/>
      <c r="L78" s="3"/>
      <c r="M78" s="3"/>
      <c r="N78" s="3"/>
      <c r="O78" s="3"/>
      <c r="P78" s="3"/>
    </row>
    <row r="79" spans="1:16">
      <c r="A79" s="3"/>
      <c r="B79" s="3"/>
      <c r="C79" s="177"/>
      <c r="D79" s="141"/>
      <c r="E79" s="142"/>
      <c r="F79" s="738"/>
      <c r="G79" s="141"/>
      <c r="H79" s="141"/>
      <c r="I79" s="330"/>
      <c r="J79" s="141"/>
      <c r="K79" s="182"/>
      <c r="L79" s="3"/>
      <c r="M79" s="3"/>
      <c r="N79" s="3"/>
      <c r="O79" s="3"/>
      <c r="P79" s="3"/>
    </row>
    <row r="80" spans="1:16">
      <c r="A80" s="3"/>
      <c r="B80" s="3"/>
      <c r="C80" s="177"/>
      <c r="D80" s="141" t="s">
        <v>178</v>
      </c>
      <c r="E80" s="141"/>
      <c r="F80" s="141" t="s">
        <v>529</v>
      </c>
      <c r="G80" s="141"/>
      <c r="H80" s="141"/>
      <c r="I80" s="347">
        <v>0.18</v>
      </c>
      <c r="J80" s="141" t="s">
        <v>860</v>
      </c>
      <c r="K80" s="182"/>
      <c r="L80" s="3"/>
      <c r="M80" s="3"/>
      <c r="N80" s="3"/>
      <c r="O80" s="3"/>
      <c r="P80" s="3"/>
    </row>
    <row r="81" spans="1:16">
      <c r="A81" s="3"/>
      <c r="B81" s="3"/>
      <c r="C81" s="177"/>
      <c r="D81" s="141"/>
      <c r="E81" s="141"/>
      <c r="F81" s="141"/>
      <c r="G81" s="141"/>
      <c r="H81" s="141"/>
      <c r="I81" s="330"/>
      <c r="J81" s="141"/>
      <c r="K81" s="182"/>
      <c r="L81" s="3"/>
      <c r="M81" s="3"/>
      <c r="N81" s="3"/>
      <c r="O81" s="3"/>
      <c r="P81" s="3"/>
    </row>
    <row r="82" spans="1:16">
      <c r="A82" s="3"/>
      <c r="B82" s="3"/>
      <c r="C82" s="177" t="s">
        <v>176</v>
      </c>
      <c r="D82" s="141"/>
      <c r="E82" s="141"/>
      <c r="F82" s="141"/>
      <c r="G82" s="141"/>
      <c r="H82" s="141"/>
      <c r="I82" s="734">
        <f>I71+I75+I76+I77+I78+I80</f>
        <v>1.643</v>
      </c>
      <c r="J82" s="141" t="s">
        <v>860</v>
      </c>
      <c r="K82" s="182"/>
      <c r="L82" s="3"/>
      <c r="M82" s="3"/>
      <c r="N82" s="3"/>
      <c r="O82" s="3"/>
      <c r="P82" s="3"/>
    </row>
    <row r="83" spans="1:16">
      <c r="A83" s="3"/>
      <c r="B83" s="3"/>
      <c r="C83" s="177"/>
      <c r="D83" s="141"/>
      <c r="E83" s="141"/>
      <c r="F83" s="141"/>
      <c r="G83" s="141"/>
      <c r="H83" s="141"/>
      <c r="I83" s="345"/>
      <c r="J83" s="141"/>
      <c r="K83" s="182"/>
      <c r="L83" s="3"/>
      <c r="M83" s="3"/>
      <c r="N83" s="3"/>
      <c r="O83" s="3"/>
      <c r="P83" s="3"/>
    </row>
    <row r="84" spans="1:16">
      <c r="A84" s="3"/>
      <c r="B84" s="3"/>
      <c r="C84" s="177" t="s">
        <v>191</v>
      </c>
      <c r="D84" s="141"/>
      <c r="E84" s="141"/>
      <c r="F84" s="141"/>
      <c r="G84" s="141"/>
      <c r="H84" s="141"/>
      <c r="I84" s="328">
        <f>G57-I82</f>
        <v>1.3672999566398121</v>
      </c>
      <c r="J84" s="141" t="s">
        <v>885</v>
      </c>
      <c r="K84" s="182"/>
      <c r="L84" s="3"/>
      <c r="M84" s="3"/>
      <c r="N84" s="3"/>
      <c r="O84" s="3"/>
      <c r="P84" s="3"/>
    </row>
    <row r="85" spans="1:16">
      <c r="A85" s="3"/>
      <c r="B85" s="3"/>
      <c r="C85" s="236"/>
      <c r="D85" s="237"/>
      <c r="E85" s="237"/>
      <c r="F85" s="237"/>
      <c r="G85" s="237"/>
      <c r="H85" s="237"/>
      <c r="I85" s="237"/>
      <c r="J85" s="237"/>
      <c r="K85" s="238"/>
      <c r="L85" s="3"/>
      <c r="M85" s="3"/>
      <c r="N85" s="3"/>
      <c r="O85" s="3"/>
      <c r="P85" s="3"/>
    </row>
    <row r="86" spans="1:16">
      <c r="A86" s="3"/>
      <c r="B86" s="3"/>
      <c r="C86" s="3"/>
      <c r="D86" s="3"/>
      <c r="E86" s="3"/>
      <c r="F86" s="3"/>
      <c r="G86" s="3"/>
      <c r="H86" s="3"/>
      <c r="I86" s="3"/>
      <c r="J86" s="3"/>
      <c r="K86" s="3"/>
      <c r="L86" s="3"/>
      <c r="M86" s="3"/>
      <c r="N86" s="3"/>
      <c r="O86" s="3"/>
      <c r="P86" s="3"/>
    </row>
    <row r="87" spans="1:16">
      <c r="A87" s="3"/>
      <c r="B87" s="3"/>
      <c r="C87" s="3"/>
      <c r="D87" s="3"/>
      <c r="E87" s="3"/>
      <c r="F87" s="3"/>
      <c r="G87" s="3"/>
      <c r="H87" s="3"/>
      <c r="I87" s="3"/>
      <c r="J87" s="3"/>
      <c r="K87" s="3"/>
      <c r="L87" s="3"/>
      <c r="M87" s="3"/>
      <c r="N87" s="3"/>
      <c r="O87" s="3"/>
      <c r="P87" s="3"/>
    </row>
    <row r="88" spans="1:16">
      <c r="A88" s="3"/>
      <c r="B88" s="3"/>
      <c r="C88" s="3"/>
      <c r="D88" s="3"/>
      <c r="E88" s="3"/>
      <c r="F88" s="3"/>
      <c r="G88" s="3"/>
      <c r="H88" s="3"/>
      <c r="I88" s="3"/>
      <c r="J88" s="3"/>
      <c r="K88" s="3"/>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3"/>
  <sheetViews>
    <sheetView zoomScale="150" zoomScaleNormal="150" workbookViewId="0">
      <selection activeCell="M12" sqref="M12"/>
    </sheetView>
  </sheetViews>
  <sheetFormatPr defaultColWidth="8.85546875" defaultRowHeight="12.75"/>
  <cols>
    <col min="8" max="8" width="10" customWidth="1"/>
    <col min="9" max="9" width="14.140625" customWidth="1"/>
    <col min="10" max="10" width="10" customWidth="1"/>
    <col min="21" max="21" width="9.42578125" bestFit="1" customWidth="1"/>
  </cols>
  <sheetData>
    <row r="1" spans="1:27" ht="18.75" thickBot="1">
      <c r="A1" s="125" t="s">
        <v>193</v>
      </c>
      <c r="B1" s="127"/>
      <c r="C1" s="127"/>
      <c r="D1" s="127"/>
      <c r="E1" s="127"/>
      <c r="F1" s="127"/>
      <c r="G1" s="127"/>
      <c r="H1" s="688" t="str">
        <f>'Title Page'!F3</f>
        <v>OreSat - CS0</v>
      </c>
      <c r="I1" s="127"/>
      <c r="J1" s="127"/>
      <c r="K1" s="687" t="str">
        <f>'Title Page'!F23</f>
        <v>2018 October 19</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75">
      <c r="A4" s="3"/>
      <c r="B4" s="273" t="s">
        <v>194</v>
      </c>
      <c r="C4" s="189"/>
      <c r="D4" s="189"/>
      <c r="E4" s="189"/>
      <c r="F4" s="190"/>
      <c r="G4" s="3"/>
      <c r="H4" s="3"/>
      <c r="I4" s="3"/>
      <c r="J4" s="540"/>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51" t="s">
        <v>278</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c r="A8" s="3"/>
      <c r="B8" s="3"/>
      <c r="C8" s="359" t="s">
        <v>159</v>
      </c>
      <c r="D8" s="333"/>
      <c r="E8" s="333"/>
      <c r="F8" s="333"/>
      <c r="G8" s="333"/>
      <c r="H8" s="333"/>
      <c r="I8" s="333"/>
      <c r="J8" s="333"/>
      <c r="K8" s="333"/>
      <c r="L8" s="333"/>
      <c r="M8" s="995" t="s">
        <v>1087</v>
      </c>
      <c r="N8" s="3"/>
      <c r="O8" s="3"/>
      <c r="P8" s="3"/>
      <c r="Q8" s="3"/>
      <c r="R8" s="3"/>
      <c r="S8" s="3"/>
      <c r="T8" s="3"/>
      <c r="U8" s="3"/>
      <c r="V8" s="3"/>
      <c r="W8" s="3"/>
      <c r="X8" s="3"/>
      <c r="Y8" s="3"/>
      <c r="Z8" s="3"/>
      <c r="AA8" s="3"/>
    </row>
    <row r="9" spans="1:27">
      <c r="A9" s="3"/>
      <c r="B9" s="3"/>
      <c r="C9" s="334"/>
      <c r="D9" s="335"/>
      <c r="E9" s="335"/>
      <c r="F9" s="335"/>
      <c r="G9" s="335"/>
      <c r="H9" s="335"/>
      <c r="I9" s="335"/>
      <c r="J9" s="335"/>
      <c r="K9" s="335"/>
      <c r="L9" s="335"/>
      <c r="M9" s="324"/>
      <c r="N9" s="3"/>
      <c r="O9" s="3"/>
      <c r="P9" s="3"/>
      <c r="Q9" s="3"/>
      <c r="R9" s="3"/>
      <c r="S9" s="3"/>
      <c r="T9" s="3"/>
      <c r="U9" s="3"/>
      <c r="V9" s="3"/>
      <c r="W9" s="3"/>
      <c r="X9" s="3"/>
      <c r="Y9" s="3"/>
      <c r="Z9" s="3"/>
      <c r="AA9" s="3"/>
    </row>
    <row r="10" spans="1:27">
      <c r="A10" s="3"/>
      <c r="B10" s="3"/>
      <c r="C10" s="334"/>
      <c r="D10" s="335"/>
      <c r="E10" s="335"/>
      <c r="F10" s="335"/>
      <c r="G10" s="335"/>
      <c r="H10" s="335"/>
      <c r="I10" s="335" t="s">
        <v>209</v>
      </c>
      <c r="J10" s="335"/>
      <c r="K10" s="335" t="s">
        <v>218</v>
      </c>
      <c r="L10" s="335"/>
      <c r="M10" s="324"/>
      <c r="N10" s="3"/>
      <c r="O10" s="3"/>
      <c r="P10" s="3"/>
      <c r="Q10" s="3"/>
      <c r="R10" s="3"/>
      <c r="S10" s="3"/>
      <c r="T10" s="3"/>
      <c r="U10" s="3"/>
      <c r="V10" s="3"/>
      <c r="W10" s="3"/>
      <c r="X10" s="3"/>
      <c r="Y10" s="3"/>
      <c r="Z10" s="3"/>
      <c r="AA10" s="3"/>
    </row>
    <row r="11" spans="1:27">
      <c r="A11" s="3"/>
      <c r="B11" s="3"/>
      <c r="C11" s="334"/>
      <c r="D11" s="335"/>
      <c r="E11" s="335"/>
      <c r="F11" s="335"/>
      <c r="G11" s="335"/>
      <c r="H11" s="335"/>
      <c r="I11" s="335"/>
      <c r="J11" s="335"/>
      <c r="K11" s="335"/>
      <c r="L11" s="335"/>
      <c r="M11" s="324"/>
      <c r="N11" s="3"/>
      <c r="O11" s="3"/>
      <c r="P11" s="3"/>
      <c r="Q11" s="3"/>
      <c r="R11" s="3"/>
      <c r="S11" s="3"/>
      <c r="T11" s="3"/>
      <c r="U11" s="3"/>
      <c r="V11" s="3"/>
      <c r="W11" s="3"/>
      <c r="X11" s="3"/>
      <c r="Y11" s="3"/>
      <c r="Z11" s="3"/>
      <c r="AA11" s="3"/>
    </row>
    <row r="12" spans="1:27">
      <c r="A12" s="3"/>
      <c r="B12" s="3"/>
      <c r="C12" s="334"/>
      <c r="D12" s="335"/>
      <c r="E12" s="335"/>
      <c r="F12" s="335"/>
      <c r="G12" s="335"/>
      <c r="H12" s="335"/>
      <c r="I12" s="335"/>
      <c r="J12" s="335"/>
      <c r="K12" s="335"/>
      <c r="L12" s="335"/>
      <c r="M12" s="324"/>
      <c r="N12" s="3"/>
      <c r="O12" s="3"/>
      <c r="P12" s="3"/>
      <c r="Q12" s="3"/>
      <c r="R12" s="3"/>
      <c r="S12" s="3"/>
      <c r="T12" s="3"/>
      <c r="U12" s="3"/>
      <c r="V12" s="3"/>
      <c r="W12" s="3"/>
      <c r="X12" s="3"/>
      <c r="Y12" s="3"/>
      <c r="Z12" s="3"/>
      <c r="AA12" s="3"/>
    </row>
    <row r="13" spans="1:27">
      <c r="A13" s="3"/>
      <c r="B13" s="3"/>
      <c r="C13" s="334"/>
      <c r="D13" s="335"/>
      <c r="E13" s="335"/>
      <c r="F13" s="335"/>
      <c r="G13" s="335"/>
      <c r="H13" s="335"/>
      <c r="I13" s="335"/>
      <c r="J13" s="335"/>
      <c r="K13" s="335"/>
      <c r="L13" s="335"/>
      <c r="M13" s="324"/>
      <c r="N13" s="3"/>
      <c r="O13" s="3"/>
      <c r="P13" s="3"/>
      <c r="Q13" s="3"/>
      <c r="R13" s="3"/>
      <c r="S13" s="3"/>
      <c r="T13" s="3"/>
      <c r="U13" s="3"/>
      <c r="V13" s="3"/>
      <c r="W13" s="3"/>
      <c r="X13" s="3"/>
      <c r="Y13" s="3"/>
      <c r="Z13" s="3"/>
      <c r="AA13" s="3"/>
    </row>
    <row r="14" spans="1:27">
      <c r="A14" s="3"/>
      <c r="B14" s="3"/>
      <c r="C14" s="334"/>
      <c r="D14" s="337" t="s">
        <v>203</v>
      </c>
      <c r="E14" s="335"/>
      <c r="F14" s="337" t="s">
        <v>204</v>
      </c>
      <c r="G14" s="335"/>
      <c r="H14" s="337" t="s">
        <v>205</v>
      </c>
      <c r="I14" s="335"/>
      <c r="J14" s="335"/>
      <c r="K14" s="335"/>
      <c r="L14" s="335"/>
      <c r="M14" s="324"/>
      <c r="N14" s="3"/>
      <c r="O14" s="3"/>
      <c r="P14" s="3"/>
      <c r="Q14" s="3"/>
      <c r="R14" s="3"/>
      <c r="S14" s="3"/>
      <c r="T14" s="3"/>
      <c r="U14" s="3"/>
      <c r="V14" s="3"/>
      <c r="W14" s="3"/>
      <c r="X14" s="3"/>
      <c r="Y14" s="3"/>
      <c r="Z14" s="3"/>
      <c r="AA14" s="3"/>
    </row>
    <row r="15" spans="1:27">
      <c r="A15" s="3"/>
      <c r="B15" s="3"/>
      <c r="C15" s="334"/>
      <c r="D15" s="335"/>
      <c r="E15" s="335"/>
      <c r="F15" s="335"/>
      <c r="G15" s="335"/>
      <c r="H15" s="335"/>
      <c r="I15" s="335"/>
      <c r="J15" s="335"/>
      <c r="K15" s="335"/>
      <c r="L15" s="335"/>
      <c r="M15" s="324"/>
      <c r="N15" s="3"/>
      <c r="O15" s="3"/>
      <c r="P15" s="3"/>
      <c r="Q15" s="3"/>
      <c r="R15" s="3"/>
      <c r="S15" s="3"/>
      <c r="T15" s="3"/>
      <c r="U15" s="3"/>
      <c r="V15" s="3"/>
      <c r="W15" s="3"/>
      <c r="X15" s="3"/>
      <c r="Y15" s="3"/>
      <c r="Z15" s="3"/>
      <c r="AA15" s="3"/>
    </row>
    <row r="16" spans="1:27">
      <c r="A16" s="3"/>
      <c r="B16" s="3"/>
      <c r="C16" s="334"/>
      <c r="D16" s="337" t="s">
        <v>206</v>
      </c>
      <c r="E16" s="335"/>
      <c r="F16" s="337" t="s">
        <v>207</v>
      </c>
      <c r="G16" s="335"/>
      <c r="H16" s="335"/>
      <c r="I16" s="335"/>
      <c r="J16" s="335"/>
      <c r="K16" s="335"/>
      <c r="L16" s="335"/>
      <c r="M16" s="324"/>
      <c r="N16" s="3"/>
      <c r="O16" s="3"/>
      <c r="P16" s="3"/>
      <c r="Q16" s="3"/>
      <c r="R16" s="3"/>
      <c r="S16" s="3"/>
      <c r="T16" s="3"/>
      <c r="U16" s="3"/>
      <c r="V16" s="3"/>
      <c r="W16" s="3"/>
      <c r="X16" s="3"/>
      <c r="Y16" s="3"/>
      <c r="Z16" s="3"/>
      <c r="AA16" s="3"/>
    </row>
    <row r="17" spans="1:27">
      <c r="A17" s="3"/>
      <c r="B17" s="3"/>
      <c r="C17" s="334"/>
      <c r="D17" s="335"/>
      <c r="E17" s="335"/>
      <c r="F17" s="335"/>
      <c r="G17" s="335"/>
      <c r="H17" s="335"/>
      <c r="I17" s="335"/>
      <c r="J17" s="335" t="s">
        <v>206</v>
      </c>
      <c r="K17" s="338" t="s">
        <v>206</v>
      </c>
      <c r="L17" s="335"/>
      <c r="M17" s="324"/>
      <c r="N17" s="3"/>
      <c r="O17" s="3"/>
      <c r="P17" s="3"/>
      <c r="Q17" s="3"/>
      <c r="R17" s="3"/>
      <c r="S17" s="3"/>
      <c r="T17" s="3"/>
      <c r="U17" s="3"/>
      <c r="V17" s="3"/>
      <c r="W17" s="3"/>
      <c r="X17" s="3"/>
      <c r="Y17" s="3"/>
      <c r="Z17" s="3"/>
      <c r="AA17" s="3"/>
    </row>
    <row r="18" spans="1:27">
      <c r="A18" s="3"/>
      <c r="B18" s="3"/>
      <c r="C18" s="334"/>
      <c r="D18" s="335"/>
      <c r="E18" s="335"/>
      <c r="F18" s="335"/>
      <c r="G18" s="335"/>
      <c r="H18" s="335"/>
      <c r="I18" s="335"/>
      <c r="J18" s="335"/>
      <c r="K18" s="335"/>
      <c r="L18" s="335"/>
      <c r="M18" s="324"/>
      <c r="N18" s="3"/>
      <c r="O18" s="3"/>
      <c r="P18" s="3"/>
      <c r="Q18" s="3"/>
      <c r="R18" s="3"/>
      <c r="S18" s="3"/>
      <c r="T18" s="3"/>
      <c r="U18" s="3"/>
      <c r="V18" s="3"/>
      <c r="W18" s="3"/>
      <c r="X18" s="3"/>
      <c r="Y18" s="3"/>
      <c r="Z18" s="3"/>
      <c r="AA18" s="3"/>
    </row>
    <row r="19" spans="1:27">
      <c r="A19" s="3"/>
      <c r="B19" s="3"/>
      <c r="C19" s="334"/>
      <c r="D19" s="335"/>
      <c r="E19" s="335"/>
      <c r="F19" s="335"/>
      <c r="G19" s="335"/>
      <c r="H19" s="335"/>
      <c r="I19" s="335"/>
      <c r="J19" s="335"/>
      <c r="K19" s="335"/>
      <c r="L19" s="335"/>
      <c r="M19" s="324"/>
      <c r="N19" s="3"/>
      <c r="O19" s="3"/>
      <c r="P19" s="3"/>
      <c r="Q19" s="3"/>
      <c r="R19" s="3"/>
      <c r="S19" s="3"/>
      <c r="T19" s="3"/>
      <c r="U19" s="3"/>
      <c r="V19" s="3"/>
      <c r="W19" s="3"/>
      <c r="X19" s="3"/>
      <c r="Y19" s="3"/>
      <c r="Z19" s="3"/>
      <c r="AA19" s="3"/>
    </row>
    <row r="20" spans="1:27">
      <c r="A20" s="3"/>
      <c r="B20" s="3"/>
      <c r="C20" s="334"/>
      <c r="D20" s="335" t="s">
        <v>201</v>
      </c>
      <c r="E20" s="335"/>
      <c r="F20" s="335"/>
      <c r="G20" s="335"/>
      <c r="H20" s="335"/>
      <c r="I20" s="335"/>
      <c r="J20" s="335"/>
      <c r="K20" s="335"/>
      <c r="L20" s="335"/>
      <c r="M20" s="324"/>
      <c r="N20" s="3"/>
      <c r="O20" s="3"/>
      <c r="P20" s="3"/>
      <c r="Q20" s="3"/>
      <c r="R20" s="3"/>
      <c r="S20" s="3"/>
      <c r="T20" s="3"/>
      <c r="U20" s="3"/>
      <c r="V20" s="3"/>
      <c r="W20" s="3"/>
      <c r="X20" s="3"/>
      <c r="Y20" s="3"/>
      <c r="Z20" s="3"/>
      <c r="AA20" s="3"/>
    </row>
    <row r="21" spans="1:27">
      <c r="A21" s="3"/>
      <c r="B21" s="3"/>
      <c r="C21" s="334"/>
      <c r="D21" s="335"/>
      <c r="E21" s="335"/>
      <c r="F21" s="335"/>
      <c r="G21" s="335"/>
      <c r="H21" s="335"/>
      <c r="I21" s="335"/>
      <c r="J21" s="335"/>
      <c r="K21" s="335"/>
      <c r="L21" s="335"/>
      <c r="M21" s="324"/>
      <c r="N21" s="3"/>
      <c r="O21" s="3"/>
      <c r="P21" s="3"/>
      <c r="Q21" s="3"/>
      <c r="R21" s="3"/>
      <c r="S21" s="3"/>
      <c r="T21" s="3"/>
      <c r="U21" s="3"/>
      <c r="V21" s="3"/>
      <c r="W21" s="3"/>
      <c r="X21" s="3"/>
      <c r="Y21" s="3"/>
      <c r="Z21" s="3"/>
      <c r="AA21" s="3"/>
    </row>
    <row r="22" spans="1:27">
      <c r="A22" s="3"/>
      <c r="B22" s="3"/>
      <c r="C22" s="334"/>
      <c r="D22" s="354" t="s">
        <v>210</v>
      </c>
      <c r="E22" s="335"/>
      <c r="F22" s="335"/>
      <c r="G22" s="335"/>
      <c r="H22" s="335"/>
      <c r="I22" s="335"/>
      <c r="J22" s="335"/>
      <c r="K22" s="335"/>
      <c r="L22" s="335"/>
      <c r="M22" s="324"/>
      <c r="N22" s="3"/>
      <c r="O22" s="3"/>
      <c r="P22" s="3"/>
      <c r="Q22" s="3"/>
      <c r="R22" s="3"/>
      <c r="S22" s="3"/>
      <c r="T22" s="3"/>
      <c r="U22" s="3"/>
      <c r="V22" s="3"/>
      <c r="W22" s="3"/>
      <c r="X22" s="3"/>
      <c r="Y22" s="3"/>
      <c r="Z22" s="3"/>
      <c r="AA22" s="3"/>
    </row>
    <row r="23" spans="1:27">
      <c r="A23" s="3"/>
      <c r="B23" s="3"/>
      <c r="C23" s="334"/>
      <c r="D23" s="335" t="s">
        <v>202</v>
      </c>
      <c r="E23" s="335"/>
      <c r="F23" s="335"/>
      <c r="G23" s="355"/>
      <c r="H23" s="335"/>
      <c r="I23" s="335"/>
      <c r="J23" s="335"/>
      <c r="K23" s="335"/>
      <c r="L23" s="335"/>
      <c r="M23" s="324"/>
      <c r="N23" s="3"/>
      <c r="O23" s="3"/>
      <c r="P23" s="3"/>
      <c r="Q23" s="3"/>
      <c r="R23" s="3"/>
      <c r="S23" s="3"/>
      <c r="T23" s="3"/>
      <c r="U23" s="3"/>
      <c r="V23" s="3"/>
      <c r="W23" s="3"/>
      <c r="X23" s="3"/>
      <c r="Y23" s="3"/>
      <c r="Z23" s="3"/>
      <c r="AA23" s="3"/>
    </row>
    <row r="24" spans="1:27">
      <c r="A24" s="3"/>
      <c r="B24" s="3"/>
      <c r="C24" s="334"/>
      <c r="D24" s="356" t="s">
        <v>1036</v>
      </c>
      <c r="E24" s="335"/>
      <c r="F24" s="335"/>
      <c r="G24" s="335"/>
      <c r="H24" s="335"/>
      <c r="I24" s="335"/>
      <c r="J24" s="335"/>
      <c r="K24" s="335"/>
      <c r="L24" s="335"/>
      <c r="M24" s="324"/>
      <c r="N24" s="3"/>
      <c r="O24" s="3"/>
      <c r="P24" s="3"/>
      <c r="Q24" s="3"/>
      <c r="R24" s="3"/>
      <c r="S24" s="3"/>
      <c r="T24" s="3"/>
      <c r="U24" s="3"/>
      <c r="V24" s="3"/>
      <c r="W24" s="3"/>
      <c r="X24" s="3"/>
      <c r="Y24" s="3"/>
      <c r="Z24" s="3"/>
      <c r="AA24" s="3"/>
    </row>
    <row r="25" spans="1:27">
      <c r="A25" s="3"/>
      <c r="B25" s="3"/>
      <c r="C25" s="334"/>
      <c r="D25" s="356" t="s">
        <v>1037</v>
      </c>
      <c r="E25" s="335"/>
      <c r="F25" s="335"/>
      <c r="G25" s="335"/>
      <c r="H25" s="335"/>
      <c r="I25" s="335"/>
      <c r="J25" s="335"/>
      <c r="K25" s="335"/>
      <c r="L25" s="335"/>
      <c r="M25" s="324"/>
      <c r="N25" s="3"/>
      <c r="O25" s="3"/>
      <c r="P25" s="3"/>
      <c r="Q25" s="3"/>
      <c r="R25" s="3"/>
      <c r="S25" s="3"/>
      <c r="T25" s="3"/>
      <c r="U25" s="3"/>
      <c r="V25" s="3"/>
      <c r="W25" s="3"/>
      <c r="X25" s="3"/>
      <c r="Y25" s="3"/>
      <c r="Z25" s="3"/>
      <c r="AA25" s="3"/>
    </row>
    <row r="26" spans="1:27">
      <c r="A26" s="3"/>
      <c r="B26" s="3"/>
      <c r="C26" s="334"/>
      <c r="D26" s="356" t="s">
        <v>1038</v>
      </c>
      <c r="E26" s="335"/>
      <c r="F26" s="335"/>
      <c r="G26" s="335"/>
      <c r="H26" s="335"/>
      <c r="I26" s="335"/>
      <c r="J26" s="335"/>
      <c r="K26" s="335"/>
      <c r="L26" s="335"/>
      <c r="M26" s="324"/>
      <c r="N26" s="3"/>
      <c r="O26" s="3"/>
      <c r="P26" s="3"/>
      <c r="Q26" s="3"/>
      <c r="R26" s="3"/>
      <c r="S26" s="3"/>
      <c r="T26" s="3"/>
      <c r="U26" s="3"/>
      <c r="V26" s="3"/>
      <c r="W26" s="3"/>
      <c r="X26" s="3"/>
      <c r="Y26" s="3"/>
      <c r="Z26" s="3"/>
      <c r="AA26" s="3"/>
    </row>
    <row r="27" spans="1:27">
      <c r="A27" s="3"/>
      <c r="B27" s="3"/>
      <c r="C27" s="334"/>
      <c r="D27" s="356" t="s">
        <v>1039</v>
      </c>
      <c r="E27" s="335"/>
      <c r="F27" s="335"/>
      <c r="G27" s="335"/>
      <c r="H27" s="335"/>
      <c r="I27" s="335"/>
      <c r="J27" s="335"/>
      <c r="K27" s="335"/>
      <c r="L27" s="335"/>
      <c r="M27" s="324"/>
      <c r="N27" s="3"/>
      <c r="O27" s="3"/>
      <c r="P27" s="3"/>
      <c r="Q27" s="3"/>
      <c r="R27" s="3"/>
      <c r="S27" s="3"/>
      <c r="T27" s="3"/>
      <c r="U27" s="3"/>
      <c r="V27" s="3"/>
      <c r="W27" s="3"/>
      <c r="X27" s="3"/>
      <c r="Y27" s="3"/>
      <c r="Z27" s="3"/>
      <c r="AA27" s="3"/>
    </row>
    <row r="28" spans="1:27">
      <c r="A28" s="3"/>
      <c r="B28" s="3"/>
      <c r="C28" s="334"/>
      <c r="D28" s="356" t="s">
        <v>1040</v>
      </c>
      <c r="E28" s="335"/>
      <c r="F28" s="335"/>
      <c r="G28" s="335"/>
      <c r="H28" s="335"/>
      <c r="I28" s="242" t="s">
        <v>262</v>
      </c>
      <c r="J28" s="335"/>
      <c r="K28" s="335"/>
      <c r="L28" s="335"/>
      <c r="M28" s="324"/>
      <c r="N28" s="3"/>
      <c r="O28" s="3"/>
      <c r="P28" s="3"/>
      <c r="Q28" s="3"/>
      <c r="R28" s="3"/>
      <c r="S28" s="3"/>
      <c r="T28" s="3"/>
      <c r="U28" s="3"/>
      <c r="V28" s="3"/>
      <c r="W28" s="3"/>
      <c r="X28" s="3"/>
      <c r="Y28" s="3"/>
      <c r="Z28" s="3"/>
      <c r="AA28" s="3"/>
    </row>
    <row r="29" spans="1:27">
      <c r="A29" s="3"/>
      <c r="B29" s="3"/>
      <c r="C29" s="334"/>
      <c r="D29" s="357" t="s">
        <v>1041</v>
      </c>
      <c r="E29" s="335"/>
      <c r="F29" s="335"/>
      <c r="G29" s="335"/>
      <c r="H29" s="335"/>
      <c r="I29" s="335"/>
      <c r="J29" s="335"/>
      <c r="K29" s="335"/>
      <c r="L29" s="335"/>
      <c r="M29" s="324"/>
      <c r="N29" s="3"/>
      <c r="O29" s="3"/>
      <c r="P29" s="3"/>
      <c r="Q29" s="3"/>
      <c r="R29" s="3"/>
      <c r="S29" s="3"/>
      <c r="T29" s="3"/>
      <c r="U29" s="3"/>
      <c r="V29" s="3"/>
      <c r="W29" s="3"/>
      <c r="X29" s="3"/>
      <c r="Y29" s="3"/>
      <c r="Z29" s="3"/>
      <c r="AA29" s="3"/>
    </row>
    <row r="30" spans="1:27">
      <c r="A30" s="3"/>
      <c r="B30" s="3"/>
      <c r="C30" s="334"/>
      <c r="D30" s="335" t="s">
        <v>202</v>
      </c>
      <c r="E30" s="335"/>
      <c r="F30" s="335"/>
      <c r="G30" s="335"/>
      <c r="H30" s="335"/>
      <c r="I30" s="335"/>
      <c r="J30" s="335"/>
      <c r="K30" s="335"/>
      <c r="L30" s="335"/>
      <c r="M30" s="324"/>
      <c r="N30" s="3"/>
      <c r="O30" s="3"/>
      <c r="P30" s="3"/>
      <c r="Q30" s="3"/>
      <c r="R30" s="3"/>
      <c r="S30" s="3"/>
      <c r="T30" s="3"/>
      <c r="U30" s="3"/>
      <c r="V30" s="3"/>
      <c r="W30" s="3"/>
      <c r="X30" s="3"/>
      <c r="Y30" s="3"/>
      <c r="Z30" s="3"/>
      <c r="AA30" s="3"/>
    </row>
    <row r="31" spans="1:27">
      <c r="A31" s="3"/>
      <c r="B31" s="3"/>
      <c r="C31" s="334"/>
      <c r="D31" s="335"/>
      <c r="E31" s="335" t="s">
        <v>1042</v>
      </c>
      <c r="F31" s="335"/>
      <c r="G31" s="335"/>
      <c r="H31" s="335"/>
      <c r="I31" s="335"/>
      <c r="J31" s="335"/>
      <c r="K31" s="335"/>
      <c r="L31" s="335"/>
      <c r="M31" s="324"/>
      <c r="N31" s="3"/>
      <c r="O31" s="3"/>
      <c r="P31" s="3"/>
      <c r="Q31" s="3"/>
      <c r="R31" s="3"/>
      <c r="S31" s="3"/>
      <c r="T31" s="3"/>
      <c r="U31" s="3"/>
      <c r="V31" s="3"/>
      <c r="W31" s="3"/>
      <c r="X31" s="3"/>
      <c r="Y31" s="3"/>
      <c r="Z31" s="3"/>
      <c r="AA31" s="3"/>
    </row>
    <row r="32" spans="1:27">
      <c r="A32" s="3"/>
      <c r="B32" s="3"/>
      <c r="C32" s="334"/>
      <c r="D32" s="335"/>
      <c r="E32" s="335" t="s">
        <v>1043</v>
      </c>
      <c r="F32" s="335"/>
      <c r="G32" s="335"/>
      <c r="H32" s="335"/>
      <c r="I32" s="335"/>
      <c r="J32" s="335"/>
      <c r="K32" s="335"/>
      <c r="L32" s="335"/>
      <c r="M32" s="324"/>
      <c r="N32" s="3"/>
      <c r="O32" s="3"/>
      <c r="P32" s="3"/>
      <c r="Q32" s="3"/>
      <c r="R32" s="3"/>
      <c r="S32" s="3"/>
      <c r="T32" s="3"/>
      <c r="U32" s="3"/>
      <c r="V32" s="3"/>
      <c r="W32" s="3"/>
      <c r="X32" s="3"/>
      <c r="Y32" s="3"/>
      <c r="Z32" s="3"/>
      <c r="AA32" s="3"/>
    </row>
    <row r="33" spans="1:27">
      <c r="A33" s="3"/>
      <c r="B33" s="3"/>
      <c r="C33" s="334"/>
      <c r="D33" s="335"/>
      <c r="E33" s="942" t="s">
        <v>1044</v>
      </c>
      <c r="F33" s="335"/>
      <c r="G33" s="335"/>
      <c r="H33" s="335"/>
      <c r="I33" s="335"/>
      <c r="J33" s="335"/>
      <c r="K33" s="335"/>
      <c r="L33" s="335"/>
      <c r="M33" s="324"/>
      <c r="N33" s="3"/>
      <c r="O33" s="3"/>
      <c r="P33" s="3"/>
      <c r="Q33" s="3"/>
      <c r="R33" s="3"/>
      <c r="S33" s="3"/>
      <c r="T33" s="3"/>
      <c r="U33" s="3"/>
      <c r="V33" s="3"/>
      <c r="W33" s="3"/>
      <c r="X33" s="3"/>
      <c r="Y33" s="3"/>
      <c r="Z33" s="3"/>
      <c r="AA33" s="3"/>
    </row>
    <row r="34" spans="1:27">
      <c r="A34" s="3"/>
      <c r="B34" s="3"/>
      <c r="C34" s="334"/>
      <c r="D34" s="335"/>
      <c r="E34" s="335"/>
      <c r="F34" s="335"/>
      <c r="G34" s="335"/>
      <c r="H34" s="335"/>
      <c r="I34" s="335"/>
      <c r="J34" s="335"/>
      <c r="K34" s="335"/>
      <c r="L34" s="335"/>
      <c r="M34" s="324"/>
      <c r="N34" s="3"/>
      <c r="O34" s="3"/>
      <c r="P34" s="3"/>
      <c r="Q34" s="3"/>
      <c r="R34" s="3"/>
      <c r="S34" s="3"/>
      <c r="T34" s="3"/>
      <c r="U34" s="3"/>
      <c r="V34" s="3"/>
      <c r="W34" s="3"/>
      <c r="X34" s="3"/>
      <c r="Y34" s="3"/>
      <c r="Z34" s="3"/>
      <c r="AA34" s="3"/>
    </row>
    <row r="35" spans="1:27">
      <c r="A35" s="3"/>
      <c r="B35" s="3"/>
      <c r="C35" s="334"/>
      <c r="D35" s="335"/>
      <c r="E35" s="335"/>
      <c r="F35" s="335"/>
      <c r="G35" s="335"/>
      <c r="H35" s="335"/>
      <c r="I35" s="335"/>
      <c r="J35" s="335"/>
      <c r="K35" s="335"/>
      <c r="L35" s="335"/>
      <c r="M35" s="324"/>
      <c r="N35" s="3"/>
      <c r="O35" s="3"/>
      <c r="P35" s="3"/>
      <c r="Q35" s="3"/>
      <c r="R35" s="3"/>
      <c r="S35" s="3"/>
      <c r="T35" s="3"/>
      <c r="U35" s="3"/>
      <c r="V35" s="3"/>
      <c r="W35" s="3"/>
      <c r="X35" s="3"/>
      <c r="Y35" s="3"/>
      <c r="Z35" s="3"/>
      <c r="AA35" s="3"/>
    </row>
    <row r="36" spans="1:27">
      <c r="A36" s="3"/>
      <c r="B36" s="3"/>
      <c r="C36" s="334"/>
      <c r="D36" s="335" t="s">
        <v>219</v>
      </c>
      <c r="E36" s="335"/>
      <c r="F36" s="335"/>
      <c r="G36" s="335"/>
      <c r="H36" s="335"/>
      <c r="I36" s="335"/>
      <c r="J36" s="335"/>
      <c r="K36" s="335"/>
      <c r="L36" s="335"/>
      <c r="M36" s="324"/>
      <c r="N36" s="3"/>
      <c r="O36" s="3"/>
      <c r="P36" s="3"/>
      <c r="Q36" s="3"/>
      <c r="R36" s="3"/>
      <c r="S36" s="3"/>
      <c r="T36" s="3"/>
      <c r="U36" s="3"/>
      <c r="V36" s="3"/>
      <c r="W36" s="3"/>
      <c r="X36" s="3"/>
      <c r="Y36" s="3"/>
      <c r="Z36" s="3"/>
      <c r="AA36" s="3"/>
    </row>
    <row r="37" spans="1:27">
      <c r="A37" s="3"/>
      <c r="B37" s="3"/>
      <c r="C37" s="334"/>
      <c r="D37" s="335"/>
      <c r="E37" s="335"/>
      <c r="F37" s="335"/>
      <c r="G37" s="335"/>
      <c r="H37" s="335"/>
      <c r="I37" s="335"/>
      <c r="J37" s="335"/>
      <c r="K37" s="335"/>
      <c r="L37" s="335"/>
      <c r="M37" s="324"/>
      <c r="N37" s="3"/>
      <c r="O37" s="3"/>
      <c r="P37" s="3"/>
      <c r="Q37" s="3"/>
      <c r="R37" s="3"/>
      <c r="S37" s="3"/>
      <c r="T37" s="3"/>
      <c r="U37" s="3"/>
      <c r="V37" s="3"/>
      <c r="W37" s="3"/>
      <c r="X37" s="3"/>
      <c r="Y37" s="3"/>
      <c r="Z37" s="3"/>
      <c r="AA37" s="3"/>
    </row>
    <row r="38" spans="1:27">
      <c r="A38" s="3"/>
      <c r="B38" s="3"/>
      <c r="C38" s="334"/>
      <c r="D38" s="338" t="s">
        <v>818</v>
      </c>
      <c r="E38" s="335" t="s">
        <v>182</v>
      </c>
      <c r="F38" s="335"/>
      <c r="G38" s="533" t="s">
        <v>1085</v>
      </c>
      <c r="H38" s="378"/>
      <c r="I38" s="335"/>
      <c r="J38" s="980">
        <v>0.05</v>
      </c>
      <c r="K38" s="335" t="s">
        <v>858</v>
      </c>
      <c r="L38" s="335"/>
      <c r="M38" s="324"/>
      <c r="N38" s="3"/>
      <c r="O38" s="3"/>
      <c r="P38" s="3"/>
      <c r="Q38" s="3"/>
      <c r="R38" s="3"/>
      <c r="S38" s="3"/>
      <c r="T38" s="3"/>
      <c r="U38" s="3"/>
      <c r="V38" s="3"/>
      <c r="W38" s="3"/>
      <c r="X38" s="3"/>
      <c r="Y38" s="3"/>
      <c r="Z38" s="3"/>
      <c r="AA38" s="3"/>
    </row>
    <row r="39" spans="1:27">
      <c r="A39" s="3"/>
      <c r="B39" s="3"/>
      <c r="C39" s="334"/>
      <c r="D39" s="335"/>
      <c r="E39" s="335" t="s">
        <v>183</v>
      </c>
      <c r="F39" s="335"/>
      <c r="G39" s="533" t="s">
        <v>1085</v>
      </c>
      <c r="H39" s="378"/>
      <c r="I39" s="335"/>
      <c r="J39" s="980">
        <v>0.05</v>
      </c>
      <c r="K39" s="335" t="s">
        <v>858</v>
      </c>
      <c r="L39" s="335"/>
      <c r="M39" s="324"/>
      <c r="N39" s="3"/>
      <c r="O39" s="3"/>
      <c r="P39" s="3"/>
      <c r="Q39" s="3"/>
      <c r="R39" s="3"/>
      <c r="S39" s="3"/>
      <c r="T39" s="3"/>
      <c r="U39" s="3"/>
      <c r="V39" s="3"/>
      <c r="W39" s="3"/>
      <c r="X39" s="3"/>
      <c r="Y39" s="3"/>
      <c r="Z39" s="3"/>
      <c r="AA39" s="3"/>
    </row>
    <row r="40" spans="1:27">
      <c r="A40" s="3"/>
      <c r="B40" s="3"/>
      <c r="C40" s="334"/>
      <c r="D40" s="335"/>
      <c r="E40" s="335" t="s">
        <v>184</v>
      </c>
      <c r="F40" s="335"/>
      <c r="G40" s="973" t="s">
        <v>1080</v>
      </c>
      <c r="H40" s="378"/>
      <c r="I40" s="335"/>
      <c r="J40" s="980">
        <v>0</v>
      </c>
      <c r="K40" s="335" t="s">
        <v>858</v>
      </c>
      <c r="L40" s="335"/>
      <c r="M40" s="324"/>
      <c r="N40" s="3"/>
      <c r="O40" s="3"/>
      <c r="P40" s="3"/>
      <c r="Q40" s="3"/>
      <c r="R40" s="3"/>
      <c r="S40" s="3"/>
      <c r="T40" s="3"/>
      <c r="U40" s="3"/>
      <c r="V40" s="3"/>
      <c r="W40" s="3"/>
      <c r="X40" s="3"/>
      <c r="Y40" s="3"/>
      <c r="Z40" s="3"/>
      <c r="AA40" s="3"/>
    </row>
    <row r="41" spans="1:27">
      <c r="A41" s="3"/>
      <c r="B41" s="3"/>
      <c r="C41" s="334"/>
      <c r="D41" s="335"/>
      <c r="E41" s="335"/>
      <c r="F41" s="335"/>
      <c r="G41" s="335"/>
      <c r="H41" s="335"/>
      <c r="I41" s="335"/>
      <c r="J41" s="340"/>
      <c r="K41" s="335"/>
      <c r="L41" s="335"/>
      <c r="M41" s="324"/>
      <c r="N41" s="3"/>
      <c r="O41" s="3"/>
      <c r="P41" s="3"/>
      <c r="Q41" s="3"/>
      <c r="R41" s="3"/>
      <c r="S41" s="3"/>
      <c r="T41" s="3"/>
      <c r="U41" s="3"/>
      <c r="V41" s="3"/>
      <c r="W41" s="3"/>
      <c r="X41" s="3"/>
      <c r="Y41" s="3"/>
      <c r="Z41" s="3"/>
      <c r="AA41" s="3"/>
    </row>
    <row r="42" spans="1:27">
      <c r="A42" s="3"/>
      <c r="B42" s="3"/>
      <c r="C42" s="334"/>
      <c r="D42" s="335"/>
      <c r="E42" s="983" t="s">
        <v>1077</v>
      </c>
      <c r="F42" s="335"/>
      <c r="G42" s="335"/>
      <c r="H42" s="335"/>
      <c r="I42" s="335"/>
      <c r="J42" s="340"/>
      <c r="K42" s="335"/>
      <c r="L42" s="335"/>
      <c r="M42" s="324"/>
      <c r="N42" s="3"/>
      <c r="O42" s="3"/>
      <c r="P42" s="3"/>
      <c r="Q42" s="3"/>
      <c r="R42" s="3"/>
      <c r="S42" s="3"/>
      <c r="T42" s="3"/>
      <c r="U42" s="3"/>
      <c r="V42" s="3"/>
      <c r="W42" s="3"/>
      <c r="X42" s="3"/>
      <c r="Y42" s="3"/>
      <c r="Z42" s="3"/>
      <c r="AA42" s="3"/>
    </row>
    <row r="43" spans="1:27">
      <c r="A43" s="3"/>
      <c r="B43" s="3"/>
      <c r="C43" s="334"/>
      <c r="D43" s="335"/>
      <c r="E43" s="983" t="s">
        <v>1072</v>
      </c>
      <c r="F43" s="335"/>
      <c r="G43" s="335"/>
      <c r="H43" s="992">
        <v>0.49</v>
      </c>
      <c r="I43" s="993" t="s">
        <v>1086</v>
      </c>
      <c r="J43" s="990">
        <f>Frequency!$M$10</f>
        <v>1265</v>
      </c>
      <c r="K43" s="335" t="s">
        <v>857</v>
      </c>
      <c r="L43" s="335"/>
      <c r="M43" s="324"/>
      <c r="N43" s="3"/>
      <c r="O43" s="3"/>
      <c r="P43" s="3"/>
      <c r="Q43" s="3"/>
      <c r="R43" s="3"/>
      <c r="S43" s="3"/>
      <c r="T43" s="3"/>
      <c r="U43" s="3"/>
      <c r="V43" s="3"/>
      <c r="W43" s="3"/>
      <c r="X43" s="3"/>
      <c r="Y43" s="3"/>
      <c r="Z43" s="3"/>
      <c r="AA43" s="3"/>
    </row>
    <row r="44" spans="1:27">
      <c r="A44" s="3"/>
      <c r="B44" s="3"/>
      <c r="C44" s="334"/>
      <c r="D44" s="335"/>
      <c r="E44" s="983" t="s">
        <v>1072</v>
      </c>
      <c r="F44" s="335"/>
      <c r="G44" s="335"/>
      <c r="H44" s="992">
        <v>1.49</v>
      </c>
      <c r="I44" s="993" t="s">
        <v>1086</v>
      </c>
      <c r="J44" s="990">
        <f>Frequency!$M$10</f>
        <v>1265</v>
      </c>
      <c r="K44" s="335" t="s">
        <v>857</v>
      </c>
      <c r="L44" s="335"/>
      <c r="M44" s="324"/>
      <c r="N44" s="3"/>
      <c r="O44" s="3"/>
      <c r="P44" s="3"/>
      <c r="Q44" s="3"/>
      <c r="R44" s="3"/>
      <c r="S44" s="3"/>
      <c r="T44" s="3"/>
      <c r="U44" s="3"/>
      <c r="V44" s="3"/>
      <c r="W44" s="3"/>
      <c r="X44" s="3"/>
      <c r="Y44" s="3"/>
      <c r="Z44" s="3"/>
      <c r="AA44" s="3"/>
    </row>
    <row r="45" spans="1:27">
      <c r="A45" s="3"/>
      <c r="B45" s="3"/>
      <c r="C45" s="334"/>
      <c r="D45" s="335"/>
      <c r="E45" s="983" t="s">
        <v>1072</v>
      </c>
      <c r="F45" s="335"/>
      <c r="G45" s="335"/>
      <c r="H45" s="992">
        <v>2.4900000000000002</v>
      </c>
      <c r="I45" s="993" t="s">
        <v>1086</v>
      </c>
      <c r="J45" s="990">
        <f>Frequency!$M$10</f>
        <v>1265</v>
      </c>
      <c r="K45" s="335" t="s">
        <v>857</v>
      </c>
      <c r="L45" s="335"/>
      <c r="M45" s="324"/>
      <c r="N45" s="3"/>
      <c r="O45" s="3"/>
      <c r="P45" s="3"/>
      <c r="Q45" s="3"/>
      <c r="R45" s="3"/>
      <c r="S45" s="3"/>
      <c r="T45" s="3"/>
      <c r="U45" s="3"/>
      <c r="V45" s="3"/>
      <c r="W45" s="3"/>
      <c r="X45" s="3"/>
      <c r="Y45" s="3"/>
      <c r="Z45" s="3"/>
      <c r="AA45" s="3"/>
    </row>
    <row r="46" spans="1:27">
      <c r="A46" s="3"/>
      <c r="B46" s="3"/>
      <c r="C46" s="334"/>
      <c r="D46" s="335"/>
      <c r="E46" s="335"/>
      <c r="F46" s="335"/>
      <c r="G46" s="335"/>
      <c r="H46" s="335"/>
      <c r="I46" s="335"/>
      <c r="J46" s="335"/>
      <c r="K46" s="335"/>
      <c r="L46" s="335"/>
      <c r="M46" s="324"/>
      <c r="N46" s="3"/>
      <c r="O46" s="3"/>
      <c r="P46" s="3"/>
      <c r="Q46" s="3"/>
      <c r="R46" s="3"/>
      <c r="S46" s="3"/>
      <c r="T46" s="3"/>
      <c r="U46" s="3"/>
      <c r="V46" s="3"/>
      <c r="W46" s="3"/>
      <c r="X46" s="3"/>
      <c r="Y46" s="3"/>
      <c r="Z46" s="3"/>
      <c r="AA46" s="3"/>
    </row>
    <row r="47" spans="1:27">
      <c r="A47" s="3"/>
      <c r="B47" s="3"/>
      <c r="C47" s="334"/>
      <c r="D47" s="335"/>
      <c r="E47" s="335" t="s">
        <v>224</v>
      </c>
      <c r="F47" s="335"/>
      <c r="G47" s="335"/>
      <c r="H47" s="335"/>
      <c r="I47" s="335" t="s">
        <v>221</v>
      </c>
      <c r="J47" s="335">
        <f>J38*H43</f>
        <v>2.4500000000000001E-2</v>
      </c>
      <c r="K47" s="991" t="s">
        <v>860</v>
      </c>
      <c r="L47" s="335"/>
      <c r="M47" s="324"/>
      <c r="N47" s="3"/>
      <c r="O47" s="3"/>
      <c r="P47" s="3"/>
      <c r="Q47" s="3"/>
      <c r="R47" s="3"/>
      <c r="S47" s="3"/>
      <c r="T47" s="3"/>
      <c r="U47" s="3"/>
      <c r="V47" s="3"/>
      <c r="W47" s="3"/>
      <c r="X47" s="3"/>
      <c r="Y47" s="3"/>
      <c r="Z47" s="3"/>
      <c r="AA47" s="3"/>
    </row>
    <row r="48" spans="1:27">
      <c r="A48" s="3"/>
      <c r="B48" s="3"/>
      <c r="C48" s="334"/>
      <c r="D48" s="335"/>
      <c r="E48" s="335" t="s">
        <v>228</v>
      </c>
      <c r="F48" s="335"/>
      <c r="G48" s="335"/>
      <c r="H48" s="335"/>
      <c r="I48" s="335" t="s">
        <v>222</v>
      </c>
      <c r="J48" s="335">
        <f t="shared" ref="J48:J49" si="0">J39*H44</f>
        <v>7.4499999999999997E-2</v>
      </c>
      <c r="K48" s="991" t="s">
        <v>860</v>
      </c>
      <c r="L48" s="335"/>
      <c r="M48" s="324"/>
      <c r="N48" s="3"/>
      <c r="O48" s="3"/>
      <c r="P48" s="3"/>
      <c r="Q48" s="3"/>
      <c r="R48" s="3"/>
      <c r="S48" s="3"/>
      <c r="T48" s="3"/>
      <c r="U48" s="3"/>
      <c r="V48" s="3"/>
      <c r="W48" s="3"/>
      <c r="X48" s="3"/>
      <c r="Y48" s="3"/>
      <c r="Z48" s="3"/>
      <c r="AA48" s="3"/>
    </row>
    <row r="49" spans="1:27">
      <c r="A49" s="3"/>
      <c r="B49" s="3"/>
      <c r="C49" s="334"/>
      <c r="D49" s="335"/>
      <c r="E49" s="335" t="s">
        <v>229</v>
      </c>
      <c r="F49" s="335"/>
      <c r="G49" s="335"/>
      <c r="H49" s="335"/>
      <c r="I49" s="335" t="s">
        <v>223</v>
      </c>
      <c r="J49" s="335">
        <f t="shared" si="0"/>
        <v>0</v>
      </c>
      <c r="K49" s="335" t="s">
        <v>860</v>
      </c>
      <c r="L49" s="335"/>
      <c r="M49" s="324"/>
      <c r="N49" s="3"/>
      <c r="O49" s="3"/>
      <c r="P49" s="3"/>
      <c r="Q49" s="3"/>
      <c r="R49" s="3"/>
      <c r="S49" s="3"/>
      <c r="T49" s="3"/>
      <c r="U49" s="3"/>
      <c r="V49" s="3"/>
      <c r="W49" s="3"/>
      <c r="X49" s="3"/>
      <c r="Y49" s="3"/>
      <c r="Z49" s="3"/>
      <c r="AA49" s="3"/>
    </row>
    <row r="50" spans="1:27">
      <c r="A50" s="3"/>
      <c r="B50" s="3"/>
      <c r="C50" s="334"/>
      <c r="D50" s="335"/>
      <c r="E50" s="335" t="s">
        <v>230</v>
      </c>
      <c r="F50" s="335"/>
      <c r="G50" s="335"/>
      <c r="H50" s="335"/>
      <c r="I50" s="335" t="s">
        <v>231</v>
      </c>
      <c r="J50" s="980">
        <v>0.85</v>
      </c>
      <c r="K50" s="335" t="s">
        <v>860</v>
      </c>
      <c r="L50" s="335"/>
      <c r="M50" s="324"/>
      <c r="N50" s="3"/>
      <c r="O50" s="3"/>
      <c r="P50" s="3"/>
      <c r="Q50" s="3"/>
      <c r="R50" s="3"/>
      <c r="S50" s="3"/>
      <c r="T50" s="3"/>
      <c r="U50" s="3"/>
      <c r="V50" s="3"/>
      <c r="W50" s="3"/>
      <c r="X50" s="3"/>
      <c r="Y50" s="3"/>
      <c r="Z50" s="3"/>
      <c r="AA50" s="3"/>
    </row>
    <row r="51" spans="1:27">
      <c r="A51" s="3"/>
      <c r="B51" s="3"/>
      <c r="C51" s="334"/>
      <c r="D51" s="335"/>
      <c r="E51" s="335" t="s">
        <v>232</v>
      </c>
      <c r="F51" s="335"/>
      <c r="G51" s="335"/>
      <c r="H51" s="335"/>
      <c r="I51" s="335" t="s">
        <v>233</v>
      </c>
      <c r="J51" s="994">
        <v>0</v>
      </c>
      <c r="K51" s="335" t="s">
        <v>860</v>
      </c>
      <c r="L51" s="335"/>
      <c r="M51" s="324"/>
      <c r="N51" s="3"/>
      <c r="O51" s="3"/>
      <c r="P51" s="3"/>
      <c r="Q51" s="3"/>
      <c r="R51" s="3"/>
      <c r="S51" s="3"/>
      <c r="T51" s="3"/>
      <c r="U51" s="3"/>
      <c r="V51" s="3"/>
      <c r="W51" s="3"/>
      <c r="X51" s="3"/>
      <c r="Y51" s="3"/>
      <c r="Z51" s="3"/>
      <c r="AA51" s="3"/>
    </row>
    <row r="52" spans="1:27">
      <c r="A52" s="3"/>
      <c r="B52" s="3"/>
      <c r="C52" s="334"/>
      <c r="D52" s="335"/>
      <c r="E52" s="335" t="s">
        <v>259</v>
      </c>
      <c r="F52" s="335"/>
      <c r="G52" s="335"/>
      <c r="H52" s="265">
        <v>6</v>
      </c>
      <c r="I52" s="335" t="s">
        <v>260</v>
      </c>
      <c r="J52" s="997">
        <f>H52*0.05</f>
        <v>0.30000000000000004</v>
      </c>
      <c r="K52" s="335" t="s">
        <v>860</v>
      </c>
      <c r="L52" s="335"/>
      <c r="M52" s="324"/>
      <c r="N52" s="3"/>
      <c r="O52" s="3"/>
      <c r="P52" s="3"/>
      <c r="Q52" s="3"/>
      <c r="R52" s="3"/>
      <c r="S52" s="3"/>
      <c r="T52" s="3"/>
      <c r="U52" s="3"/>
      <c r="V52" s="3"/>
      <c r="W52" s="3"/>
      <c r="X52" s="3"/>
      <c r="Y52" s="3"/>
      <c r="Z52" s="3"/>
      <c r="AA52" s="3"/>
    </row>
    <row r="53" spans="1:27">
      <c r="A53" s="3"/>
      <c r="B53" s="3"/>
      <c r="C53" s="334"/>
      <c r="D53" s="335"/>
      <c r="E53" s="335" t="s">
        <v>528</v>
      </c>
      <c r="F53" s="335"/>
      <c r="G53" s="335"/>
      <c r="H53" s="336"/>
      <c r="I53" s="335"/>
      <c r="J53" s="973" t="s">
        <v>527</v>
      </c>
      <c r="K53" s="378"/>
      <c r="L53" s="335"/>
      <c r="M53" s="324"/>
      <c r="N53" s="3"/>
      <c r="O53" s="3"/>
      <c r="P53" s="3"/>
      <c r="Q53" s="3"/>
      <c r="R53" s="3"/>
      <c r="S53" s="3"/>
      <c r="T53" s="3"/>
      <c r="U53" s="3"/>
      <c r="V53" s="3"/>
      <c r="W53" s="3"/>
      <c r="X53" s="3"/>
      <c r="Y53" s="3"/>
      <c r="Z53" s="3"/>
      <c r="AA53" s="3"/>
    </row>
    <row r="54" spans="1:27">
      <c r="A54" s="3"/>
      <c r="B54" s="3"/>
      <c r="C54" s="334"/>
      <c r="D54" s="335"/>
      <c r="E54" s="335"/>
      <c r="F54" s="335"/>
      <c r="G54" s="335"/>
      <c r="H54" s="335"/>
      <c r="I54" s="335"/>
      <c r="J54" s="335"/>
      <c r="K54" s="335"/>
      <c r="L54" s="335"/>
      <c r="M54" s="324"/>
      <c r="N54" s="3"/>
      <c r="O54" s="364" t="s">
        <v>780</v>
      </c>
      <c r="P54" s="379"/>
      <c r="Q54" s="294"/>
      <c r="R54" s="294"/>
      <c r="S54" s="294"/>
      <c r="T54" s="294"/>
      <c r="U54" s="294"/>
      <c r="V54" s="244" t="s">
        <v>140</v>
      </c>
      <c r="W54" s="3"/>
      <c r="X54" s="3"/>
      <c r="Y54" s="3"/>
      <c r="Z54" s="3"/>
      <c r="AA54" s="3"/>
    </row>
    <row r="55" spans="1:27">
      <c r="A55" s="3"/>
      <c r="B55" s="3"/>
      <c r="C55" s="334"/>
      <c r="D55" s="335"/>
      <c r="E55" s="335" t="s">
        <v>234</v>
      </c>
      <c r="F55" s="335"/>
      <c r="G55" s="335"/>
      <c r="H55" s="335"/>
      <c r="I55" s="335"/>
      <c r="J55" s="351">
        <f>SUM(J47:J52)</f>
        <v>1.2490000000000001</v>
      </c>
      <c r="K55" s="335" t="s">
        <v>860</v>
      </c>
      <c r="L55" s="335"/>
      <c r="M55" s="324"/>
      <c r="N55" s="3"/>
      <c r="O55" s="296"/>
      <c r="P55" s="298"/>
      <c r="Q55" s="298"/>
      <c r="R55" s="298"/>
      <c r="S55" s="298"/>
      <c r="T55" s="298"/>
      <c r="U55" s="298"/>
      <c r="V55" s="365"/>
      <c r="W55" s="3"/>
      <c r="X55" s="3"/>
      <c r="Y55" s="3"/>
      <c r="Z55" s="3"/>
      <c r="AA55" s="3"/>
    </row>
    <row r="56" spans="1:27">
      <c r="A56" s="3"/>
      <c r="B56" s="3"/>
      <c r="C56" s="334"/>
      <c r="D56" s="335"/>
      <c r="E56" s="335"/>
      <c r="F56" s="335"/>
      <c r="G56" s="335"/>
      <c r="H56" s="335"/>
      <c r="I56" s="335"/>
      <c r="J56" s="335"/>
      <c r="K56" s="335"/>
      <c r="L56" s="335"/>
      <c r="M56" s="324"/>
      <c r="N56" s="3"/>
      <c r="O56" s="296"/>
      <c r="P56" s="298"/>
      <c r="Q56" s="298" t="s">
        <v>252</v>
      </c>
      <c r="R56" s="298"/>
      <c r="S56" s="298"/>
      <c r="T56" s="298"/>
      <c r="U56" s="298"/>
      <c r="V56" s="365"/>
      <c r="W56" s="3"/>
      <c r="X56" s="3"/>
      <c r="Y56" s="3"/>
      <c r="Z56" s="3"/>
      <c r="AA56" s="3"/>
    </row>
    <row r="57" spans="1:27">
      <c r="A57" s="3"/>
      <c r="B57" s="3"/>
      <c r="C57" s="334"/>
      <c r="D57" s="335" t="s">
        <v>235</v>
      </c>
      <c r="E57" s="335"/>
      <c r="F57" s="335"/>
      <c r="G57" s="335"/>
      <c r="H57" s="335"/>
      <c r="I57" s="360" t="s">
        <v>236</v>
      </c>
      <c r="J57" s="352">
        <f>10^-(J55/10)</f>
        <v>0.75006689873606824</v>
      </c>
      <c r="K57" s="335"/>
      <c r="L57" s="335"/>
      <c r="M57" s="324"/>
      <c r="N57" s="3"/>
      <c r="O57" s="296"/>
      <c r="P57" s="298"/>
      <c r="Q57" s="298"/>
      <c r="R57" s="298" t="s">
        <v>249</v>
      </c>
      <c r="S57" s="298"/>
      <c r="T57" s="298"/>
      <c r="U57" s="298"/>
      <c r="V57" s="365"/>
      <c r="W57" s="3"/>
      <c r="X57" s="3"/>
      <c r="Y57" s="3"/>
      <c r="Z57" s="3"/>
      <c r="AA57" s="3"/>
    </row>
    <row r="58" spans="1:27">
      <c r="A58" s="3"/>
      <c r="B58" s="3"/>
      <c r="C58" s="334"/>
      <c r="D58" s="335"/>
      <c r="E58" s="335"/>
      <c r="F58" s="335"/>
      <c r="G58" s="335"/>
      <c r="H58" s="335"/>
      <c r="I58" s="335"/>
      <c r="J58" s="335"/>
      <c r="K58" s="335"/>
      <c r="L58" s="335"/>
      <c r="M58" s="324"/>
      <c r="N58" s="3"/>
      <c r="O58" s="296"/>
      <c r="P58" s="298"/>
      <c r="Q58" s="298" t="s">
        <v>251</v>
      </c>
      <c r="R58" s="298"/>
      <c r="S58" s="298"/>
      <c r="T58" s="764" t="s">
        <v>240</v>
      </c>
      <c r="U58" s="242">
        <f>J61</f>
        <v>290</v>
      </c>
      <c r="V58" s="365" t="s">
        <v>888</v>
      </c>
      <c r="W58" s="3"/>
      <c r="X58" s="3"/>
      <c r="Y58" s="3"/>
      <c r="Z58" s="3"/>
      <c r="AA58" s="3"/>
    </row>
    <row r="59" spans="1:27">
      <c r="A59" s="3"/>
      <c r="B59" s="3"/>
      <c r="C59" s="334"/>
      <c r="D59" s="335" t="s">
        <v>237</v>
      </c>
      <c r="E59" s="335"/>
      <c r="F59" s="335"/>
      <c r="G59" s="242" t="s">
        <v>140</v>
      </c>
      <c r="H59" s="335"/>
      <c r="I59" s="335" t="s">
        <v>238</v>
      </c>
      <c r="J59" s="349">
        <v>140</v>
      </c>
      <c r="K59" s="335" t="s">
        <v>888</v>
      </c>
      <c r="L59" s="335"/>
      <c r="M59" s="324"/>
      <c r="N59" s="3"/>
      <c r="O59" s="296"/>
      <c r="P59" s="298"/>
      <c r="Q59" s="298"/>
      <c r="R59" s="298"/>
      <c r="S59" s="298"/>
      <c r="T59" s="298"/>
      <c r="U59" s="298"/>
      <c r="V59" s="365"/>
      <c r="W59" s="3"/>
      <c r="X59" s="3"/>
      <c r="Y59" s="3"/>
      <c r="Z59" s="3"/>
      <c r="AA59" s="3"/>
    </row>
    <row r="60" spans="1:27">
      <c r="A60" s="3"/>
      <c r="B60" s="3"/>
      <c r="C60" s="334"/>
      <c r="D60" s="335"/>
      <c r="E60" s="335"/>
      <c r="F60" s="335"/>
      <c r="G60" s="335"/>
      <c r="H60" s="335"/>
      <c r="I60" s="335"/>
      <c r="J60" s="335"/>
      <c r="K60" s="335"/>
      <c r="L60" s="335"/>
      <c r="M60" s="324"/>
      <c r="N60" s="3"/>
      <c r="O60" s="296"/>
      <c r="P60" s="298"/>
      <c r="Q60" s="298"/>
      <c r="R60" s="298"/>
      <c r="S60" s="298"/>
      <c r="T60" s="298"/>
      <c r="U60" s="298"/>
      <c r="V60" s="365"/>
      <c r="W60" s="3"/>
      <c r="X60" s="3"/>
      <c r="Y60" s="3"/>
      <c r="Z60" s="3"/>
      <c r="AA60" s="3"/>
    </row>
    <row r="61" spans="1:27">
      <c r="A61" s="3"/>
      <c r="B61" s="3"/>
      <c r="C61" s="334"/>
      <c r="D61" s="335" t="s">
        <v>239</v>
      </c>
      <c r="E61" s="335"/>
      <c r="F61" s="335"/>
      <c r="G61" s="335"/>
      <c r="H61" s="335"/>
      <c r="I61" s="335" t="s">
        <v>240</v>
      </c>
      <c r="J61" s="349">
        <v>290</v>
      </c>
      <c r="K61" s="335" t="s">
        <v>888</v>
      </c>
      <c r="L61" s="335"/>
      <c r="M61" s="324"/>
      <c r="N61" s="3"/>
      <c r="O61" s="296"/>
      <c r="P61" s="298"/>
      <c r="Q61" s="366" t="s">
        <v>250</v>
      </c>
      <c r="R61" s="347">
        <v>0.55000000000000004</v>
      </c>
      <c r="S61" s="298" t="s">
        <v>860</v>
      </c>
      <c r="T61" s="366" t="s">
        <v>253</v>
      </c>
      <c r="U61" s="353">
        <f>J61*(10^(R61/10)-1)</f>
        <v>39.153136544971382</v>
      </c>
      <c r="V61" s="365" t="s">
        <v>888</v>
      </c>
      <c r="W61" s="3"/>
      <c r="X61" s="3"/>
      <c r="Y61" s="3"/>
      <c r="Z61" s="3"/>
      <c r="AA61" s="3"/>
    </row>
    <row r="62" spans="1:27">
      <c r="A62" s="3"/>
      <c r="B62" s="3"/>
      <c r="C62" s="334"/>
      <c r="D62" s="335"/>
      <c r="E62" s="335"/>
      <c r="F62" s="335"/>
      <c r="G62" s="335"/>
      <c r="H62" s="335"/>
      <c r="I62" s="335"/>
      <c r="J62" s="335"/>
      <c r="K62" s="335"/>
      <c r="L62" s="335"/>
      <c r="M62" s="324"/>
      <c r="N62" s="3"/>
      <c r="O62" s="296"/>
      <c r="P62" s="298"/>
      <c r="Q62" s="298"/>
      <c r="R62" s="298"/>
      <c r="S62" s="298"/>
      <c r="T62" s="298"/>
      <c r="U62" s="298"/>
      <c r="V62" s="365"/>
      <c r="W62" s="3"/>
      <c r="X62" s="3"/>
      <c r="Y62" s="3"/>
      <c r="Z62" s="3"/>
      <c r="AA62" s="3"/>
    </row>
    <row r="63" spans="1:27">
      <c r="A63" s="3"/>
      <c r="B63" s="3"/>
      <c r="C63" s="334"/>
      <c r="D63" s="335" t="s">
        <v>241</v>
      </c>
      <c r="E63" s="335"/>
      <c r="F63" s="335"/>
      <c r="G63" s="335"/>
      <c r="H63" s="335"/>
      <c r="I63" s="335" t="s">
        <v>242</v>
      </c>
      <c r="J63" s="349">
        <v>31</v>
      </c>
      <c r="K63" s="335" t="s">
        <v>888</v>
      </c>
      <c r="L63" s="335"/>
      <c r="M63" s="324"/>
      <c r="N63" s="3"/>
      <c r="O63" s="296"/>
      <c r="P63" s="298"/>
      <c r="Q63" s="298"/>
      <c r="R63" s="298"/>
      <c r="S63" s="367" t="s">
        <v>255</v>
      </c>
      <c r="T63" s="298"/>
      <c r="U63" s="298"/>
      <c r="V63" s="365"/>
      <c r="W63" s="3"/>
      <c r="X63" s="3"/>
      <c r="Y63" s="3"/>
      <c r="Z63" s="3"/>
      <c r="AA63" s="3"/>
    </row>
    <row r="64" spans="1:27">
      <c r="A64" s="3"/>
      <c r="B64" s="3"/>
      <c r="C64" s="334"/>
      <c r="D64" s="335"/>
      <c r="E64" s="335"/>
      <c r="F64" s="335"/>
      <c r="G64" s="335"/>
      <c r="H64" s="335"/>
      <c r="I64" s="335"/>
      <c r="J64" s="335"/>
      <c r="K64" s="335"/>
      <c r="L64" s="335"/>
      <c r="M64" s="324"/>
      <c r="N64" s="3"/>
      <c r="O64" s="296"/>
      <c r="P64" s="298"/>
      <c r="Q64" s="298"/>
      <c r="R64" s="298"/>
      <c r="S64" s="298"/>
      <c r="T64" s="298"/>
      <c r="U64" s="298"/>
      <c r="V64" s="365"/>
      <c r="W64" s="3"/>
      <c r="X64" s="3"/>
      <c r="Y64" s="3"/>
      <c r="Z64" s="3"/>
      <c r="AA64" s="3"/>
    </row>
    <row r="65" spans="1:27">
      <c r="A65" s="3"/>
      <c r="B65" s="3"/>
      <c r="C65" s="334"/>
      <c r="D65" s="335" t="s">
        <v>244</v>
      </c>
      <c r="E65" s="335"/>
      <c r="F65" s="350">
        <v>17</v>
      </c>
      <c r="G65" s="335" t="s">
        <v>860</v>
      </c>
      <c r="H65" s="335"/>
      <c r="I65" s="335" t="s">
        <v>245</v>
      </c>
      <c r="J65" s="358">
        <f>10^(F65/10)</f>
        <v>50.118723362727238</v>
      </c>
      <c r="K65" s="335"/>
      <c r="L65" s="335"/>
      <c r="M65" s="324"/>
      <c r="N65" s="3"/>
      <c r="O65" s="296"/>
      <c r="P65" s="298"/>
      <c r="Q65" s="366" t="s">
        <v>253</v>
      </c>
      <c r="R65" s="348">
        <v>500</v>
      </c>
      <c r="S65" s="298" t="s">
        <v>888</v>
      </c>
      <c r="T65" s="366" t="s">
        <v>254</v>
      </c>
      <c r="U65" s="363">
        <f>10*LOG10(1+(R65/J61))</f>
        <v>4.352290933914853</v>
      </c>
      <c r="V65" s="365" t="s">
        <v>860</v>
      </c>
      <c r="W65" s="3"/>
      <c r="X65" s="3"/>
      <c r="Y65" s="3"/>
      <c r="Z65" s="3"/>
      <c r="AA65" s="3"/>
    </row>
    <row r="66" spans="1:27">
      <c r="A66" s="3"/>
      <c r="B66" s="3"/>
      <c r="C66" s="334"/>
      <c r="D66" s="335"/>
      <c r="E66" s="335"/>
      <c r="F66" s="335"/>
      <c r="G66" s="335"/>
      <c r="H66" s="335"/>
      <c r="I66" s="335"/>
      <c r="J66" s="335"/>
      <c r="K66" s="335"/>
      <c r="L66" s="335"/>
      <c r="M66" s="324"/>
      <c r="N66" s="3"/>
      <c r="O66" s="296"/>
      <c r="P66" s="298"/>
      <c r="Q66" s="298"/>
      <c r="R66" s="298"/>
      <c r="S66" s="298"/>
      <c r="T66" s="298"/>
      <c r="U66" s="298"/>
      <c r="V66" s="365"/>
      <c r="W66" s="3"/>
      <c r="X66" s="3"/>
      <c r="Y66" s="3"/>
      <c r="Z66" s="3"/>
      <c r="AA66" s="3"/>
    </row>
    <row r="67" spans="1:27">
      <c r="A67" s="3"/>
      <c r="B67" s="3"/>
      <c r="C67" s="334"/>
      <c r="D67" s="335" t="s">
        <v>243</v>
      </c>
      <c r="E67" s="335"/>
      <c r="F67" s="335"/>
      <c r="G67" s="335"/>
      <c r="H67" s="335"/>
      <c r="I67" s="335" t="s">
        <v>246</v>
      </c>
      <c r="J67" s="981">
        <v>15647</v>
      </c>
      <c r="K67" s="335" t="s">
        <v>888</v>
      </c>
      <c r="L67" s="335"/>
      <c r="M67" s="324"/>
      <c r="N67" s="3"/>
      <c r="O67" s="296"/>
      <c r="P67" s="298"/>
      <c r="Q67" s="298"/>
      <c r="R67" s="298"/>
      <c r="S67" s="298"/>
      <c r="T67" s="298"/>
      <c r="U67" s="298"/>
      <c r="V67" s="365"/>
      <c r="W67" s="3"/>
      <c r="X67" s="3"/>
      <c r="Y67" s="3"/>
      <c r="Z67" s="3"/>
      <c r="AA67" s="3"/>
    </row>
    <row r="68" spans="1:27">
      <c r="A68" s="3"/>
      <c r="B68" s="3"/>
      <c r="C68" s="334"/>
      <c r="D68" s="335"/>
      <c r="E68" s="335"/>
      <c r="F68" s="335"/>
      <c r="G68" s="335"/>
      <c r="H68" s="335"/>
      <c r="I68" s="335"/>
      <c r="J68" s="335"/>
      <c r="K68" s="335"/>
      <c r="L68" s="335"/>
      <c r="M68" s="324"/>
      <c r="N68" s="3"/>
      <c r="O68" s="296"/>
      <c r="P68" s="298"/>
      <c r="Q68" s="298"/>
      <c r="R68" s="298"/>
      <c r="S68" s="298"/>
      <c r="T68" s="298"/>
      <c r="U68" s="298"/>
      <c r="V68" s="365"/>
      <c r="W68" s="3"/>
      <c r="X68" s="3"/>
      <c r="Y68" s="3"/>
      <c r="Z68" s="3"/>
      <c r="AA68" s="3"/>
    </row>
    <row r="69" spans="1:27">
      <c r="A69" s="3"/>
      <c r="B69" s="3"/>
      <c r="C69" s="334"/>
      <c r="D69" s="335"/>
      <c r="E69" s="335"/>
      <c r="F69" s="335"/>
      <c r="G69" s="335"/>
      <c r="H69" s="335"/>
      <c r="I69" s="335"/>
      <c r="J69" s="335"/>
      <c r="K69" s="335"/>
      <c r="L69" s="361"/>
      <c r="M69" s="324"/>
      <c r="N69" s="3"/>
      <c r="O69" s="296"/>
      <c r="P69" s="298"/>
      <c r="Q69" s="368"/>
      <c r="R69" s="369" t="s">
        <v>256</v>
      </c>
      <c r="S69" s="368"/>
      <c r="T69" s="298"/>
      <c r="U69" s="369" t="s">
        <v>257</v>
      </c>
      <c r="V69" s="365"/>
      <c r="W69" s="3"/>
      <c r="X69" s="3"/>
      <c r="Y69" s="3"/>
      <c r="Z69" s="3"/>
      <c r="AA69" s="3"/>
    </row>
    <row r="70" spans="1:27">
      <c r="A70" s="3"/>
      <c r="B70" s="3"/>
      <c r="C70" s="334"/>
      <c r="D70" s="335" t="s">
        <v>247</v>
      </c>
      <c r="E70" s="335"/>
      <c r="F70" s="335"/>
      <c r="G70" s="335"/>
      <c r="H70" s="335"/>
      <c r="I70" s="335" t="s">
        <v>248</v>
      </c>
      <c r="J70" s="362">
        <f>J59*J57+J61*(1-J57)+J63+(J67/J65)</f>
        <v>520.68865961277027</v>
      </c>
      <c r="K70" s="335" t="s">
        <v>888</v>
      </c>
      <c r="L70" s="335"/>
      <c r="M70" s="324"/>
      <c r="N70" s="3"/>
      <c r="O70" s="296"/>
      <c r="P70" s="298"/>
      <c r="Q70" s="298"/>
      <c r="R70" s="298"/>
      <c r="S70" s="298"/>
      <c r="T70" s="298"/>
      <c r="U70" s="298"/>
      <c r="V70" s="365"/>
      <c r="W70" s="3"/>
      <c r="X70" s="3"/>
      <c r="Y70" s="3"/>
      <c r="Z70" s="3"/>
      <c r="AA70" s="3"/>
    </row>
    <row r="71" spans="1:27">
      <c r="A71" s="3"/>
      <c r="B71" s="3"/>
      <c r="C71" s="334"/>
      <c r="D71" s="335"/>
      <c r="E71" s="335"/>
      <c r="F71" s="335"/>
      <c r="G71" s="335"/>
      <c r="H71" s="335"/>
      <c r="I71" s="335"/>
      <c r="J71" s="335"/>
      <c r="K71" s="335"/>
      <c r="L71" s="335"/>
      <c r="M71" s="324"/>
      <c r="N71" s="3"/>
      <c r="O71" s="299"/>
      <c r="P71" s="300"/>
      <c r="Q71" s="300"/>
      <c r="R71" s="300"/>
      <c r="S71" s="300"/>
      <c r="T71" s="300"/>
      <c r="U71" s="300"/>
      <c r="V71" s="301"/>
      <c r="W71" s="3"/>
      <c r="X71" s="3"/>
      <c r="Y71" s="3"/>
      <c r="Z71" s="3"/>
      <c r="AA71" s="3"/>
    </row>
    <row r="72" spans="1:27">
      <c r="A72" s="3"/>
      <c r="B72" s="3"/>
      <c r="C72" s="334"/>
      <c r="D72" s="335"/>
      <c r="E72" s="335"/>
      <c r="F72" s="335"/>
      <c r="G72" s="335"/>
      <c r="H72" s="335"/>
      <c r="I72" s="335"/>
      <c r="J72" s="335"/>
      <c r="K72" s="335"/>
      <c r="L72" s="335"/>
      <c r="M72" s="324"/>
      <c r="N72" s="3"/>
      <c r="O72" s="3"/>
      <c r="P72" s="3"/>
      <c r="Q72" s="3"/>
      <c r="R72" s="3"/>
      <c r="S72" s="3"/>
      <c r="T72" s="3"/>
      <c r="U72" s="3"/>
      <c r="V72" s="3"/>
      <c r="W72" s="3"/>
      <c r="X72" s="3"/>
      <c r="Y72" s="3"/>
      <c r="Z72" s="3"/>
      <c r="AA72" s="3"/>
    </row>
    <row r="73" spans="1:27">
      <c r="A73" s="3"/>
      <c r="B73" s="3"/>
      <c r="C73" s="342"/>
      <c r="D73" s="343"/>
      <c r="E73" s="343"/>
      <c r="F73" s="343"/>
      <c r="G73" s="343"/>
      <c r="H73" s="343"/>
      <c r="I73" s="343"/>
      <c r="J73" s="343"/>
      <c r="K73" s="343"/>
      <c r="L73" s="343"/>
      <c r="M73" s="344"/>
      <c r="N73" s="3"/>
      <c r="O73" s="3"/>
      <c r="P73" s="3"/>
      <c r="Q73" s="3"/>
      <c r="R73" s="3"/>
      <c r="S73" s="3"/>
      <c r="T73" s="3"/>
      <c r="U73" s="3"/>
      <c r="V73" s="3"/>
      <c r="W73" s="3"/>
      <c r="X73" s="3"/>
      <c r="Y73" s="3"/>
      <c r="Z73" s="3"/>
      <c r="AA73" s="3"/>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818</v>
      </c>
      <c r="M76" s="3"/>
      <c r="N76" s="3"/>
      <c r="O76" s="3"/>
      <c r="P76" s="3"/>
      <c r="Q76" s="3"/>
      <c r="R76" s="3"/>
      <c r="S76" s="3"/>
      <c r="T76" s="3"/>
      <c r="U76" s="3"/>
      <c r="V76" s="3"/>
      <c r="W76" s="3"/>
      <c r="X76" s="3"/>
      <c r="Y76" s="3"/>
      <c r="Z76" s="3"/>
      <c r="AA76" s="3"/>
    </row>
    <row r="77" spans="1:27" ht="15.75">
      <c r="A77" s="3"/>
      <c r="B77" s="273" t="s">
        <v>258</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c r="A80" s="3"/>
      <c r="B80" s="3"/>
      <c r="C80" s="101"/>
      <c r="D80" s="101"/>
      <c r="E80" s="101"/>
      <c r="F80" s="101"/>
      <c r="G80" s="101"/>
      <c r="H80" s="101"/>
      <c r="I80" s="101"/>
      <c r="J80" s="101"/>
      <c r="K80" s="101"/>
      <c r="L80" s="3"/>
      <c r="M80" s="3"/>
      <c r="N80" s="3"/>
      <c r="O80" s="3"/>
      <c r="P80" s="3"/>
      <c r="Q80" s="3"/>
      <c r="R80" s="3"/>
      <c r="S80" s="3"/>
      <c r="T80" s="3"/>
      <c r="U80" s="3"/>
      <c r="V80" s="3"/>
      <c r="W80" s="3"/>
      <c r="X80" s="3"/>
      <c r="Y80" s="3"/>
      <c r="Z80" s="3"/>
      <c r="AA80" s="3"/>
    </row>
    <row r="81" spans="1:27">
      <c r="A81" s="3"/>
      <c r="B81" s="3"/>
      <c r="C81" s="370" t="s">
        <v>159</v>
      </c>
      <c r="D81" s="180"/>
      <c r="E81" s="180"/>
      <c r="F81" s="180"/>
      <c r="G81" s="180"/>
      <c r="H81" s="180"/>
      <c r="I81" s="180"/>
      <c r="J81" s="180"/>
      <c r="K81" s="180"/>
      <c r="L81" s="180"/>
      <c r="M81" s="996" t="s">
        <v>1087</v>
      </c>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t="s">
        <v>209</v>
      </c>
      <c r="J83" s="141"/>
      <c r="K83" s="141" t="s">
        <v>765</v>
      </c>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41"/>
      <c r="E85" s="141"/>
      <c r="F85" s="141"/>
      <c r="G85" s="141"/>
      <c r="H85" s="141"/>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t="s">
        <v>203</v>
      </c>
      <c r="E87" s="141"/>
      <c r="F87" s="192" t="s">
        <v>204</v>
      </c>
      <c r="G87" s="141"/>
      <c r="H87" s="192" t="s">
        <v>205</v>
      </c>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92" t="s">
        <v>206</v>
      </c>
      <c r="E89" s="141"/>
      <c r="F89" s="192" t="s">
        <v>207</v>
      </c>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c r="A93" s="3"/>
      <c r="B93" s="3"/>
      <c r="C93" s="177"/>
      <c r="D93" s="141" t="s">
        <v>201</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c r="E94" s="141"/>
      <c r="F94" s="141"/>
      <c r="G94" s="141"/>
      <c r="H94" s="141"/>
      <c r="I94" s="141"/>
      <c r="J94" s="141"/>
      <c r="K94" s="141"/>
      <c r="L94" s="141"/>
      <c r="M94" s="182"/>
      <c r="N94" s="3"/>
      <c r="O94" s="3"/>
      <c r="P94" s="3"/>
      <c r="Q94" s="3"/>
      <c r="R94" s="3"/>
      <c r="S94" s="3"/>
      <c r="T94" s="3"/>
      <c r="U94" s="3"/>
      <c r="V94" s="3"/>
      <c r="W94" s="3"/>
      <c r="X94" s="3"/>
      <c r="Y94" s="3"/>
      <c r="Z94" s="3"/>
      <c r="AA94" s="3"/>
    </row>
    <row r="95" spans="1:27">
      <c r="A95" s="3"/>
      <c r="B95" s="3"/>
      <c r="C95" s="177"/>
      <c r="D95" s="371" t="s">
        <v>766</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202</v>
      </c>
      <c r="E96" s="141"/>
      <c r="F96" s="141"/>
      <c r="G96" s="372"/>
      <c r="H96" s="141"/>
      <c r="I96" s="141"/>
      <c r="J96" s="141"/>
      <c r="K96" s="141"/>
      <c r="L96" s="141"/>
      <c r="M96" s="182"/>
      <c r="N96" s="3"/>
      <c r="O96" s="3"/>
      <c r="P96" s="3"/>
      <c r="Q96" s="3"/>
      <c r="R96" s="3"/>
      <c r="S96" s="3"/>
      <c r="T96" s="3"/>
      <c r="U96" s="3"/>
      <c r="V96" s="3"/>
      <c r="W96" s="3"/>
      <c r="X96" s="3"/>
      <c r="Y96" s="3"/>
      <c r="Z96" s="3"/>
      <c r="AA96" s="3"/>
    </row>
    <row r="97" spans="1:27">
      <c r="A97" s="3"/>
      <c r="B97" s="3"/>
      <c r="C97" s="177"/>
      <c r="D97" s="373" t="s">
        <v>1045</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73" t="s">
        <v>1046</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73" t="s">
        <v>1038</v>
      </c>
      <c r="E99" s="141"/>
      <c r="F99" s="141"/>
      <c r="G99" s="141"/>
      <c r="H99" s="141"/>
      <c r="I99" s="141"/>
      <c r="J99" s="141"/>
      <c r="K99" s="141"/>
      <c r="L99" s="141"/>
      <c r="M99" s="182"/>
      <c r="N99" s="3"/>
      <c r="O99" s="3"/>
      <c r="P99" s="3"/>
      <c r="Q99" s="3"/>
      <c r="R99" s="3"/>
      <c r="S99" s="3"/>
      <c r="T99" s="3"/>
      <c r="U99" s="3"/>
      <c r="V99" s="3"/>
      <c r="W99" s="3"/>
      <c r="X99" s="3"/>
      <c r="Y99" s="3"/>
      <c r="Z99" s="3"/>
      <c r="AA99" s="3"/>
    </row>
    <row r="100" spans="1:27">
      <c r="A100" s="3"/>
      <c r="B100" s="3"/>
      <c r="C100" s="177"/>
      <c r="D100" s="373" t="s">
        <v>1047</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373" t="s">
        <v>1040</v>
      </c>
      <c r="E101" s="141"/>
      <c r="F101" s="141"/>
      <c r="G101" s="141"/>
      <c r="H101" s="141"/>
      <c r="I101" s="242" t="s">
        <v>140</v>
      </c>
      <c r="J101" s="141" t="s">
        <v>818</v>
      </c>
      <c r="K101" s="141"/>
      <c r="L101" s="141"/>
      <c r="M101" s="182"/>
      <c r="N101" s="3"/>
      <c r="O101" s="3"/>
      <c r="P101" s="3"/>
      <c r="Q101" s="3"/>
      <c r="R101" s="3"/>
      <c r="S101" s="3"/>
      <c r="T101" s="3"/>
      <c r="U101" s="3"/>
      <c r="V101" s="3"/>
      <c r="W101" s="3"/>
      <c r="X101" s="3"/>
      <c r="Y101" s="3"/>
      <c r="Z101" s="3"/>
      <c r="AA101" s="3"/>
    </row>
    <row r="102" spans="1:27">
      <c r="A102" s="3"/>
      <c r="B102" s="3"/>
      <c r="C102" s="177"/>
      <c r="D102" s="374" t="s">
        <v>208</v>
      </c>
      <c r="E102" s="141"/>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t="s">
        <v>202</v>
      </c>
      <c r="E103" s="141"/>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141" t="s">
        <v>1042</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t="s">
        <v>1043</v>
      </c>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943" t="s">
        <v>1044</v>
      </c>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c r="E107" s="141"/>
      <c r="F107" s="141"/>
      <c r="G107" s="141"/>
      <c r="H107" s="141"/>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1" t="s">
        <v>219</v>
      </c>
      <c r="E109" s="141"/>
      <c r="F109" s="141"/>
      <c r="G109" s="141"/>
      <c r="H109" s="242" t="s">
        <v>140</v>
      </c>
      <c r="I109" s="141"/>
      <c r="J109" s="141"/>
      <c r="K109" s="141"/>
      <c r="L109" s="141"/>
      <c r="M109" s="182"/>
      <c r="N109" s="3"/>
      <c r="O109" s="3"/>
      <c r="P109" s="3"/>
      <c r="Q109" s="3"/>
      <c r="R109" s="3"/>
      <c r="S109" s="3"/>
      <c r="T109" s="3"/>
      <c r="U109" s="3"/>
      <c r="V109" s="3"/>
      <c r="W109" s="3"/>
      <c r="X109" s="3"/>
      <c r="Y109" s="3"/>
      <c r="Z109" s="3"/>
      <c r="AA109" s="3"/>
    </row>
    <row r="110" spans="1:27">
      <c r="A110" s="3"/>
      <c r="B110" s="3"/>
      <c r="C110" s="177"/>
      <c r="D110" s="141"/>
      <c r="E110" s="141"/>
      <c r="F110" s="141"/>
      <c r="G110" s="141"/>
      <c r="H110" s="141"/>
      <c r="I110" s="141"/>
      <c r="J110" s="141"/>
      <c r="K110" s="141"/>
      <c r="L110" s="141"/>
      <c r="M110" s="182"/>
      <c r="N110" s="3"/>
      <c r="O110" s="3"/>
      <c r="P110" s="3"/>
      <c r="Q110" s="3"/>
      <c r="R110" s="3"/>
      <c r="S110" s="3"/>
      <c r="T110" s="3"/>
      <c r="U110" s="3"/>
      <c r="V110" s="3"/>
      <c r="W110" s="3"/>
      <c r="X110" s="3"/>
      <c r="Y110" s="3"/>
      <c r="Z110" s="3"/>
      <c r="AA110" s="3"/>
    </row>
    <row r="111" spans="1:27">
      <c r="A111" s="3"/>
      <c r="B111" s="3"/>
      <c r="C111" s="177"/>
      <c r="D111" s="142" t="s">
        <v>818</v>
      </c>
      <c r="E111" s="141" t="s">
        <v>182</v>
      </c>
      <c r="F111" s="141"/>
      <c r="G111" s="533" t="s">
        <v>1082</v>
      </c>
      <c r="H111" s="985"/>
      <c r="I111" s="141"/>
      <c r="J111" s="980">
        <v>1</v>
      </c>
      <c r="K111" s="141" t="s">
        <v>858</v>
      </c>
      <c r="L111" s="141"/>
      <c r="M111" s="182"/>
      <c r="N111" s="3"/>
      <c r="O111" s="3"/>
      <c r="P111" s="3"/>
      <c r="Q111" s="3"/>
      <c r="R111" s="3"/>
      <c r="S111" s="3"/>
      <c r="T111" s="3"/>
      <c r="U111" s="3"/>
      <c r="V111" s="3"/>
      <c r="W111" s="3"/>
      <c r="X111" s="3"/>
      <c r="Y111" s="3"/>
      <c r="Z111" s="3"/>
      <c r="AA111" s="3"/>
    </row>
    <row r="112" spans="1:27">
      <c r="A112" s="3"/>
      <c r="B112" s="3"/>
      <c r="C112" s="177"/>
      <c r="D112" s="141"/>
      <c r="E112" s="141" t="s">
        <v>183</v>
      </c>
      <c r="F112" s="141"/>
      <c r="G112" s="533" t="s">
        <v>527</v>
      </c>
      <c r="H112" s="985"/>
      <c r="I112" s="141"/>
      <c r="J112" s="980">
        <v>0</v>
      </c>
      <c r="K112" s="141" t="s">
        <v>858</v>
      </c>
      <c r="L112" s="141"/>
      <c r="M112" s="182"/>
      <c r="N112" s="3"/>
      <c r="O112" s="3"/>
      <c r="P112" s="3"/>
      <c r="Q112" s="3"/>
      <c r="R112" s="3"/>
      <c r="S112" s="3"/>
      <c r="T112" s="3"/>
      <c r="U112" s="3"/>
      <c r="V112" s="3"/>
      <c r="W112" s="3"/>
      <c r="X112" s="3"/>
      <c r="Y112" s="3"/>
      <c r="Z112" s="3"/>
      <c r="AA112" s="3"/>
    </row>
    <row r="113" spans="1:27">
      <c r="A113" s="3"/>
      <c r="B113" s="3"/>
      <c r="C113" s="177"/>
      <c r="D113" s="141"/>
      <c r="E113" s="141" t="s">
        <v>184</v>
      </c>
      <c r="F113" s="141"/>
      <c r="G113" s="533" t="s">
        <v>527</v>
      </c>
      <c r="H113" s="985"/>
      <c r="I113" s="141"/>
      <c r="J113" s="980">
        <v>0</v>
      </c>
      <c r="K113" s="141" t="s">
        <v>858</v>
      </c>
      <c r="L113" s="141"/>
      <c r="M113" s="182"/>
      <c r="N113" s="3"/>
      <c r="O113" s="3"/>
      <c r="P113" s="3"/>
      <c r="Q113" s="3"/>
      <c r="R113" s="3"/>
      <c r="S113" s="3"/>
      <c r="T113" s="3"/>
      <c r="U113" s="3"/>
      <c r="V113" s="3"/>
      <c r="W113" s="3"/>
      <c r="X113" s="3"/>
      <c r="Y113" s="3"/>
      <c r="Z113" s="3"/>
      <c r="AA113" s="3"/>
    </row>
    <row r="114" spans="1:27">
      <c r="A114" s="3"/>
      <c r="B114" s="3"/>
      <c r="C114" s="177"/>
      <c r="D114" s="141"/>
      <c r="E114" s="141"/>
      <c r="F114" s="141"/>
      <c r="G114" s="141"/>
      <c r="H114" s="141"/>
      <c r="I114" s="141"/>
      <c r="J114" s="332"/>
      <c r="K114" s="141"/>
      <c r="L114" s="141"/>
      <c r="M114" s="182"/>
      <c r="N114" s="3"/>
      <c r="O114" s="3"/>
      <c r="P114" s="3"/>
      <c r="Q114" s="3"/>
      <c r="R114" s="3"/>
      <c r="S114" s="3"/>
      <c r="T114" s="3"/>
      <c r="U114" s="3"/>
      <c r="V114" s="3"/>
      <c r="W114" s="3"/>
      <c r="X114" s="3"/>
      <c r="Y114" s="3"/>
      <c r="Z114" s="3"/>
      <c r="AA114" s="3"/>
    </row>
    <row r="115" spans="1:27">
      <c r="A115" s="3"/>
      <c r="B115" s="3"/>
      <c r="C115" s="177"/>
      <c r="D115" s="141"/>
      <c r="E115" s="141" t="s">
        <v>1077</v>
      </c>
      <c r="F115" s="141"/>
      <c r="G115" s="141"/>
      <c r="H115" s="141"/>
      <c r="I115" s="141"/>
      <c r="J115" s="332"/>
      <c r="K115" s="141"/>
      <c r="L115" s="141"/>
      <c r="M115" s="182"/>
      <c r="N115" s="3"/>
      <c r="O115" s="3"/>
      <c r="P115" s="3"/>
      <c r="Q115" s="3"/>
      <c r="R115" s="3"/>
      <c r="S115" s="3"/>
      <c r="T115" s="3"/>
      <c r="U115" s="3"/>
      <c r="V115" s="3"/>
      <c r="W115" s="3"/>
      <c r="X115" s="3"/>
      <c r="Y115" s="3"/>
      <c r="Z115" s="3"/>
      <c r="AA115" s="3"/>
    </row>
    <row r="116" spans="1:27">
      <c r="A116" s="3"/>
      <c r="B116" s="3"/>
      <c r="C116" s="177"/>
      <c r="D116" s="141"/>
      <c r="E116" s="141" t="s">
        <v>1072</v>
      </c>
      <c r="F116" s="141"/>
      <c r="G116" s="141"/>
      <c r="H116" s="992">
        <v>7.5899999999999995E-2</v>
      </c>
      <c r="I116" s="192" t="s">
        <v>1086</v>
      </c>
      <c r="J116" s="990">
        <f>Frequency!$M$16</f>
        <v>436.5</v>
      </c>
      <c r="K116" s="141" t="s">
        <v>857</v>
      </c>
      <c r="L116" s="141"/>
      <c r="M116" s="182"/>
      <c r="N116" s="3"/>
      <c r="O116" s="3"/>
      <c r="P116" s="3"/>
      <c r="Q116" s="3"/>
      <c r="R116" s="3"/>
      <c r="S116" s="3"/>
      <c r="T116" s="3"/>
      <c r="U116" s="3"/>
      <c r="V116" s="3"/>
      <c r="W116" s="3"/>
      <c r="X116" s="3"/>
      <c r="Y116" s="3"/>
      <c r="Z116" s="3"/>
      <c r="AA116" s="3"/>
    </row>
    <row r="117" spans="1:27">
      <c r="A117" s="3"/>
      <c r="B117" s="3"/>
      <c r="C117" s="177"/>
      <c r="D117" s="141"/>
      <c r="E117" s="141" t="s">
        <v>1072</v>
      </c>
      <c r="F117" s="141"/>
      <c r="G117" s="141"/>
      <c r="H117" s="992">
        <v>0.3</v>
      </c>
      <c r="I117" s="192" t="s">
        <v>1086</v>
      </c>
      <c r="J117" s="990">
        <f>Frequency!$M$16</f>
        <v>436.5</v>
      </c>
      <c r="K117" s="141" t="s">
        <v>857</v>
      </c>
      <c r="L117" s="141"/>
      <c r="M117" s="182"/>
      <c r="N117" s="3"/>
      <c r="O117" s="3"/>
      <c r="P117" s="3"/>
      <c r="Q117" s="3"/>
      <c r="R117" s="3"/>
      <c r="S117" s="3"/>
      <c r="T117" s="3"/>
      <c r="U117" s="3"/>
      <c r="V117" s="3"/>
      <c r="W117" s="3"/>
      <c r="X117" s="3"/>
      <c r="Y117" s="3"/>
      <c r="Z117" s="3"/>
      <c r="AA117" s="3"/>
    </row>
    <row r="118" spans="1:27">
      <c r="A118" s="3"/>
      <c r="B118" s="3"/>
      <c r="C118" s="177"/>
      <c r="D118" s="141"/>
      <c r="E118" s="141" t="s">
        <v>1072</v>
      </c>
      <c r="F118" s="141"/>
      <c r="G118" s="141"/>
      <c r="H118" s="992">
        <v>0.3</v>
      </c>
      <c r="I118" s="192" t="s">
        <v>1086</v>
      </c>
      <c r="J118" s="990">
        <f>Frequency!$M$16</f>
        <v>436.5</v>
      </c>
      <c r="K118" s="141" t="s">
        <v>857</v>
      </c>
      <c r="L118" s="141"/>
      <c r="M118" s="182"/>
      <c r="N118" s="3"/>
      <c r="O118" s="3"/>
      <c r="P118" s="3"/>
      <c r="Q118" s="3"/>
      <c r="R118" s="3"/>
      <c r="S118" s="3"/>
      <c r="T118" s="3"/>
      <c r="U118" s="3"/>
      <c r="V118" s="3"/>
      <c r="W118" s="3"/>
      <c r="X118" s="3"/>
      <c r="Y118" s="3"/>
      <c r="Z118" s="3"/>
      <c r="AA118" s="3"/>
    </row>
    <row r="119" spans="1:27">
      <c r="A119" s="3"/>
      <c r="B119" s="3"/>
      <c r="C119" s="177"/>
      <c r="D119" s="141"/>
      <c r="E119" s="141"/>
      <c r="F119" s="141"/>
      <c r="G119" s="141"/>
      <c r="H119" s="141"/>
      <c r="I119" s="141"/>
      <c r="J119" s="141"/>
      <c r="K119" s="141"/>
      <c r="L119" s="141"/>
      <c r="M119" s="182"/>
      <c r="N119" s="3"/>
      <c r="O119" s="3"/>
      <c r="P119" s="3"/>
      <c r="Q119" s="3"/>
      <c r="R119" s="3"/>
      <c r="S119" s="3"/>
      <c r="T119" s="3"/>
      <c r="U119" s="3"/>
      <c r="V119" s="3"/>
      <c r="W119" s="3"/>
      <c r="X119" s="3"/>
      <c r="Y119" s="3"/>
      <c r="Z119" s="3"/>
      <c r="AA119" s="3"/>
    </row>
    <row r="120" spans="1:27">
      <c r="A120" s="3"/>
      <c r="B120" s="3"/>
      <c r="C120" s="177"/>
      <c r="D120" s="141"/>
      <c r="E120" s="141" t="s">
        <v>224</v>
      </c>
      <c r="F120" s="141"/>
      <c r="G120" s="141"/>
      <c r="H120" s="141"/>
      <c r="I120" s="141" t="s">
        <v>221</v>
      </c>
      <c r="J120" s="141">
        <f>J111*H116</f>
        <v>7.5899999999999995E-2</v>
      </c>
      <c r="K120" s="141" t="s">
        <v>860</v>
      </c>
      <c r="L120" s="141"/>
      <c r="M120" s="182"/>
      <c r="N120" s="3"/>
      <c r="O120" s="3"/>
      <c r="P120" s="3"/>
      <c r="Q120" s="3"/>
      <c r="R120" s="3"/>
      <c r="S120" s="3"/>
      <c r="T120" s="3"/>
      <c r="U120" s="3"/>
      <c r="V120" s="3"/>
      <c r="W120" s="3"/>
      <c r="X120" s="3"/>
      <c r="Y120" s="3"/>
      <c r="Z120" s="3"/>
      <c r="AA120" s="3"/>
    </row>
    <row r="121" spans="1:27">
      <c r="A121" s="3"/>
      <c r="B121" s="3"/>
      <c r="C121" s="177"/>
      <c r="D121" s="141"/>
      <c r="E121" s="141" t="s">
        <v>228</v>
      </c>
      <c r="F121" s="141"/>
      <c r="G121" s="141"/>
      <c r="H121" s="141"/>
      <c r="I121" s="141" t="s">
        <v>222</v>
      </c>
      <c r="J121" s="141">
        <f t="shared" ref="J121:J122" si="1">J112*H117</f>
        <v>0</v>
      </c>
      <c r="K121" s="141" t="s">
        <v>860</v>
      </c>
      <c r="L121" s="141"/>
      <c r="M121" s="182"/>
      <c r="N121" s="3"/>
      <c r="O121" s="3"/>
      <c r="P121" s="3"/>
      <c r="Q121" s="3"/>
      <c r="R121" s="3"/>
      <c r="S121" s="3"/>
      <c r="T121" s="3"/>
      <c r="U121" s="3"/>
      <c r="V121" s="3"/>
      <c r="W121" s="3"/>
      <c r="X121" s="3"/>
      <c r="Y121" s="3"/>
      <c r="Z121" s="3"/>
      <c r="AA121" s="3"/>
    </row>
    <row r="122" spans="1:27">
      <c r="A122" s="3"/>
      <c r="B122" s="3"/>
      <c r="C122" s="177"/>
      <c r="D122" s="141"/>
      <c r="E122" s="141" t="s">
        <v>229</v>
      </c>
      <c r="F122" s="141"/>
      <c r="G122" s="141"/>
      <c r="H122" s="141"/>
      <c r="I122" s="141" t="s">
        <v>223</v>
      </c>
      <c r="J122" s="141">
        <f t="shared" si="1"/>
        <v>0</v>
      </c>
      <c r="K122" s="141" t="s">
        <v>860</v>
      </c>
      <c r="L122" s="141"/>
      <c r="M122" s="182"/>
      <c r="N122" s="3"/>
      <c r="O122" s="3"/>
      <c r="P122" s="3"/>
      <c r="Q122" s="3"/>
      <c r="R122" s="3"/>
      <c r="S122" s="3"/>
      <c r="T122" s="3"/>
      <c r="U122" s="3"/>
      <c r="V122" s="3"/>
      <c r="W122" s="3"/>
      <c r="X122" s="3"/>
      <c r="Y122" s="3"/>
      <c r="Z122" s="3"/>
      <c r="AA122" s="3"/>
    </row>
    <row r="123" spans="1:27">
      <c r="A123" s="3"/>
      <c r="B123" s="3"/>
      <c r="C123" s="177"/>
      <c r="D123" s="141"/>
      <c r="E123" s="141" t="s">
        <v>230</v>
      </c>
      <c r="F123" s="141"/>
      <c r="G123" s="141"/>
      <c r="H123" s="141"/>
      <c r="I123" s="141" t="s">
        <v>231</v>
      </c>
      <c r="J123" s="980">
        <v>0</v>
      </c>
      <c r="K123" s="141" t="s">
        <v>860</v>
      </c>
      <c r="L123" s="141" t="s">
        <v>1080</v>
      </c>
      <c r="M123" s="182"/>
      <c r="N123" s="3"/>
      <c r="O123" s="3"/>
      <c r="P123" s="3"/>
      <c r="Q123" s="3"/>
      <c r="R123" s="3"/>
      <c r="S123" s="3"/>
      <c r="T123" s="3"/>
      <c r="U123" s="3"/>
      <c r="V123" s="3"/>
      <c r="W123" s="3"/>
      <c r="X123" s="3"/>
      <c r="Y123" s="3"/>
      <c r="Z123" s="3"/>
      <c r="AA123" s="3"/>
    </row>
    <row r="124" spans="1:27">
      <c r="A124" s="3"/>
      <c r="B124" s="3"/>
      <c r="C124" s="177"/>
      <c r="D124" s="141"/>
      <c r="E124" s="141" t="s">
        <v>232</v>
      </c>
      <c r="F124" s="141"/>
      <c r="G124" s="141"/>
      <c r="H124" s="141"/>
      <c r="I124" s="141" t="s">
        <v>233</v>
      </c>
      <c r="J124" s="980">
        <v>0</v>
      </c>
      <c r="K124" s="141" t="s">
        <v>860</v>
      </c>
      <c r="L124" s="141"/>
      <c r="M124" s="182"/>
      <c r="N124" s="3"/>
      <c r="O124" s="364" t="s">
        <v>782</v>
      </c>
      <c r="P124" s="379"/>
      <c r="Q124" s="294"/>
      <c r="R124" s="294"/>
      <c r="S124" s="294"/>
      <c r="T124" s="294"/>
      <c r="U124" s="294"/>
      <c r="V124" s="295"/>
      <c r="W124" s="3"/>
      <c r="X124" s="3"/>
      <c r="Y124" s="3"/>
      <c r="Z124" s="3"/>
      <c r="AA124" s="3"/>
    </row>
    <row r="125" spans="1:27">
      <c r="A125" s="3"/>
      <c r="B125" s="3"/>
      <c r="C125" s="177"/>
      <c r="D125" s="141"/>
      <c r="E125" s="141" t="s">
        <v>259</v>
      </c>
      <c r="F125" s="141"/>
      <c r="G125" s="141"/>
      <c r="H125" s="265">
        <v>4</v>
      </c>
      <c r="I125" s="141" t="s">
        <v>261</v>
      </c>
      <c r="J125" s="998">
        <f>H125*0.05</f>
        <v>0.2</v>
      </c>
      <c r="K125" s="141" t="s">
        <v>860</v>
      </c>
      <c r="L125" s="141"/>
      <c r="M125" s="182"/>
      <c r="N125" s="3"/>
      <c r="O125" s="296"/>
      <c r="P125" s="298"/>
      <c r="Q125" s="298"/>
      <c r="R125" s="298"/>
      <c r="S125" s="298"/>
      <c r="T125" s="298"/>
      <c r="U125" s="298"/>
      <c r="V125" s="365"/>
      <c r="W125" s="3"/>
      <c r="X125" s="3"/>
      <c r="Y125" s="3"/>
      <c r="Z125" s="3"/>
      <c r="AA125" s="3"/>
    </row>
    <row r="126" spans="1:27">
      <c r="A126" s="3"/>
      <c r="B126" s="3"/>
      <c r="C126" s="177"/>
      <c r="D126" s="141"/>
      <c r="E126" s="141" t="s">
        <v>528</v>
      </c>
      <c r="F126" s="141"/>
      <c r="G126" s="141"/>
      <c r="H126" s="141"/>
      <c r="I126" s="141"/>
      <c r="J126" s="533" t="s">
        <v>527</v>
      </c>
      <c r="K126" s="378"/>
      <c r="L126" s="141"/>
      <c r="M126" s="182"/>
      <c r="N126" s="3"/>
      <c r="O126" s="296"/>
      <c r="P126" s="298" t="s">
        <v>266</v>
      </c>
      <c r="Q126" s="298"/>
      <c r="R126" s="298"/>
      <c r="S126" s="298"/>
      <c r="T126" s="298"/>
      <c r="U126" s="298"/>
      <c r="V126" s="365"/>
      <c r="W126" s="3"/>
      <c r="X126" s="3"/>
      <c r="Y126" s="3"/>
      <c r="Z126" s="3"/>
      <c r="AA126" s="3"/>
    </row>
    <row r="127" spans="1:27">
      <c r="A127" s="3"/>
      <c r="B127" s="3"/>
      <c r="C127" s="177"/>
      <c r="D127" s="141"/>
      <c r="E127" s="141"/>
      <c r="F127" s="141"/>
      <c r="G127" s="141"/>
      <c r="H127" s="141"/>
      <c r="I127" s="141"/>
      <c r="J127" s="141"/>
      <c r="K127" s="141"/>
      <c r="L127" s="141"/>
      <c r="M127" s="182"/>
      <c r="N127" s="3"/>
      <c r="O127" s="296"/>
      <c r="P127" s="298"/>
      <c r="Q127" s="298"/>
      <c r="R127" s="298"/>
      <c r="S127" s="298"/>
      <c r="T127" s="298"/>
      <c r="U127" s="298"/>
      <c r="V127" s="365"/>
      <c r="W127" s="3"/>
      <c r="X127" s="3"/>
      <c r="Y127" s="3"/>
      <c r="Z127" s="3"/>
      <c r="AA127" s="3"/>
    </row>
    <row r="128" spans="1:27">
      <c r="A128" s="3"/>
      <c r="B128" s="3"/>
      <c r="C128" s="177"/>
      <c r="D128" s="141"/>
      <c r="E128" s="141" t="s">
        <v>234</v>
      </c>
      <c r="F128" s="141"/>
      <c r="G128" s="141"/>
      <c r="H128" s="141"/>
      <c r="I128" s="141"/>
      <c r="J128" s="346">
        <f>SUM(J120:J125)</f>
        <v>0.27590000000000003</v>
      </c>
      <c r="K128" s="141" t="s">
        <v>860</v>
      </c>
      <c r="L128" s="141"/>
      <c r="M128" s="182"/>
      <c r="N128" s="3"/>
      <c r="O128" s="296"/>
      <c r="P128" s="298"/>
      <c r="Q128" s="298" t="s">
        <v>263</v>
      </c>
      <c r="R128" s="298"/>
      <c r="S128" s="298"/>
      <c r="T128" s="287">
        <v>436.5</v>
      </c>
      <c r="U128" s="41" t="s">
        <v>857</v>
      </c>
      <c r="V128" s="365"/>
      <c r="W128" s="3"/>
      <c r="X128" s="3"/>
      <c r="Y128" s="3"/>
      <c r="Z128" s="3"/>
      <c r="AA128" s="3"/>
    </row>
    <row r="129" spans="1:27">
      <c r="A129" s="3"/>
      <c r="B129" s="3"/>
      <c r="C129" s="177"/>
      <c r="D129" s="141"/>
      <c r="E129" s="141"/>
      <c r="F129" s="141"/>
      <c r="G129" s="141"/>
      <c r="H129" s="141"/>
      <c r="I129" s="141"/>
      <c r="J129" s="141"/>
      <c r="K129" s="141"/>
      <c r="L129" s="141"/>
      <c r="M129" s="182"/>
      <c r="N129" s="3"/>
      <c r="O129" s="296"/>
      <c r="P129" s="298"/>
      <c r="Q129" s="298"/>
      <c r="R129" s="298"/>
      <c r="S129" s="298"/>
      <c r="T129" s="298"/>
      <c r="U129" s="298"/>
      <c r="V129" s="365"/>
      <c r="W129" s="3"/>
      <c r="X129" s="3"/>
      <c r="Y129" s="3"/>
      <c r="Z129" s="3"/>
      <c r="AA129" s="3"/>
    </row>
    <row r="130" spans="1:27">
      <c r="A130" s="3"/>
      <c r="B130" s="3"/>
      <c r="C130" s="177"/>
      <c r="D130" s="141" t="s">
        <v>235</v>
      </c>
      <c r="E130" s="141"/>
      <c r="F130" s="141"/>
      <c r="G130" s="141"/>
      <c r="H130" s="141"/>
      <c r="I130" s="375" t="s">
        <v>236</v>
      </c>
      <c r="J130" s="352">
        <f>10^-(J128/10)</f>
        <v>0.93844753954139304</v>
      </c>
      <c r="K130" s="141"/>
      <c r="L130" s="141"/>
      <c r="M130" s="182"/>
      <c r="N130" s="3"/>
      <c r="O130" s="296"/>
      <c r="P130" s="298"/>
      <c r="Q130" s="298" t="s">
        <v>264</v>
      </c>
      <c r="R130" s="298"/>
      <c r="S130" s="298"/>
      <c r="T130" s="382">
        <f>80*((T128/1000)/0.25)^-2.75+2.7</f>
        <v>19.976999820031672</v>
      </c>
      <c r="U130" s="381" t="s">
        <v>888</v>
      </c>
      <c r="V130" s="365"/>
      <c r="W130" s="3"/>
      <c r="X130" s="3"/>
      <c r="Y130" s="3"/>
      <c r="Z130" s="3"/>
      <c r="AA130" s="3"/>
    </row>
    <row r="131" spans="1:27">
      <c r="A131" s="3"/>
      <c r="B131" s="3"/>
      <c r="C131" s="177"/>
      <c r="D131" s="141"/>
      <c r="E131" s="141"/>
      <c r="F131" s="141"/>
      <c r="G131" s="141"/>
      <c r="H131" s="141"/>
      <c r="I131" s="141"/>
      <c r="J131" s="141"/>
      <c r="K131" s="141"/>
      <c r="L131" s="141"/>
      <c r="M131" s="182"/>
      <c r="N131" s="3"/>
      <c r="O131" s="296"/>
      <c r="P131" s="298"/>
      <c r="Q131" s="298"/>
      <c r="R131" s="298"/>
      <c r="S131" s="298"/>
      <c r="T131" s="298"/>
      <c r="U131" s="366"/>
      <c r="V131" s="365"/>
      <c r="W131" s="3"/>
      <c r="X131" s="3"/>
      <c r="Y131" s="3"/>
      <c r="Z131" s="3"/>
      <c r="AA131" s="3"/>
    </row>
    <row r="132" spans="1:27">
      <c r="A132" s="3"/>
      <c r="B132" s="3"/>
      <c r="C132" s="177"/>
      <c r="D132" s="141" t="s">
        <v>237</v>
      </c>
      <c r="E132" s="141"/>
      <c r="F132" s="141"/>
      <c r="G132" s="242" t="s">
        <v>140</v>
      </c>
      <c r="H132" s="141"/>
      <c r="I132" s="141" t="s">
        <v>238</v>
      </c>
      <c r="J132" s="349">
        <v>500</v>
      </c>
      <c r="K132" s="141" t="s">
        <v>888</v>
      </c>
      <c r="L132" s="141"/>
      <c r="M132" s="182"/>
      <c r="N132" s="3"/>
      <c r="O132" s="296"/>
      <c r="P132" s="298"/>
      <c r="Q132" s="298" t="s">
        <v>265</v>
      </c>
      <c r="R132" s="298"/>
      <c r="S132" s="298"/>
      <c r="T132" s="382">
        <f>380*((T128/1000)/0.25)^-2.75+2.7</f>
        <v>84.765749145150451</v>
      </c>
      <c r="U132" s="381" t="s">
        <v>888</v>
      </c>
      <c r="V132" s="365"/>
      <c r="W132" s="3"/>
      <c r="X132" s="3"/>
      <c r="Y132" s="3"/>
      <c r="Z132" s="3"/>
      <c r="AA132" s="3"/>
    </row>
    <row r="133" spans="1:27">
      <c r="A133" s="3"/>
      <c r="B133" s="3"/>
      <c r="C133" s="177"/>
      <c r="D133" s="141"/>
      <c r="E133" s="141"/>
      <c r="F133" s="141"/>
      <c r="G133" s="141"/>
      <c r="H133" s="141"/>
      <c r="I133" s="141"/>
      <c r="J133" s="141"/>
      <c r="K133" s="141"/>
      <c r="L133" s="141"/>
      <c r="M133" s="182"/>
      <c r="N133" s="3"/>
      <c r="O133" s="296"/>
      <c r="P133" s="298"/>
      <c r="Q133" s="298"/>
      <c r="R133" s="298"/>
      <c r="S133" s="298"/>
      <c r="T133" s="298"/>
      <c r="U133" s="298"/>
      <c r="V133" s="365"/>
      <c r="W133" s="3"/>
      <c r="X133" s="3"/>
      <c r="Y133" s="3"/>
      <c r="Z133" s="3"/>
      <c r="AA133" s="3"/>
    </row>
    <row r="134" spans="1:27">
      <c r="A134" s="3"/>
      <c r="B134" s="3"/>
      <c r="C134" s="177"/>
      <c r="D134" s="141" t="s">
        <v>637</v>
      </c>
      <c r="E134" s="141"/>
      <c r="F134" s="141"/>
      <c r="G134" s="141"/>
      <c r="H134" s="141"/>
      <c r="I134" s="141" t="s">
        <v>240</v>
      </c>
      <c r="J134" s="349">
        <v>290</v>
      </c>
      <c r="K134" s="141" t="s">
        <v>888</v>
      </c>
      <c r="L134" s="141"/>
      <c r="M134" s="182"/>
      <c r="N134" s="3"/>
      <c r="O134" s="296"/>
      <c r="P134" s="298"/>
      <c r="Q134" s="298"/>
      <c r="R134" s="298"/>
      <c r="S134" s="298"/>
      <c r="T134" s="298"/>
      <c r="U134" s="298"/>
      <c r="V134" s="365"/>
      <c r="W134" s="3"/>
      <c r="X134" s="3"/>
      <c r="Y134" s="3"/>
      <c r="Z134" s="3"/>
      <c r="AA134" s="3"/>
    </row>
    <row r="135" spans="1:27">
      <c r="A135" s="3"/>
      <c r="B135" s="3"/>
      <c r="C135" s="177"/>
      <c r="D135" s="141"/>
      <c r="E135" s="141"/>
      <c r="F135" s="141"/>
      <c r="G135" s="141"/>
      <c r="H135" s="141"/>
      <c r="I135" s="141"/>
      <c r="J135" s="141"/>
      <c r="K135" s="141"/>
      <c r="L135" s="141"/>
      <c r="M135" s="182"/>
      <c r="N135" s="3"/>
      <c r="O135" s="296"/>
      <c r="P135" s="298" t="s">
        <v>22</v>
      </c>
      <c r="Q135" s="298"/>
      <c r="R135" s="298"/>
      <c r="S135" s="298"/>
      <c r="T135" s="298"/>
      <c r="U135" s="298"/>
      <c r="V135" s="365"/>
      <c r="W135" s="3"/>
      <c r="X135" s="3"/>
      <c r="Y135" s="3"/>
      <c r="Z135" s="3"/>
      <c r="AA135" s="3"/>
    </row>
    <row r="136" spans="1:27">
      <c r="A136" s="3"/>
      <c r="B136" s="3"/>
      <c r="C136" s="177"/>
      <c r="D136" s="141" t="s">
        <v>241</v>
      </c>
      <c r="E136" s="141"/>
      <c r="F136" s="141"/>
      <c r="G136" s="141"/>
      <c r="H136" s="141"/>
      <c r="I136" s="141" t="s">
        <v>242</v>
      </c>
      <c r="J136" s="349">
        <v>39</v>
      </c>
      <c r="K136" s="141" t="s">
        <v>888</v>
      </c>
      <c r="L136" s="141"/>
      <c r="M136" s="182"/>
      <c r="N136" s="3"/>
      <c r="O136" s="296"/>
      <c r="P136" s="298"/>
      <c r="Q136" s="298"/>
      <c r="R136" s="298"/>
      <c r="S136" s="298"/>
      <c r="T136" s="298"/>
      <c r="U136" s="298"/>
      <c r="V136" s="365"/>
      <c r="W136" s="3"/>
      <c r="X136" s="3"/>
      <c r="Y136" s="3"/>
      <c r="Z136" s="3"/>
      <c r="AA136" s="3"/>
    </row>
    <row r="137" spans="1:27">
      <c r="A137" s="3"/>
      <c r="B137" s="3"/>
      <c r="C137" s="177"/>
      <c r="D137" s="141"/>
      <c r="E137" s="141"/>
      <c r="F137" s="141"/>
      <c r="G137" s="141"/>
      <c r="H137" s="141"/>
      <c r="I137" s="141"/>
      <c r="J137" s="141"/>
      <c r="K137" s="141"/>
      <c r="L137" s="141"/>
      <c r="M137" s="182"/>
      <c r="N137" s="3"/>
      <c r="O137" s="296"/>
      <c r="P137" s="298"/>
      <c r="Q137" s="298" t="s">
        <v>267</v>
      </c>
      <c r="R137" s="298"/>
      <c r="S137" s="298"/>
      <c r="T137" s="380">
        <v>10</v>
      </c>
      <c r="U137" s="378" t="s">
        <v>269</v>
      </c>
      <c r="V137" s="365"/>
      <c r="W137" s="3"/>
      <c r="X137" s="3"/>
      <c r="Y137" s="3"/>
      <c r="Z137" s="3"/>
      <c r="AA137" s="3"/>
    </row>
    <row r="138" spans="1:27">
      <c r="A138" s="3"/>
      <c r="B138" s="3"/>
      <c r="C138" s="177"/>
      <c r="D138" s="141" t="s">
        <v>244</v>
      </c>
      <c r="E138" s="141"/>
      <c r="F138" s="350">
        <v>18</v>
      </c>
      <c r="G138" s="141" t="s">
        <v>860</v>
      </c>
      <c r="H138" s="141"/>
      <c r="I138" s="141" t="s">
        <v>245</v>
      </c>
      <c r="J138" s="303">
        <f>10^(F138/10)</f>
        <v>63.095734448019364</v>
      </c>
      <c r="K138" s="141"/>
      <c r="L138" s="141"/>
      <c r="M138" s="182"/>
      <c r="N138" s="3"/>
      <c r="O138" s="296"/>
      <c r="P138" s="298"/>
      <c r="Q138" s="298"/>
      <c r="R138" s="298"/>
      <c r="S138" s="298"/>
      <c r="T138" s="298"/>
      <c r="U138" s="298"/>
      <c r="V138" s="365"/>
      <c r="W138" s="3"/>
      <c r="X138" s="3"/>
      <c r="Y138" s="3"/>
      <c r="Z138" s="3"/>
      <c r="AA138" s="3"/>
    </row>
    <row r="139" spans="1:27">
      <c r="A139" s="3"/>
      <c r="B139" s="3"/>
      <c r="C139" s="177"/>
      <c r="D139" s="141"/>
      <c r="E139" s="141"/>
      <c r="F139" s="728"/>
      <c r="G139" s="141"/>
      <c r="H139" s="141"/>
      <c r="I139" s="141"/>
      <c r="J139" s="303"/>
      <c r="K139" s="141"/>
      <c r="L139" s="141"/>
      <c r="M139" s="182"/>
      <c r="N139" s="3"/>
      <c r="O139" s="296"/>
      <c r="P139" s="242" t="s">
        <v>140</v>
      </c>
      <c r="Q139" s="386" t="s">
        <v>23</v>
      </c>
      <c r="R139" s="298"/>
      <c r="S139" s="298"/>
      <c r="T139" s="287">
        <v>-132.4</v>
      </c>
      <c r="U139" s="378" t="s">
        <v>886</v>
      </c>
      <c r="V139" s="365"/>
      <c r="W139" s="3"/>
      <c r="X139" s="3"/>
      <c r="Y139" s="3"/>
      <c r="Z139" s="3"/>
      <c r="AA139" s="3"/>
    </row>
    <row r="140" spans="1:27">
      <c r="A140" s="3"/>
      <c r="B140" s="3"/>
      <c r="C140" s="177"/>
      <c r="D140" s="141" t="s">
        <v>768</v>
      </c>
      <c r="E140" s="141"/>
      <c r="F140" s="728"/>
      <c r="G140" s="242" t="s">
        <v>140</v>
      </c>
      <c r="H140" s="141"/>
      <c r="I140" s="141"/>
      <c r="J140" s="350">
        <v>6</v>
      </c>
      <c r="K140" s="141" t="s">
        <v>767</v>
      </c>
      <c r="L140" s="141"/>
      <c r="M140" s="182"/>
      <c r="N140" s="3"/>
      <c r="O140" s="296"/>
      <c r="P140" s="298"/>
      <c r="Q140" s="298"/>
      <c r="R140" s="298"/>
      <c r="S140" s="298"/>
      <c r="T140" s="298"/>
      <c r="U140" s="298"/>
      <c r="V140" s="365"/>
      <c r="W140" s="3"/>
      <c r="X140" s="3"/>
      <c r="Y140" s="3"/>
      <c r="Z140" s="3"/>
      <c r="AA140" s="3"/>
    </row>
    <row r="141" spans="1:27">
      <c r="A141" s="3"/>
      <c r="B141" s="3"/>
      <c r="C141" s="177"/>
      <c r="D141" s="141"/>
      <c r="E141" s="141"/>
      <c r="F141" s="728"/>
      <c r="G141" s="141"/>
      <c r="H141" s="141"/>
      <c r="I141" s="141"/>
      <c r="J141" s="303"/>
      <c r="K141" s="141"/>
      <c r="L141" s="141"/>
      <c r="M141" s="182"/>
      <c r="N141" s="3"/>
      <c r="O141" s="296"/>
      <c r="P141" s="298"/>
      <c r="Q141" s="386" t="s">
        <v>268</v>
      </c>
      <c r="R141" s="298"/>
      <c r="S141" s="298"/>
      <c r="T141" s="382">
        <f>10^((T139+198.6-10*LOG10(T137*1000))/10)</f>
        <v>416.86938347033458</v>
      </c>
      <c r="U141" s="383" t="s">
        <v>888</v>
      </c>
      <c r="V141" s="365"/>
      <c r="W141" s="3"/>
      <c r="X141" s="3"/>
      <c r="Y141" s="3"/>
      <c r="Z141" s="3"/>
      <c r="AA141" s="3"/>
    </row>
    <row r="142" spans="1:27">
      <c r="A142" s="3"/>
      <c r="B142" s="3"/>
      <c r="C142" s="177"/>
      <c r="D142" s="141" t="s">
        <v>769</v>
      </c>
      <c r="E142" s="141"/>
      <c r="F142" s="728"/>
      <c r="G142" s="141"/>
      <c r="H142" s="141"/>
      <c r="I142" s="141"/>
      <c r="J142" s="533" t="s">
        <v>1082</v>
      </c>
      <c r="K142" s="378"/>
      <c r="L142" s="141"/>
      <c r="M142" s="182"/>
      <c r="N142" s="3"/>
      <c r="O142" s="296"/>
      <c r="P142" s="298"/>
      <c r="Q142" s="298"/>
      <c r="R142" s="298"/>
      <c r="S142" s="298"/>
      <c r="T142" s="298"/>
      <c r="U142" s="298"/>
      <c r="V142" s="365"/>
      <c r="W142" s="3"/>
      <c r="X142" s="3"/>
      <c r="Y142" s="3"/>
      <c r="Z142" s="3"/>
      <c r="AA142" s="3"/>
    </row>
    <row r="143" spans="1:27">
      <c r="A143" s="3"/>
      <c r="B143" s="3"/>
      <c r="C143" s="177"/>
      <c r="D143" s="141"/>
      <c r="E143" s="141"/>
      <c r="F143" s="728"/>
      <c r="G143" s="141"/>
      <c r="H143" s="141"/>
      <c r="I143" s="141"/>
      <c r="J143" s="303"/>
      <c r="K143" s="141"/>
      <c r="L143" s="141"/>
      <c r="M143" s="182"/>
      <c r="N143" s="3"/>
      <c r="O143" s="296"/>
      <c r="P143" s="298" t="s">
        <v>270</v>
      </c>
      <c r="Q143" s="298"/>
      <c r="R143" s="298"/>
      <c r="S143" s="298"/>
      <c r="T143" s="385">
        <f>T130+T141</f>
        <v>436.84638329036625</v>
      </c>
      <c r="U143" s="384" t="s">
        <v>888</v>
      </c>
      <c r="V143" s="365"/>
      <c r="W143" s="3"/>
      <c r="X143" s="3"/>
      <c r="Y143" s="3"/>
      <c r="Z143" s="3"/>
      <c r="AA143" s="3"/>
    </row>
    <row r="144" spans="1:27">
      <c r="A144" s="3"/>
      <c r="B144" s="3"/>
      <c r="C144" s="177"/>
      <c r="D144" s="141" t="s">
        <v>770</v>
      </c>
      <c r="E144" s="141"/>
      <c r="F144" s="728"/>
      <c r="G144" s="141"/>
      <c r="H144" s="141"/>
      <c r="I144" s="141"/>
      <c r="J144" s="999">
        <v>7.5899999999999995E-2</v>
      </c>
      <c r="K144" s="141" t="s">
        <v>555</v>
      </c>
      <c r="L144" s="141"/>
      <c r="M144" s="182"/>
      <c r="N144" s="3"/>
      <c r="O144" s="296"/>
      <c r="P144" s="298"/>
      <c r="Q144" s="298"/>
      <c r="R144" s="298"/>
      <c r="S144" s="298"/>
      <c r="T144" s="300"/>
      <c r="U144" s="300"/>
      <c r="V144" s="365"/>
      <c r="W144" s="3"/>
      <c r="X144" s="3"/>
      <c r="Y144" s="3"/>
      <c r="Z144" s="3"/>
      <c r="AA144" s="3"/>
    </row>
    <row r="145" spans="1:27">
      <c r="A145" s="3"/>
      <c r="B145" s="3"/>
      <c r="C145" s="177"/>
      <c r="D145" s="141"/>
      <c r="E145" s="141"/>
      <c r="F145" s="728"/>
      <c r="G145" s="141"/>
      <c r="H145" s="141"/>
      <c r="I145" s="141"/>
      <c r="J145" s="303"/>
      <c r="K145" s="141"/>
      <c r="L145" s="141"/>
      <c r="M145" s="182"/>
      <c r="N145" s="3"/>
      <c r="O145" s="296"/>
      <c r="P145" s="298" t="s">
        <v>271</v>
      </c>
      <c r="Q145" s="298"/>
      <c r="R145" s="298"/>
      <c r="S145" s="298"/>
      <c r="T145" s="385">
        <f>T132+T141</f>
        <v>501.63513261548502</v>
      </c>
      <c r="U145" s="384" t="s">
        <v>888</v>
      </c>
      <c r="V145" s="365"/>
      <c r="W145" s="3"/>
      <c r="X145" s="3"/>
      <c r="Y145" s="3"/>
      <c r="Z145" s="3"/>
      <c r="AA145" s="3"/>
    </row>
    <row r="146" spans="1:27">
      <c r="A146" s="3"/>
      <c r="B146" s="3"/>
      <c r="C146" s="177"/>
      <c r="D146" s="141" t="s">
        <v>771</v>
      </c>
      <c r="E146" s="141"/>
      <c r="F146" s="728"/>
      <c r="G146" s="141"/>
      <c r="H146" s="141"/>
      <c r="I146" s="141"/>
      <c r="J146" s="303">
        <f>J140*J144</f>
        <v>0.45539999999999997</v>
      </c>
      <c r="K146" s="141" t="s">
        <v>860</v>
      </c>
      <c r="L146" s="141"/>
      <c r="M146" s="182"/>
      <c r="N146" s="3"/>
      <c r="O146" s="299"/>
      <c r="P146" s="300"/>
      <c r="Q146" s="300"/>
      <c r="R146" s="300"/>
      <c r="S146" s="300"/>
      <c r="T146" s="300"/>
      <c r="U146" s="300"/>
      <c r="V146" s="301"/>
      <c r="W146" s="3"/>
      <c r="X146" s="3"/>
      <c r="Y146" s="3"/>
      <c r="Z146" s="3"/>
      <c r="AA146" s="3"/>
    </row>
    <row r="147" spans="1:27">
      <c r="A147" s="3"/>
      <c r="B147" s="3"/>
      <c r="C147" s="177"/>
      <c r="D147" s="141"/>
      <c r="E147" s="141"/>
      <c r="F147" s="141"/>
      <c r="G147" s="141"/>
      <c r="H147" s="141"/>
      <c r="I147" s="141"/>
      <c r="J147" s="141"/>
      <c r="K147" s="141"/>
      <c r="L147" s="141"/>
      <c r="M147" s="182"/>
      <c r="N147" s="3"/>
      <c r="O147" s="3"/>
      <c r="P147" s="3"/>
      <c r="Q147" s="3"/>
      <c r="R147" s="3"/>
      <c r="S147" s="3"/>
      <c r="T147" s="3"/>
      <c r="U147" s="3"/>
      <c r="V147" s="3"/>
      <c r="W147" s="3"/>
      <c r="X147" s="3"/>
      <c r="Y147" s="3"/>
      <c r="Z147" s="3"/>
      <c r="AA147" s="3"/>
    </row>
    <row r="148" spans="1:27">
      <c r="A148" s="3"/>
      <c r="B148" s="3"/>
      <c r="C148" s="177"/>
      <c r="D148" s="141" t="s">
        <v>108</v>
      </c>
      <c r="E148" s="141"/>
      <c r="F148" s="141"/>
      <c r="G148" s="141"/>
      <c r="H148" s="141"/>
      <c r="I148" s="141" t="s">
        <v>772</v>
      </c>
      <c r="J148" s="981">
        <v>1250</v>
      </c>
      <c r="K148" s="141" t="s">
        <v>888</v>
      </c>
      <c r="L148" s="141"/>
      <c r="M148" s="182"/>
      <c r="N148" s="3"/>
      <c r="O148" s="3"/>
      <c r="P148" s="3"/>
      <c r="Q148" s="3"/>
      <c r="R148" s="3"/>
      <c r="S148" s="3"/>
      <c r="T148" s="3"/>
      <c r="U148" s="3"/>
      <c r="V148" s="3"/>
      <c r="W148" s="3"/>
      <c r="X148" s="3"/>
      <c r="Y148" s="3"/>
      <c r="Z148" s="3"/>
      <c r="AA148" s="3"/>
    </row>
    <row r="149" spans="1:27">
      <c r="A149" s="3"/>
      <c r="B149" s="3"/>
      <c r="C149" s="177"/>
      <c r="D149" s="141"/>
      <c r="E149" s="141"/>
      <c r="F149" s="141"/>
      <c r="G149" s="141"/>
      <c r="H149" s="141"/>
      <c r="I149" s="141"/>
      <c r="J149" s="141"/>
      <c r="K149" s="141"/>
      <c r="L149" s="141"/>
      <c r="M149" s="182"/>
      <c r="N149" s="3"/>
      <c r="O149" s="3"/>
      <c r="P149" s="3"/>
      <c r="Q149" s="3"/>
      <c r="R149" s="3"/>
      <c r="S149" s="3"/>
      <c r="T149" s="3"/>
      <c r="U149" s="3"/>
      <c r="V149" s="3"/>
      <c r="W149" s="3"/>
      <c r="X149" s="3"/>
      <c r="Y149" s="3"/>
      <c r="Z149" s="3"/>
      <c r="AA149" s="3"/>
    </row>
    <row r="150" spans="1:27">
      <c r="A150" s="3"/>
      <c r="B150" s="3"/>
      <c r="C150" s="177"/>
      <c r="D150" s="141"/>
      <c r="E150" s="141"/>
      <c r="F150" s="141"/>
      <c r="G150" s="141"/>
      <c r="H150" s="141"/>
      <c r="I150" s="141"/>
      <c r="J150" s="141"/>
      <c r="K150" s="141"/>
      <c r="L150" s="376"/>
      <c r="M150" s="182"/>
      <c r="N150" s="3"/>
      <c r="O150" s="3"/>
      <c r="P150" s="3"/>
      <c r="Q150" s="3"/>
      <c r="R150" s="3"/>
      <c r="S150" s="3"/>
      <c r="T150" s="3"/>
      <c r="U150" s="3"/>
      <c r="V150" s="3"/>
      <c r="W150" s="3"/>
      <c r="X150" s="3"/>
      <c r="Y150" s="3"/>
      <c r="Z150" s="3"/>
      <c r="AA150" s="3"/>
    </row>
    <row r="151" spans="1:27">
      <c r="A151" s="3"/>
      <c r="B151" s="3"/>
      <c r="C151" s="177"/>
      <c r="D151" s="141" t="s">
        <v>247</v>
      </c>
      <c r="E151" s="141"/>
      <c r="F151" s="141"/>
      <c r="G151" s="141"/>
      <c r="H151" s="141"/>
      <c r="I151" s="141" t="s">
        <v>248</v>
      </c>
      <c r="J151" s="387">
        <f>J132*J130+J134*(1-J130)+J136+(J148/(J138/(10^(J146/10))))</f>
        <v>548.07536791030327</v>
      </c>
      <c r="K151" s="141" t="s">
        <v>888</v>
      </c>
      <c r="L151" s="141"/>
      <c r="M151" s="182"/>
      <c r="N151" s="3"/>
      <c r="O151" s="3"/>
      <c r="P151" s="3"/>
      <c r="Q151" s="3"/>
      <c r="R151" s="3"/>
      <c r="S151" s="3"/>
      <c r="T151" s="3"/>
      <c r="U151" s="3"/>
      <c r="V151" s="3"/>
      <c r="W151" s="3"/>
      <c r="X151" s="3"/>
      <c r="Y151" s="3"/>
      <c r="Z151" s="3"/>
      <c r="AA151" s="3"/>
    </row>
    <row r="152" spans="1:27">
      <c r="A152" s="3"/>
      <c r="B152" s="3"/>
      <c r="C152" s="177"/>
      <c r="D152" s="141"/>
      <c r="E152" s="141"/>
      <c r="F152" s="141"/>
      <c r="G152" s="141"/>
      <c r="H152" s="141"/>
      <c r="I152" s="141"/>
      <c r="J152" s="141"/>
      <c r="K152" s="141"/>
      <c r="L152" s="141"/>
      <c r="M152" s="182"/>
      <c r="N152" s="3"/>
      <c r="O152" s="3"/>
      <c r="P152" s="3"/>
      <c r="Q152" s="3"/>
      <c r="R152" s="3"/>
      <c r="S152" s="3"/>
      <c r="T152" s="3"/>
      <c r="U152" s="3"/>
      <c r="V152" s="3"/>
      <c r="W152" s="3"/>
      <c r="X152" s="3"/>
      <c r="Y152" s="3"/>
      <c r="Z152" s="3"/>
      <c r="AA152" s="3"/>
    </row>
    <row r="153" spans="1:27">
      <c r="A153" s="3"/>
      <c r="B153" s="3"/>
      <c r="C153" s="177"/>
      <c r="D153" s="141"/>
      <c r="E153" s="141"/>
      <c r="F153" s="141"/>
      <c r="G153" s="141"/>
      <c r="H153" s="141"/>
      <c r="I153" s="141"/>
      <c r="J153" s="141"/>
      <c r="K153" s="141"/>
      <c r="L153" s="141"/>
      <c r="M153" s="182"/>
      <c r="N153" s="3"/>
      <c r="O153" s="3"/>
      <c r="P153" s="3"/>
      <c r="Q153" s="3"/>
      <c r="R153" s="3"/>
      <c r="S153" s="3"/>
      <c r="T153" s="3"/>
      <c r="U153" s="3"/>
      <c r="V153" s="3"/>
      <c r="W153" s="3"/>
      <c r="X153" s="3"/>
      <c r="Y153" s="3"/>
      <c r="Z153" s="3"/>
      <c r="AA153" s="3"/>
    </row>
    <row r="154" spans="1:27">
      <c r="A154" s="3"/>
      <c r="B154" s="3"/>
      <c r="C154" s="236"/>
      <c r="D154" s="237"/>
      <c r="E154" s="237"/>
      <c r="F154" s="237"/>
      <c r="G154" s="237"/>
      <c r="H154" s="237"/>
      <c r="I154" s="237"/>
      <c r="J154" s="237"/>
      <c r="K154" s="237"/>
      <c r="L154" s="237"/>
      <c r="M154" s="238"/>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t="s">
        <v>818</v>
      </c>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row r="182" spans="3:13">
      <c r="C182" s="135"/>
      <c r="D182" s="135"/>
      <c r="E182" s="135"/>
      <c r="F182" s="135"/>
      <c r="G182" s="135"/>
      <c r="H182" s="135"/>
      <c r="I182" s="135"/>
      <c r="J182" s="135"/>
      <c r="K182" s="135"/>
      <c r="L182" s="135"/>
      <c r="M182" s="135"/>
    </row>
    <row r="183" spans="3:13">
      <c r="C183" s="135"/>
      <c r="D183" s="135"/>
      <c r="E183" s="135"/>
      <c r="F183" s="135"/>
      <c r="G183" s="135"/>
      <c r="H183" s="135"/>
      <c r="I183" s="135"/>
      <c r="J183" s="135"/>
      <c r="K183" s="135"/>
      <c r="L183" s="135"/>
      <c r="M183"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50" zoomScaleNormal="150" workbookViewId="0">
      <selection activeCell="K11" sqref="K11"/>
    </sheetView>
  </sheetViews>
  <sheetFormatPr defaultColWidth="8.85546875" defaultRowHeight="12.75"/>
  <cols>
    <col min="5" max="5" width="10.140625" customWidth="1"/>
    <col min="6" max="6" width="9.85546875" customWidth="1"/>
    <col min="7" max="7" width="10.85546875" customWidth="1"/>
    <col min="10" max="10" width="11.42578125" customWidth="1"/>
    <col min="11" max="11" width="10.42578125" customWidth="1"/>
    <col min="14" max="14" width="11.42578125" customWidth="1"/>
    <col min="16" max="16" width="10.85546875" customWidth="1"/>
    <col min="17" max="17" width="9.42578125" bestFit="1" customWidth="1"/>
    <col min="19" max="19" width="9.42578125" customWidth="1"/>
    <col min="21" max="21" width="9.42578125" bestFit="1" customWidth="1"/>
    <col min="22" max="22" width="10" customWidth="1"/>
  </cols>
  <sheetData>
    <row r="1" spans="1:26" ht="18.75" thickBot="1">
      <c r="A1" s="125" t="s">
        <v>303</v>
      </c>
      <c r="B1" s="125"/>
      <c r="C1" s="125"/>
      <c r="D1" s="125"/>
      <c r="E1" s="127"/>
      <c r="F1" s="127"/>
      <c r="G1" s="690" t="str">
        <f>'Title Page'!F3</f>
        <v>OreSat - CS0</v>
      </c>
      <c r="H1" s="127"/>
      <c r="I1" s="127"/>
      <c r="J1" s="127"/>
      <c r="K1" s="127"/>
      <c r="L1" s="687" t="str">
        <f>'Title Page'!F23</f>
        <v>2018 October 19</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75">
      <c r="A3" s="188" t="s">
        <v>57</v>
      </c>
      <c r="B3" s="189"/>
      <c r="C3" s="190"/>
      <c r="D3" s="3"/>
      <c r="E3" s="540"/>
      <c r="F3" s="3"/>
      <c r="G3" s="3"/>
      <c r="H3" s="3"/>
      <c r="I3" s="3"/>
      <c r="J3" s="540" t="s">
        <v>818</v>
      </c>
      <c r="K3" s="3"/>
      <c r="L3" s="3"/>
      <c r="M3" s="3"/>
      <c r="N3" s="3"/>
      <c r="O3" s="3"/>
      <c r="P3" s="3"/>
      <c r="Q3" s="3"/>
      <c r="R3" s="3"/>
      <c r="S3" s="3"/>
      <c r="T3" s="3"/>
      <c r="U3" s="3"/>
      <c r="V3" s="3"/>
      <c r="W3" s="3"/>
      <c r="X3" s="3"/>
      <c r="Y3" s="3"/>
      <c r="Z3" s="3"/>
    </row>
    <row r="4" spans="1:26" ht="15.75">
      <c r="A4" s="211"/>
      <c r="B4" s="101"/>
      <c r="C4" s="101"/>
      <c r="D4" s="3"/>
      <c r="E4" s="540"/>
      <c r="F4" s="3"/>
      <c r="G4" s="3"/>
      <c r="H4" s="3"/>
      <c r="I4" s="3"/>
      <c r="J4" s="540"/>
      <c r="K4" s="3"/>
      <c r="L4" s="3"/>
      <c r="M4" s="3"/>
      <c r="N4" s="3"/>
      <c r="O4" s="3"/>
      <c r="P4" s="3"/>
      <c r="Q4" s="3"/>
      <c r="R4" s="3"/>
      <c r="S4" s="3"/>
      <c r="T4" s="3"/>
      <c r="U4" s="3"/>
      <c r="V4" s="3"/>
      <c r="W4" s="3"/>
      <c r="X4" s="3"/>
      <c r="Y4" s="3"/>
      <c r="Z4" s="3"/>
    </row>
    <row r="5" spans="1:26" ht="15.75">
      <c r="A5" s="211"/>
      <c r="B5" s="351" t="s">
        <v>262</v>
      </c>
      <c r="C5" s="101"/>
      <c r="D5" s="3"/>
      <c r="E5" s="540"/>
      <c r="F5" s="3"/>
      <c r="G5" s="3"/>
      <c r="H5" s="3"/>
      <c r="I5" s="3"/>
      <c r="J5" s="540"/>
      <c r="K5" s="3"/>
      <c r="L5" s="3"/>
      <c r="M5" s="3"/>
      <c r="N5" s="3"/>
      <c r="O5" s="3"/>
      <c r="P5" s="3"/>
      <c r="Q5" s="3"/>
      <c r="R5" s="3"/>
      <c r="S5" s="3"/>
      <c r="T5" s="3"/>
      <c r="U5" s="3"/>
      <c r="V5" s="3"/>
      <c r="W5" s="3"/>
      <c r="X5" s="3"/>
      <c r="Y5" s="3"/>
      <c r="Z5" s="3"/>
    </row>
    <row r="6" spans="1:26" ht="16.5" thickBot="1">
      <c r="A6" s="211"/>
      <c r="B6" s="101"/>
      <c r="C6" s="101"/>
      <c r="D6" s="3"/>
      <c r="E6" s="3"/>
      <c r="F6" s="3"/>
      <c r="G6" s="3"/>
      <c r="H6" s="3"/>
      <c r="I6" s="3"/>
      <c r="J6" s="3"/>
      <c r="K6" s="3"/>
      <c r="L6" s="3"/>
      <c r="M6" s="3"/>
      <c r="N6" s="3"/>
      <c r="O6" s="3"/>
      <c r="P6" s="3"/>
      <c r="Q6" s="3"/>
      <c r="R6" s="3"/>
      <c r="S6" s="3"/>
      <c r="T6" s="3"/>
      <c r="U6" s="3"/>
      <c r="V6" s="3"/>
      <c r="W6" s="3"/>
      <c r="X6" s="3"/>
      <c r="Y6" s="3"/>
      <c r="Z6" s="3"/>
    </row>
    <row r="7" spans="1:26" ht="16.5" thickBot="1">
      <c r="A7" s="136" t="s">
        <v>818</v>
      </c>
      <c r="B7" s="187" t="s">
        <v>94</v>
      </c>
      <c r="C7" s="194"/>
      <c r="D7" s="180"/>
      <c r="E7" s="180"/>
      <c r="F7" s="180"/>
      <c r="G7" s="180" t="s">
        <v>818</v>
      </c>
      <c r="H7" s="180"/>
      <c r="I7" s="180"/>
      <c r="J7" s="180" t="s">
        <v>818</v>
      </c>
      <c r="K7" s="180"/>
      <c r="L7" s="181"/>
      <c r="M7" s="3"/>
      <c r="N7" s="3"/>
      <c r="O7" s="3"/>
      <c r="P7" s="3"/>
      <c r="Q7" s="3"/>
      <c r="R7" s="3"/>
      <c r="S7" s="3"/>
      <c r="T7" s="3"/>
      <c r="U7" s="3"/>
      <c r="V7" s="3"/>
      <c r="W7" s="3"/>
      <c r="X7" s="3"/>
      <c r="Y7" s="3"/>
      <c r="Z7" s="3"/>
    </row>
    <row r="8" spans="1:26">
      <c r="A8" s="3"/>
      <c r="B8" s="178" t="s">
        <v>818</v>
      </c>
      <c r="C8" s="212"/>
      <c r="D8" s="214" t="s">
        <v>104</v>
      </c>
      <c r="E8" s="213" t="s">
        <v>856</v>
      </c>
      <c r="F8" s="244">
        <f>Frequency!M10</f>
        <v>1265</v>
      </c>
      <c r="G8" s="141" t="s">
        <v>857</v>
      </c>
      <c r="H8" s="141"/>
      <c r="I8" s="141"/>
      <c r="J8" s="141" t="s">
        <v>87</v>
      </c>
      <c r="K8" s="245">
        <f>299.8/$F$8</f>
        <v>0.23699604743083005</v>
      </c>
      <c r="L8" s="182" t="s">
        <v>858</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5" thickBot="1">
      <c r="A10" s="79"/>
      <c r="B10" s="177"/>
      <c r="C10" s="141"/>
      <c r="D10" s="141"/>
      <c r="E10" s="141"/>
      <c r="F10" s="200" t="s">
        <v>107</v>
      </c>
      <c r="G10" s="141"/>
      <c r="H10" s="141"/>
      <c r="I10" s="141"/>
      <c r="J10" s="141"/>
      <c r="K10" s="141"/>
      <c r="L10" s="182"/>
      <c r="M10" s="3"/>
      <c r="N10" s="3"/>
      <c r="O10" s="3"/>
      <c r="P10" s="3"/>
      <c r="Q10" s="233" t="s">
        <v>818</v>
      </c>
      <c r="R10" s="3"/>
      <c r="S10" s="3"/>
      <c r="T10" s="3"/>
      <c r="U10" s="3"/>
      <c r="V10" s="3"/>
      <c r="W10" s="3"/>
      <c r="X10" s="3"/>
      <c r="Y10" s="3"/>
      <c r="Z10" s="3"/>
    </row>
    <row r="11" spans="1:26" ht="13.5" thickBot="1">
      <c r="A11" s="79"/>
      <c r="B11" s="178" t="s">
        <v>818</v>
      </c>
      <c r="C11" s="141"/>
      <c r="D11" s="141"/>
      <c r="E11" s="724">
        <v>4</v>
      </c>
      <c r="F11" s="723" t="str">
        <f>INDEX(B13:B16,E11,1)</f>
        <v>Quad Helix</v>
      </c>
      <c r="G11" s="185"/>
      <c r="H11" s="141"/>
      <c r="I11" s="141"/>
      <c r="J11" s="141" t="s">
        <v>60</v>
      </c>
      <c r="K11" s="265" t="s">
        <v>62</v>
      </c>
      <c r="L11" s="182"/>
      <c r="M11" s="3"/>
      <c r="N11" s="3"/>
      <c r="O11" s="3"/>
      <c r="P11" s="3"/>
      <c r="Q11" s="3"/>
      <c r="R11" s="3"/>
      <c r="S11" s="3"/>
      <c r="T11" s="3"/>
      <c r="U11" s="3"/>
      <c r="V11" s="3"/>
      <c r="W11" s="3"/>
      <c r="X11" s="3"/>
      <c r="Y11" s="3"/>
      <c r="Z11" s="3"/>
    </row>
    <row r="12" spans="1:26" ht="13.5" thickBot="1">
      <c r="A12" s="216"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887</v>
      </c>
      <c r="P13" s="151" t="s">
        <v>61</v>
      </c>
      <c r="Q13" s="154">
        <f>SQRT(40000/(10^(N13/10)))</f>
        <v>30.621749233640596</v>
      </c>
      <c r="R13" s="151" t="s">
        <v>4</v>
      </c>
      <c r="S13" s="151" t="s">
        <v>273</v>
      </c>
      <c r="T13" s="151"/>
      <c r="U13" s="155">
        <f>K8*E13</f>
        <v>0.75838735177865624</v>
      </c>
      <c r="V13" s="156" t="s">
        <v>858</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887</v>
      </c>
      <c r="P14" s="158" t="s">
        <v>61</v>
      </c>
      <c r="Q14" s="163">
        <f>52.2/(K14*((E14*H14)^0.5))</f>
        <v>33.014178772157877</v>
      </c>
      <c r="R14" s="158" t="s">
        <v>4</v>
      </c>
      <c r="S14" s="160"/>
      <c r="T14" s="160" t="s">
        <v>272</v>
      </c>
      <c r="U14" s="388">
        <f>H14*E14*K8</f>
        <v>0.59249011857707512</v>
      </c>
      <c r="V14" s="164" t="s">
        <v>858</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34.49331260163855</v>
      </c>
      <c r="O15" s="166" t="s">
        <v>887</v>
      </c>
      <c r="P15" s="166" t="s">
        <v>61</v>
      </c>
      <c r="Q15" s="163">
        <f>21/((F8/1000)*H15)</f>
        <v>3.0742204655248138</v>
      </c>
      <c r="R15" s="166" t="s">
        <v>4</v>
      </c>
      <c r="S15" s="166"/>
      <c r="T15" s="166"/>
      <c r="U15" s="166"/>
      <c r="V15" s="170"/>
      <c r="W15" s="3"/>
      <c r="X15" s="3"/>
      <c r="Y15" s="3"/>
      <c r="Z15" s="3"/>
    </row>
    <row r="16" spans="1:26" ht="36" customHeight="1" thickBot="1">
      <c r="A16" s="145">
        <v>4</v>
      </c>
      <c r="B16" s="146" t="s">
        <v>1065</v>
      </c>
      <c r="C16" s="146"/>
      <c r="D16" s="146"/>
      <c r="E16" s="972" t="s">
        <v>1066</v>
      </c>
      <c r="F16" s="703"/>
      <c r="G16" s="982" t="s">
        <v>1068</v>
      </c>
      <c r="H16" s="982"/>
      <c r="I16" s="982"/>
      <c r="J16" s="982"/>
      <c r="K16" s="147"/>
      <c r="L16" s="146"/>
      <c r="M16" s="146" t="s">
        <v>59</v>
      </c>
      <c r="N16" s="725">
        <v>16</v>
      </c>
      <c r="O16" s="146" t="s">
        <v>887</v>
      </c>
      <c r="P16" s="146" t="s">
        <v>61</v>
      </c>
      <c r="Q16" s="726">
        <v>28</v>
      </c>
      <c r="R16" s="146" t="s">
        <v>4</v>
      </c>
      <c r="S16" s="146" t="s">
        <v>273</v>
      </c>
      <c r="T16" s="146"/>
      <c r="U16" s="702">
        <v>0.6</v>
      </c>
      <c r="V16" s="150" t="s">
        <v>858</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818</v>
      </c>
      <c r="G18" s="101"/>
      <c r="H18" s="101"/>
      <c r="I18" s="101"/>
      <c r="J18" s="101"/>
      <c r="K18" s="101"/>
      <c r="L18" s="101"/>
      <c r="M18" s="101" t="s">
        <v>818</v>
      </c>
      <c r="N18" s="101"/>
      <c r="O18" s="101"/>
      <c r="P18" s="101"/>
      <c r="Q18" s="101"/>
      <c r="R18" s="101"/>
      <c r="S18" s="101"/>
      <c r="T18" s="101"/>
      <c r="U18" s="3"/>
      <c r="V18" s="3"/>
      <c r="W18" s="3"/>
      <c r="X18" s="3"/>
      <c r="Y18" s="3"/>
      <c r="Z18" s="3"/>
    </row>
    <row r="19" spans="1:26">
      <c r="A19" s="31" t="s">
        <v>818</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5"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4"/>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856</v>
      </c>
      <c r="F22" s="242">
        <f>F8</f>
        <v>1265</v>
      </c>
      <c r="G22" s="141" t="s">
        <v>857</v>
      </c>
      <c r="H22" s="141"/>
      <c r="I22" s="141"/>
      <c r="J22" s="141" t="s">
        <v>87</v>
      </c>
      <c r="K22" s="243">
        <f>299.8/F22</f>
        <v>0.23699604743083005</v>
      </c>
      <c r="L22" s="182" t="s">
        <v>858</v>
      </c>
      <c r="M22" s="101" t="s">
        <v>818</v>
      </c>
      <c r="N22" s="101"/>
      <c r="O22" s="101"/>
      <c r="P22" s="101"/>
      <c r="Q22" s="101"/>
      <c r="R22" s="101"/>
      <c r="S22" s="101"/>
      <c r="T22" s="101"/>
      <c r="U22" s="101"/>
      <c r="V22" s="101"/>
      <c r="W22" s="3"/>
      <c r="X22" s="3"/>
      <c r="Y22" s="3"/>
      <c r="Z22" s="3"/>
    </row>
    <row r="23" spans="1:26" ht="13.5" thickBot="1">
      <c r="A23" s="79"/>
      <c r="B23" s="177"/>
      <c r="C23" s="141"/>
      <c r="D23" s="141" t="s">
        <v>818</v>
      </c>
      <c r="E23" s="141" t="s">
        <v>818</v>
      </c>
      <c r="F23" s="200" t="s">
        <v>977</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818</v>
      </c>
      <c r="C24" s="141"/>
      <c r="D24" s="141"/>
      <c r="E24" s="724">
        <v>7</v>
      </c>
      <c r="F24" s="316" t="str">
        <f>INDEX(B26:B32,E24,1)</f>
        <v>Canted Turnstyle</v>
      </c>
      <c r="G24" s="185"/>
      <c r="H24" s="141"/>
      <c r="I24" s="141"/>
      <c r="J24" s="141" t="s">
        <v>60</v>
      </c>
      <c r="K24" s="265" t="s">
        <v>62</v>
      </c>
      <c r="L24" s="182"/>
      <c r="M24" s="3"/>
      <c r="N24" s="3"/>
      <c r="O24" s="3"/>
      <c r="P24" s="3"/>
      <c r="Q24" s="3"/>
      <c r="R24" s="3"/>
      <c r="S24" s="3"/>
      <c r="T24" s="3"/>
      <c r="U24" s="3"/>
      <c r="V24" s="3"/>
      <c r="W24" s="3"/>
      <c r="X24" s="3"/>
      <c r="Y24" s="3"/>
      <c r="Z24" s="3"/>
    </row>
    <row r="25" spans="1:26" ht="13.5" thickBot="1">
      <c r="A25" s="215" t="s">
        <v>106</v>
      </c>
      <c r="B25" s="177"/>
      <c r="C25" s="141"/>
      <c r="D25" s="141"/>
      <c r="E25" s="141"/>
      <c r="F25" s="141" t="s">
        <v>818</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9">
        <v>2.15</v>
      </c>
      <c r="I26" s="138" t="s">
        <v>63</v>
      </c>
      <c r="J26" s="138"/>
      <c r="K26" s="138" t="s">
        <v>61</v>
      </c>
      <c r="L26" s="199">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5">
        <f>IF(K24=K11,2,0.5)</f>
        <v>2</v>
      </c>
      <c r="I28" s="98" t="s">
        <v>887</v>
      </c>
      <c r="J28" s="98" t="s">
        <v>72</v>
      </c>
      <c r="K28" s="98" t="s">
        <v>61</v>
      </c>
      <c r="L28" s="191">
        <v>180</v>
      </c>
      <c r="M28" s="98" t="s">
        <v>4</v>
      </c>
      <c r="N28" s="98" t="s">
        <v>71</v>
      </c>
      <c r="O28" s="98"/>
      <c r="P28" s="98"/>
      <c r="Q28" s="98"/>
      <c r="R28" s="920"/>
      <c r="S28" s="98"/>
      <c r="T28" s="98"/>
      <c r="U28" s="98"/>
      <c r="V28" s="99"/>
      <c r="W28" s="3"/>
      <c r="X28" s="3"/>
      <c r="Y28" s="3"/>
      <c r="Z28" s="3"/>
    </row>
    <row r="29" spans="1:26" ht="36" customHeight="1">
      <c r="A29" s="140">
        <v>4</v>
      </c>
      <c r="B29" s="141" t="s">
        <v>98</v>
      </c>
      <c r="C29" s="141"/>
      <c r="D29" s="192" t="s">
        <v>67</v>
      </c>
      <c r="E29" s="141" t="s">
        <v>68</v>
      </c>
      <c r="F29" s="141"/>
      <c r="G29" s="141" t="s">
        <v>59</v>
      </c>
      <c r="H29" s="195">
        <v>4</v>
      </c>
      <c r="I29" s="141" t="s">
        <v>887</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195</v>
      </c>
      <c r="C30" s="98"/>
      <c r="D30" s="735" t="s">
        <v>818</v>
      </c>
      <c r="E30" s="98"/>
      <c r="F30" s="98"/>
      <c r="G30" s="98" t="s">
        <v>59</v>
      </c>
      <c r="H30" s="736">
        <v>6</v>
      </c>
      <c r="I30" s="98" t="s">
        <v>396</v>
      </c>
      <c r="J30" s="98"/>
      <c r="K30" s="98" t="s">
        <v>61</v>
      </c>
      <c r="L30" s="737">
        <v>90</v>
      </c>
      <c r="M30" s="98" t="s">
        <v>4</v>
      </c>
      <c r="N30" s="98" t="s">
        <v>196</v>
      </c>
      <c r="O30" s="98"/>
      <c r="P30" s="98"/>
      <c r="Q30" s="98"/>
      <c r="R30" s="98"/>
      <c r="S30" s="98"/>
      <c r="T30" s="98"/>
      <c r="U30" s="98"/>
      <c r="V30" s="99"/>
      <c r="W30" s="3"/>
      <c r="X30" s="3"/>
      <c r="Y30" s="3"/>
      <c r="Z30" s="3"/>
    </row>
    <row r="31" spans="1:26" ht="36" customHeight="1" thickBot="1">
      <c r="A31" s="140">
        <v>6</v>
      </c>
      <c r="B31" s="141" t="s">
        <v>92</v>
      </c>
      <c r="C31" s="141"/>
      <c r="D31" s="738"/>
      <c r="E31" s="141"/>
      <c r="F31" s="141"/>
      <c r="G31" s="141" t="s">
        <v>59</v>
      </c>
      <c r="H31" s="740">
        <f>20.4+20*LOG10(T31)+20*LOG10(F8/1000)+10*LOG10(V31)</f>
        <v>34.49331260163855</v>
      </c>
      <c r="I31" s="141" t="s">
        <v>396</v>
      </c>
      <c r="J31" s="141"/>
      <c r="K31" s="141" t="s">
        <v>61</v>
      </c>
      <c r="L31" s="740">
        <f>21/((F8/1000)*T31)</f>
        <v>3.0742204655248138</v>
      </c>
      <c r="M31" s="141" t="s">
        <v>4</v>
      </c>
      <c r="N31" s="141" t="s">
        <v>197</v>
      </c>
      <c r="O31" s="141"/>
      <c r="P31" s="141"/>
      <c r="Q31" s="141"/>
      <c r="R31" s="141"/>
      <c r="S31" s="759" t="s">
        <v>748</v>
      </c>
      <c r="T31" s="756">
        <v>5.4</v>
      </c>
      <c r="U31" s="760" t="s">
        <v>749</v>
      </c>
      <c r="V31" s="757">
        <v>0.55000000000000004</v>
      </c>
      <c r="W31" s="3"/>
      <c r="X31" s="3"/>
      <c r="Y31" s="3"/>
      <c r="Z31" s="3"/>
    </row>
    <row r="32" spans="1:26" ht="36" customHeight="1" thickBot="1">
      <c r="A32" s="198">
        <v>7</v>
      </c>
      <c r="B32" s="196" t="s">
        <v>97</v>
      </c>
      <c r="C32" s="196"/>
      <c r="D32" s="289"/>
      <c r="E32" s="196"/>
      <c r="F32" s="196"/>
      <c r="G32" s="196" t="s">
        <v>59</v>
      </c>
      <c r="H32" s="726">
        <v>1</v>
      </c>
      <c r="I32" s="196" t="s">
        <v>36</v>
      </c>
      <c r="J32" s="196"/>
      <c r="K32" s="196" t="s">
        <v>61</v>
      </c>
      <c r="L32" s="703">
        <v>180</v>
      </c>
      <c r="M32" s="98" t="s">
        <v>4</v>
      </c>
      <c r="N32" s="196" t="s">
        <v>198</v>
      </c>
      <c r="O32" s="196"/>
      <c r="P32" s="196"/>
      <c r="Q32" s="196"/>
      <c r="R32" s="196"/>
      <c r="S32" s="196"/>
      <c r="T32" s="196"/>
      <c r="U32" s="196"/>
      <c r="V32" s="197"/>
      <c r="W32" s="3"/>
      <c r="X32" s="3"/>
      <c r="Y32" s="3"/>
      <c r="Z32" s="3"/>
    </row>
    <row r="33" spans="1:26" ht="13.5" thickBot="1">
      <c r="A33" s="201"/>
      <c r="B33" s="202"/>
      <c r="C33" s="202"/>
      <c r="D33" s="202"/>
      <c r="E33" s="202"/>
      <c r="F33" s="202"/>
      <c r="G33" s="202"/>
      <c r="H33" s="202"/>
      <c r="I33" s="202"/>
      <c r="J33" s="202"/>
      <c r="K33" s="202"/>
      <c r="L33" s="202"/>
      <c r="M33" s="202"/>
      <c r="N33" s="202"/>
      <c r="O33" s="202"/>
      <c r="P33" s="202"/>
      <c r="Q33" s="202"/>
      <c r="R33" s="202"/>
      <c r="S33" s="202"/>
      <c r="T33" s="202"/>
      <c r="U33" s="202"/>
      <c r="V33" s="202"/>
      <c r="W33" s="3"/>
      <c r="X33" s="3"/>
      <c r="Y33" s="3"/>
      <c r="Z33" s="3"/>
    </row>
    <row r="34" spans="1:26" ht="16.5" thickBot="1">
      <c r="A34" s="240"/>
      <c r="B34" s="240"/>
      <c r="C34" s="241" t="s">
        <v>101</v>
      </c>
      <c r="D34" s="240"/>
      <c r="E34" s="240"/>
      <c r="F34" s="240"/>
      <c r="G34" s="240"/>
      <c r="H34" s="240"/>
      <c r="I34" s="240"/>
      <c r="J34" s="241" t="s">
        <v>102</v>
      </c>
      <c r="K34" s="240"/>
      <c r="L34" s="240"/>
      <c r="M34" s="127"/>
      <c r="N34" s="127"/>
      <c r="O34" s="127"/>
      <c r="P34" s="127"/>
      <c r="Q34" s="127"/>
      <c r="R34" s="127"/>
      <c r="S34" s="127"/>
      <c r="T34" s="127"/>
      <c r="U34" s="127"/>
      <c r="V34" s="406"/>
      <c r="W34" s="3"/>
      <c r="X34" s="3"/>
      <c r="Y34" s="3"/>
      <c r="Z34" s="3"/>
    </row>
    <row r="35" spans="1:26">
      <c r="A35" s="3"/>
      <c r="B35" s="3"/>
      <c r="C35" s="3"/>
      <c r="D35" s="3"/>
      <c r="E35" s="3"/>
      <c r="F35" s="3"/>
      <c r="G35" s="3"/>
      <c r="H35" s="3"/>
      <c r="I35" s="3"/>
      <c r="J35" s="3"/>
      <c r="K35" s="3" t="s">
        <v>818</v>
      </c>
      <c r="L35" s="3"/>
      <c r="M35" s="3"/>
      <c r="N35" s="3"/>
      <c r="O35" s="3"/>
      <c r="P35" s="3"/>
      <c r="Q35" s="3"/>
      <c r="R35" s="3"/>
      <c r="S35" s="3"/>
      <c r="T35" s="3"/>
      <c r="U35" s="3"/>
      <c r="V35" s="3"/>
      <c r="W35" s="3"/>
      <c r="X35" s="3"/>
      <c r="Y35" s="3"/>
      <c r="Z35" s="3"/>
    </row>
    <row r="36" spans="1:26" ht="15.75">
      <c r="A36" s="188" t="s">
        <v>100</v>
      </c>
      <c r="B36" s="189"/>
      <c r="C36" s="189"/>
      <c r="D36" s="190"/>
      <c r="E36" s="3"/>
      <c r="F36" s="3"/>
      <c r="G36" s="3"/>
      <c r="H36" s="3" t="s">
        <v>818</v>
      </c>
      <c r="I36" s="3"/>
      <c r="J36" s="3"/>
      <c r="K36" s="3"/>
      <c r="L36" s="3"/>
      <c r="M36" s="3"/>
      <c r="N36" s="3"/>
      <c r="O36" s="3"/>
      <c r="P36" s="3"/>
      <c r="Q36" s="3"/>
      <c r="R36" s="3"/>
      <c r="S36" s="3"/>
      <c r="T36" s="3"/>
      <c r="U36" s="3"/>
      <c r="V36" s="3"/>
      <c r="W36" s="3"/>
      <c r="X36" s="3"/>
      <c r="Y36" s="3"/>
      <c r="Z36" s="3"/>
    </row>
    <row r="37" spans="1:26" ht="13.5" thickBot="1">
      <c r="A37" s="3"/>
      <c r="B37" s="3"/>
      <c r="C37" s="3"/>
      <c r="D37" s="3"/>
      <c r="E37" s="3"/>
      <c r="F37" s="3" t="s">
        <v>818</v>
      </c>
      <c r="G37" s="3"/>
      <c r="H37" s="3"/>
      <c r="I37" s="3"/>
      <c r="J37" s="3"/>
      <c r="K37" s="3"/>
      <c r="L37" s="3"/>
      <c r="M37" s="3"/>
      <c r="N37" s="3"/>
      <c r="O37" s="3"/>
      <c r="P37" s="3"/>
      <c r="Q37" s="3"/>
      <c r="R37" s="3"/>
      <c r="S37" s="3"/>
      <c r="T37" s="3"/>
      <c r="U37" s="3"/>
      <c r="V37" s="3"/>
      <c r="W37" s="3"/>
      <c r="X37" s="3"/>
      <c r="Y37" s="3"/>
      <c r="Z37" s="3"/>
    </row>
    <row r="38" spans="1:26" ht="13.5" thickBot="1">
      <c r="A38" s="31"/>
      <c r="B38" s="187" t="s">
        <v>868</v>
      </c>
      <c r="C38" s="194"/>
      <c r="D38" s="180"/>
      <c r="E38" s="180"/>
      <c r="F38" s="180"/>
      <c r="G38" s="180"/>
      <c r="H38" s="180"/>
      <c r="I38" s="180"/>
      <c r="J38" s="180"/>
      <c r="K38" s="180"/>
      <c r="L38" s="181"/>
      <c r="M38" s="101"/>
      <c r="N38" s="101" t="s">
        <v>818</v>
      </c>
      <c r="O38" s="101"/>
      <c r="P38" s="101"/>
      <c r="Q38" s="101"/>
      <c r="R38" s="101"/>
      <c r="S38" s="101"/>
      <c r="T38" s="101"/>
      <c r="U38" s="3"/>
      <c r="V38" s="3"/>
      <c r="W38" s="3"/>
      <c r="X38" s="3"/>
      <c r="Y38" s="3"/>
      <c r="Z38" s="3"/>
    </row>
    <row r="39" spans="1:26">
      <c r="A39" s="31"/>
      <c r="B39" s="177"/>
      <c r="C39" s="141"/>
      <c r="D39" s="141" t="s">
        <v>14</v>
      </c>
      <c r="E39" s="141" t="s">
        <v>856</v>
      </c>
      <c r="F39" s="242">
        <f>Frequency!M16</f>
        <v>436.5</v>
      </c>
      <c r="G39" s="141" t="s">
        <v>857</v>
      </c>
      <c r="H39" s="141"/>
      <c r="I39" s="141"/>
      <c r="J39" s="141" t="s">
        <v>87</v>
      </c>
      <c r="K39" s="243">
        <f>299.8/F39</f>
        <v>0.6868270332187858</v>
      </c>
      <c r="L39" s="182" t="s">
        <v>858</v>
      </c>
      <c r="M39" s="101"/>
      <c r="N39" s="101"/>
      <c r="O39" s="101"/>
      <c r="P39" s="101"/>
      <c r="Q39" s="101"/>
      <c r="R39" s="101"/>
      <c r="S39" s="101"/>
      <c r="T39" s="101"/>
      <c r="U39" s="101"/>
      <c r="V39" s="101"/>
      <c r="W39" s="3"/>
      <c r="X39" s="3"/>
      <c r="Y39" s="3"/>
      <c r="Z39" s="3"/>
    </row>
    <row r="40" spans="1:26" ht="13.5" thickBot="1">
      <c r="A40" s="79"/>
      <c r="B40" s="177"/>
      <c r="C40" s="141"/>
      <c r="D40" s="141"/>
      <c r="E40" s="141"/>
      <c r="F40" s="200"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818</v>
      </c>
      <c r="C41" s="141"/>
      <c r="D41" s="141"/>
      <c r="E41" s="724">
        <v>7</v>
      </c>
      <c r="F41" s="316" t="str">
        <f>INDEX(B43:B49,E41,1)</f>
        <v>Canted Turnstyle</v>
      </c>
      <c r="G41" s="185"/>
      <c r="H41" s="141"/>
      <c r="I41" s="141"/>
      <c r="J41" s="141" t="s">
        <v>60</v>
      </c>
      <c r="K41" s="265" t="s">
        <v>62</v>
      </c>
      <c r="L41" s="182"/>
      <c r="M41" s="3"/>
      <c r="N41" s="3"/>
      <c r="O41" s="3"/>
      <c r="P41" s="3"/>
      <c r="Q41" s="3"/>
      <c r="R41" s="3"/>
      <c r="S41" s="3"/>
      <c r="T41" s="3"/>
      <c r="U41" s="3"/>
      <c r="V41" s="3"/>
      <c r="W41" s="3"/>
      <c r="X41" s="3"/>
      <c r="Y41" s="3"/>
      <c r="Z41" s="3"/>
    </row>
    <row r="42" spans="1:26" ht="13.5" thickBot="1">
      <c r="A42" s="215" t="s">
        <v>106</v>
      </c>
      <c r="B42" s="177"/>
      <c r="C42" s="141"/>
      <c r="D42" s="141"/>
      <c r="E42" s="141"/>
      <c r="F42" s="141" t="s">
        <v>818</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9">
        <v>2.15</v>
      </c>
      <c r="I43" s="138" t="s">
        <v>63</v>
      </c>
      <c r="J43" s="138"/>
      <c r="K43" s="138" t="s">
        <v>61</v>
      </c>
      <c r="L43" s="199">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5">
        <f>IF(K58=K41, 2, 0.5)</f>
        <v>2</v>
      </c>
      <c r="I45" s="98" t="s">
        <v>887</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5">
        <v>4</v>
      </c>
      <c r="I46" s="141" t="s">
        <v>887</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735" t="s">
        <v>136</v>
      </c>
      <c r="E47" s="98"/>
      <c r="F47" s="98"/>
      <c r="G47" s="98" t="s">
        <v>59</v>
      </c>
      <c r="H47" s="754">
        <v>6</v>
      </c>
      <c r="I47" s="98" t="s">
        <v>396</v>
      </c>
      <c r="J47" s="98"/>
      <c r="K47" s="98" t="s">
        <v>61</v>
      </c>
      <c r="L47" s="75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738"/>
      <c r="E48" s="141"/>
      <c r="F48" s="141"/>
      <c r="G48" s="141" t="s">
        <v>59</v>
      </c>
      <c r="H48" s="740">
        <f>20.4+20*LOG10(T48)+20*LOG10(F39/1000)+10*LOG10(V48)</f>
        <v>16.62391176905383</v>
      </c>
      <c r="I48" s="141" t="s">
        <v>396</v>
      </c>
      <c r="J48" s="141"/>
      <c r="K48" s="141" t="s">
        <v>61</v>
      </c>
      <c r="L48" s="740">
        <f>21/((F39/1000)*T48)</f>
        <v>24.054982817869416</v>
      </c>
      <c r="M48" s="141" t="s">
        <v>4</v>
      </c>
      <c r="N48" s="141" t="s">
        <v>197</v>
      </c>
      <c r="O48" s="141"/>
      <c r="P48" s="141"/>
      <c r="Q48" s="141"/>
      <c r="R48" s="141"/>
      <c r="S48" s="758" t="s">
        <v>748</v>
      </c>
      <c r="T48" s="756">
        <v>2</v>
      </c>
      <c r="U48" s="760" t="s">
        <v>749</v>
      </c>
      <c r="V48" s="757">
        <v>0.55000000000000004</v>
      </c>
      <c r="W48" s="3"/>
      <c r="X48" s="3"/>
      <c r="Y48" s="3"/>
      <c r="Z48" s="3"/>
    </row>
    <row r="49" spans="1:26" ht="36" customHeight="1" thickBot="1">
      <c r="A49" s="198">
        <v>7</v>
      </c>
      <c r="B49" s="196" t="s">
        <v>97</v>
      </c>
      <c r="C49" s="196"/>
      <c r="D49" s="289"/>
      <c r="E49" s="196"/>
      <c r="F49" s="196"/>
      <c r="G49" s="196" t="s">
        <v>59</v>
      </c>
      <c r="H49" s="726">
        <v>1</v>
      </c>
      <c r="I49" s="196" t="s">
        <v>36</v>
      </c>
      <c r="J49" s="196"/>
      <c r="K49" s="196" t="s">
        <v>61</v>
      </c>
      <c r="L49" s="703">
        <v>180</v>
      </c>
      <c r="M49" s="196" t="s">
        <v>4</v>
      </c>
      <c r="N49" s="196" t="s">
        <v>198</v>
      </c>
      <c r="O49" s="196"/>
      <c r="P49" s="196"/>
      <c r="Q49" s="196"/>
      <c r="R49" s="196"/>
      <c r="S49" s="196"/>
      <c r="T49" s="196"/>
      <c r="U49" s="196"/>
      <c r="V49" s="197"/>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c r="A55" s="239"/>
      <c r="B55" s="212" t="s">
        <v>818</v>
      </c>
      <c r="C55" s="212"/>
      <c r="D55" s="327" t="s">
        <v>14</v>
      </c>
      <c r="E55" s="213" t="s">
        <v>856</v>
      </c>
      <c r="F55" s="244">
        <f>F39</f>
        <v>436.5</v>
      </c>
      <c r="G55" s="141" t="s">
        <v>857</v>
      </c>
      <c r="H55" s="141"/>
      <c r="I55" s="141"/>
      <c r="J55" s="141" t="s">
        <v>87</v>
      </c>
      <c r="K55" s="245">
        <f>299.8/F55</f>
        <v>0.6868270332187858</v>
      </c>
      <c r="L55" s="182" t="s">
        <v>858</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5" thickBot="1">
      <c r="A57" s="79"/>
      <c r="B57" s="177"/>
      <c r="C57" s="141"/>
      <c r="D57" s="141"/>
      <c r="E57" s="141"/>
      <c r="F57" s="200"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818</v>
      </c>
      <c r="C58" s="141"/>
      <c r="D58" s="141"/>
      <c r="E58" s="724">
        <v>4</v>
      </c>
      <c r="F58" s="723" t="str">
        <f>INDEX(B60:B63,E58,1)</f>
        <v>Crossed Yagi</v>
      </c>
      <c r="G58" s="185"/>
      <c r="H58" s="141"/>
      <c r="I58" s="141"/>
      <c r="J58" s="141" t="s">
        <v>60</v>
      </c>
      <c r="K58" s="265" t="s">
        <v>62</v>
      </c>
      <c r="L58" s="182"/>
      <c r="M58" s="3"/>
      <c r="N58" s="3"/>
      <c r="O58" s="3"/>
      <c r="P58" s="3"/>
      <c r="Q58" s="3"/>
      <c r="R58" s="3"/>
      <c r="S58" s="3"/>
      <c r="T58" s="3"/>
      <c r="U58" s="3"/>
      <c r="V58" s="3"/>
      <c r="W58" s="3"/>
      <c r="X58" s="3"/>
      <c r="Y58" s="3"/>
      <c r="Z58" s="3"/>
    </row>
    <row r="59" spans="1:26" ht="13.5" thickBot="1">
      <c r="A59" s="399" t="s">
        <v>106</v>
      </c>
      <c r="B59" s="236"/>
      <c r="C59" s="237"/>
      <c r="D59" s="237"/>
      <c r="E59" s="237"/>
      <c r="F59" s="237"/>
      <c r="G59" s="237"/>
      <c r="H59" s="237"/>
      <c r="I59" s="237"/>
      <c r="J59" s="237"/>
      <c r="K59" s="237"/>
      <c r="L59" s="238"/>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887</v>
      </c>
      <c r="P60" s="151" t="s">
        <v>61</v>
      </c>
      <c r="Q60" s="154">
        <f>SQRT(40000/(10^(N60/10)))</f>
        <v>39.676193136730106</v>
      </c>
      <c r="R60" s="151" t="s">
        <v>4</v>
      </c>
      <c r="S60" s="151" t="s">
        <v>89</v>
      </c>
      <c r="T60" s="151"/>
      <c r="U60" s="155">
        <f>K55*E60</f>
        <v>1.3736540664375716</v>
      </c>
      <c r="V60" s="156" t="s">
        <v>858</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887</v>
      </c>
      <c r="P61" s="158" t="s">
        <v>61</v>
      </c>
      <c r="Q61" s="163">
        <f>115/(K61*((E61*H61)^0.5))</f>
        <v>72.73238618387272</v>
      </c>
      <c r="R61" s="158" t="s">
        <v>4</v>
      </c>
      <c r="S61" s="389" t="s">
        <v>89</v>
      </c>
      <c r="T61" s="389"/>
      <c r="U61" s="388">
        <f>H61*E61*K55</f>
        <v>1.7170675830469646</v>
      </c>
      <c r="V61" s="164" t="s">
        <v>858</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887</v>
      </c>
      <c r="P62" s="166" t="s">
        <v>61</v>
      </c>
      <c r="Q62" s="163">
        <f>21/((F55/1000)*H62)</f>
        <v>24.054982817869416</v>
      </c>
      <c r="R62" s="166" t="s">
        <v>4</v>
      </c>
      <c r="S62" s="166"/>
      <c r="T62" s="166"/>
      <c r="U62" s="166"/>
      <c r="V62" s="170"/>
      <c r="W62" s="3"/>
      <c r="X62" s="3"/>
      <c r="Y62" s="3"/>
      <c r="Z62" s="3"/>
    </row>
    <row r="63" spans="1:26" ht="36" customHeight="1" thickBot="1">
      <c r="A63" s="145">
        <v>4</v>
      </c>
      <c r="B63" s="146" t="s">
        <v>1067</v>
      </c>
      <c r="C63" s="146"/>
      <c r="D63" s="146"/>
      <c r="E63" s="703" t="s">
        <v>1069</v>
      </c>
      <c r="F63" s="972"/>
      <c r="G63" s="703" t="s">
        <v>1070</v>
      </c>
      <c r="H63" s="982"/>
      <c r="I63" s="982"/>
      <c r="J63" s="982"/>
      <c r="K63" s="147"/>
      <c r="L63" s="146"/>
      <c r="M63" s="146" t="s">
        <v>59</v>
      </c>
      <c r="N63" s="148">
        <v>15.5</v>
      </c>
      <c r="O63" s="146" t="s">
        <v>887</v>
      </c>
      <c r="P63" s="146" t="s">
        <v>61</v>
      </c>
      <c r="Q63" s="149">
        <v>30</v>
      </c>
      <c r="R63" s="146" t="s">
        <v>4</v>
      </c>
      <c r="S63" s="761" t="s">
        <v>563</v>
      </c>
      <c r="T63" s="146"/>
      <c r="U63" s="762">
        <v>2.97</v>
      </c>
      <c r="V63" s="150" t="s">
        <v>858</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5"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5" thickBot="1">
      <c r="A67" s="3"/>
      <c r="B67" s="217" t="s">
        <v>79</v>
      </c>
      <c r="C67" s="218"/>
      <c r="D67" s="218"/>
      <c r="E67" s="218"/>
      <c r="F67" s="194"/>
      <c r="G67" s="3"/>
      <c r="H67" s="3"/>
      <c r="I67" s="3"/>
      <c r="J67" s="3"/>
      <c r="K67" s="3"/>
      <c r="L67" s="3"/>
      <c r="M67" s="3"/>
      <c r="N67" s="3"/>
      <c r="O67" s="3"/>
      <c r="P67" s="3"/>
      <c r="Q67" s="3"/>
      <c r="R67" s="3"/>
      <c r="S67" s="3"/>
      <c r="T67" s="3"/>
      <c r="U67" s="3"/>
      <c r="V67" s="3"/>
      <c r="W67" s="3"/>
      <c r="X67" s="3"/>
      <c r="Y67" s="3"/>
      <c r="Z67" s="3"/>
    </row>
    <row r="68" spans="1:26">
      <c r="A68" s="3"/>
      <c r="B68" s="205"/>
      <c r="C68" s="98"/>
      <c r="D68" s="98"/>
      <c r="E68" s="98"/>
      <c r="F68" s="204"/>
      <c r="G68" s="3"/>
      <c r="H68" s="3"/>
      <c r="I68" s="3"/>
      <c r="J68" s="3"/>
      <c r="K68" s="3"/>
      <c r="L68" s="3"/>
      <c r="M68" s="3"/>
      <c r="N68" s="3"/>
      <c r="O68" s="3"/>
      <c r="P68" s="3"/>
      <c r="Q68" s="3"/>
      <c r="R68" s="3"/>
      <c r="S68" s="3"/>
      <c r="T68" s="3"/>
      <c r="U68" s="3"/>
      <c r="V68" s="3"/>
      <c r="W68" s="3"/>
      <c r="X68" s="3"/>
      <c r="Y68" s="3"/>
      <c r="Z68" s="3"/>
    </row>
    <row r="69" spans="1:26">
      <c r="A69" s="3"/>
      <c r="B69" s="203" t="s">
        <v>80</v>
      </c>
      <c r="C69" s="98"/>
      <c r="D69" s="98" t="s">
        <v>82</v>
      </c>
      <c r="E69" s="98"/>
      <c r="F69" s="204" t="s">
        <v>84</v>
      </c>
      <c r="G69" s="3"/>
      <c r="H69" s="3"/>
      <c r="I69" s="3"/>
      <c r="J69" s="3"/>
      <c r="K69" s="3"/>
      <c r="L69" s="3"/>
      <c r="M69" s="3"/>
      <c r="N69" s="3"/>
      <c r="O69" s="3"/>
      <c r="P69" s="3"/>
      <c r="Q69" s="3"/>
      <c r="R69" s="3"/>
      <c r="S69" s="3"/>
      <c r="T69" s="3"/>
      <c r="U69" s="3"/>
      <c r="V69" s="3"/>
      <c r="W69" s="3"/>
      <c r="X69" s="3"/>
      <c r="Y69" s="3"/>
      <c r="Z69" s="3"/>
    </row>
    <row r="70" spans="1:26">
      <c r="A70" s="3"/>
      <c r="B70" s="203" t="s">
        <v>81</v>
      </c>
      <c r="C70" s="98"/>
      <c r="D70" s="98" t="s">
        <v>83</v>
      </c>
      <c r="E70" s="98"/>
      <c r="F70" s="204" t="s">
        <v>85</v>
      </c>
      <c r="G70" s="3"/>
      <c r="H70" s="3"/>
      <c r="I70" s="3"/>
      <c r="J70" s="3"/>
      <c r="K70" s="3"/>
      <c r="L70" s="3"/>
      <c r="M70" s="3"/>
      <c r="N70" s="3"/>
      <c r="O70" s="3"/>
      <c r="P70" s="3"/>
      <c r="Q70" s="3"/>
      <c r="R70" s="3"/>
      <c r="S70" s="3"/>
      <c r="T70" s="3"/>
      <c r="U70" s="3"/>
      <c r="V70" s="3"/>
      <c r="W70" s="3"/>
      <c r="X70" s="3"/>
      <c r="Y70" s="3"/>
      <c r="Z70" s="3"/>
    </row>
    <row r="71" spans="1:26">
      <c r="A71" s="3"/>
      <c r="B71" s="205"/>
      <c r="C71" s="98"/>
      <c r="D71" s="98"/>
      <c r="E71" s="98"/>
      <c r="F71" s="204"/>
      <c r="G71" s="3"/>
      <c r="H71" s="3"/>
      <c r="I71" s="3"/>
      <c r="J71" s="3"/>
      <c r="K71" s="3"/>
      <c r="L71" s="3"/>
      <c r="M71" s="3"/>
      <c r="N71" s="3"/>
      <c r="O71" s="3"/>
      <c r="P71" s="3"/>
      <c r="Q71" s="3"/>
      <c r="R71" s="3"/>
      <c r="S71" s="3"/>
      <c r="T71" s="3"/>
      <c r="U71" s="3"/>
      <c r="V71" s="3"/>
      <c r="W71" s="3"/>
      <c r="X71" s="3"/>
      <c r="Y71" s="3"/>
      <c r="Z71" s="3"/>
    </row>
    <row r="72" spans="1:26">
      <c r="A72" s="3"/>
      <c r="B72" s="206">
        <v>0.35</v>
      </c>
      <c r="C72" s="207"/>
      <c r="D72" s="207">
        <v>3</v>
      </c>
      <c r="E72" s="207"/>
      <c r="F72" s="208">
        <v>9.65</v>
      </c>
      <c r="G72" s="3"/>
      <c r="H72" s="3"/>
      <c r="I72" s="3"/>
      <c r="J72" s="3"/>
      <c r="K72" s="3"/>
      <c r="L72" s="3"/>
      <c r="M72" s="3"/>
      <c r="N72" s="3"/>
      <c r="O72" s="3"/>
      <c r="P72" s="3"/>
      <c r="Q72" s="3"/>
      <c r="R72" s="3"/>
      <c r="S72" s="3"/>
      <c r="T72" s="3"/>
      <c r="U72" s="3"/>
      <c r="V72" s="3"/>
      <c r="W72" s="3"/>
      <c r="X72" s="3"/>
      <c r="Y72" s="3"/>
      <c r="Z72" s="3"/>
    </row>
    <row r="73" spans="1:26">
      <c r="A73" s="3"/>
      <c r="B73" s="206" t="s">
        <v>818</v>
      </c>
      <c r="C73" s="207"/>
      <c r="D73" s="207"/>
      <c r="E73" s="207"/>
      <c r="F73" s="208"/>
      <c r="G73" s="3"/>
      <c r="H73" s="3"/>
      <c r="I73" s="3"/>
      <c r="J73" s="3"/>
      <c r="K73" s="3"/>
      <c r="L73" s="3"/>
      <c r="M73" s="3"/>
      <c r="N73" s="3"/>
      <c r="O73" s="3"/>
      <c r="P73" s="3"/>
      <c r="Q73" s="3"/>
      <c r="R73" s="3"/>
      <c r="S73" s="3"/>
      <c r="T73" s="3"/>
      <c r="U73" s="3"/>
      <c r="V73" s="3"/>
      <c r="W73" s="3"/>
      <c r="X73" s="3"/>
      <c r="Y73" s="3"/>
      <c r="Z73" s="3"/>
    </row>
    <row r="74" spans="1:26">
      <c r="A74" s="3"/>
      <c r="B74" s="206">
        <v>0.55000000000000004</v>
      </c>
      <c r="C74" s="207"/>
      <c r="D74" s="207">
        <v>4</v>
      </c>
      <c r="E74" s="207"/>
      <c r="F74" s="208">
        <v>10.86</v>
      </c>
      <c r="G74" s="3"/>
      <c r="H74" s="3"/>
      <c r="I74" s="3"/>
      <c r="J74" s="3"/>
      <c r="K74" s="3"/>
      <c r="L74" s="3"/>
      <c r="M74" s="3"/>
      <c r="N74" s="3"/>
      <c r="O74" s="3"/>
      <c r="P74" s="3"/>
      <c r="Q74" s="3"/>
      <c r="R74" s="3"/>
      <c r="S74" s="3"/>
      <c r="T74" s="3"/>
      <c r="U74" s="3"/>
      <c r="V74" s="3"/>
      <c r="W74" s="3"/>
      <c r="X74" s="3"/>
      <c r="Y74" s="3"/>
      <c r="Z74" s="3"/>
    </row>
    <row r="75" spans="1:26">
      <c r="A75" s="3"/>
      <c r="B75" s="206"/>
      <c r="C75" s="207"/>
      <c r="D75" s="207"/>
      <c r="E75" s="207"/>
      <c r="F75" s="208"/>
      <c r="G75" s="3"/>
      <c r="H75" s="3"/>
      <c r="I75" s="3"/>
      <c r="J75" s="3"/>
      <c r="K75" s="3"/>
      <c r="L75" s="3"/>
      <c r="M75" s="3"/>
      <c r="N75" s="3"/>
      <c r="O75" s="3"/>
      <c r="P75" s="3"/>
      <c r="Q75" s="3"/>
      <c r="R75" s="3"/>
      <c r="S75" s="3"/>
      <c r="T75" s="3"/>
      <c r="U75" s="3"/>
      <c r="V75" s="3"/>
      <c r="W75" s="3"/>
      <c r="X75" s="3"/>
      <c r="Y75" s="3"/>
      <c r="Z75" s="3"/>
    </row>
    <row r="76" spans="1:26">
      <c r="A76" s="3"/>
      <c r="B76" s="206">
        <v>0.8</v>
      </c>
      <c r="C76" s="207"/>
      <c r="D76" s="207">
        <v>5</v>
      </c>
      <c r="E76" s="207"/>
      <c r="F76" s="208">
        <v>11.85</v>
      </c>
      <c r="G76" s="3"/>
      <c r="H76" s="3"/>
      <c r="I76" s="3"/>
      <c r="J76" s="3"/>
      <c r="K76" s="3"/>
      <c r="L76" s="3"/>
      <c r="M76" s="3"/>
      <c r="N76" s="3"/>
      <c r="O76" s="3"/>
      <c r="P76" s="3"/>
      <c r="Q76" s="3"/>
      <c r="R76" s="3"/>
      <c r="S76" s="3"/>
      <c r="T76" s="3"/>
      <c r="U76" s="3"/>
      <c r="V76" s="3"/>
      <c r="W76" s="3"/>
      <c r="X76" s="3"/>
      <c r="Y76" s="3"/>
      <c r="Z76" s="3"/>
    </row>
    <row r="77" spans="1:26">
      <c r="A77" s="3"/>
      <c r="B77" s="206"/>
      <c r="C77" s="207"/>
      <c r="D77" s="207"/>
      <c r="E77" s="207"/>
      <c r="F77" s="208"/>
      <c r="G77" s="3"/>
      <c r="H77" s="3"/>
      <c r="I77" s="3"/>
      <c r="J77" s="3"/>
      <c r="K77" s="3"/>
      <c r="L77" s="3"/>
      <c r="M77" s="3"/>
      <c r="N77" s="3"/>
      <c r="O77" s="3"/>
      <c r="P77" s="3"/>
      <c r="Q77" s="3"/>
      <c r="R77" s="3"/>
      <c r="S77" s="3"/>
      <c r="T77" s="3"/>
      <c r="U77" s="3"/>
      <c r="V77" s="3"/>
      <c r="W77" s="3"/>
      <c r="X77" s="3"/>
      <c r="Y77" s="3"/>
      <c r="Z77" s="3"/>
    </row>
    <row r="78" spans="1:26">
      <c r="A78" s="3"/>
      <c r="B78" s="206">
        <v>1.1499999999999999</v>
      </c>
      <c r="C78" s="207"/>
      <c r="D78" s="207">
        <v>6</v>
      </c>
      <c r="E78" s="207"/>
      <c r="F78" s="208">
        <v>12.45</v>
      </c>
      <c r="G78" s="3"/>
      <c r="H78" s="3"/>
      <c r="I78" s="3"/>
      <c r="J78" s="3"/>
      <c r="K78" s="3"/>
      <c r="L78" s="3"/>
      <c r="M78" s="3"/>
      <c r="N78" s="3"/>
      <c r="O78" s="3"/>
      <c r="P78" s="3"/>
      <c r="Q78" s="3"/>
      <c r="R78" s="3"/>
      <c r="S78" s="3"/>
      <c r="T78" s="3"/>
      <c r="U78" s="3"/>
      <c r="V78" s="3"/>
      <c r="W78" s="3"/>
      <c r="X78" s="3"/>
      <c r="Y78" s="3"/>
      <c r="Z78" s="3"/>
    </row>
    <row r="79" spans="1:26">
      <c r="A79" s="3"/>
      <c r="B79" s="206"/>
      <c r="C79" s="207"/>
      <c r="D79" s="207"/>
      <c r="E79" s="207"/>
      <c r="F79" s="208"/>
      <c r="G79" s="3"/>
      <c r="H79" s="3"/>
      <c r="I79" s="3"/>
      <c r="J79" s="3"/>
      <c r="K79" s="3"/>
      <c r="L79" s="3"/>
      <c r="M79" s="3"/>
      <c r="N79" s="3"/>
      <c r="O79" s="3"/>
      <c r="P79" s="3"/>
      <c r="Q79" s="3"/>
      <c r="R79" s="3"/>
      <c r="S79" s="3"/>
      <c r="T79" s="3"/>
      <c r="U79" s="3"/>
      <c r="V79" s="3"/>
      <c r="W79" s="3"/>
      <c r="X79" s="3"/>
      <c r="Y79" s="3"/>
      <c r="Z79" s="3"/>
    </row>
    <row r="80" spans="1:26">
      <c r="A80" s="3"/>
      <c r="B80" s="206">
        <v>1.45</v>
      </c>
      <c r="C80" s="207"/>
      <c r="D80" s="207">
        <v>7</v>
      </c>
      <c r="E80" s="207"/>
      <c r="F80" s="208">
        <v>13.35</v>
      </c>
      <c r="G80" s="3"/>
      <c r="H80" s="3"/>
      <c r="I80" s="3"/>
      <c r="J80" s="3"/>
      <c r="K80" s="3"/>
      <c r="L80" s="3"/>
      <c r="M80" s="3"/>
      <c r="N80" s="3"/>
      <c r="O80" s="3"/>
      <c r="P80" s="3"/>
      <c r="Q80" s="3"/>
      <c r="R80" s="3"/>
      <c r="S80" s="3"/>
      <c r="T80" s="3"/>
      <c r="U80" s="3"/>
      <c r="V80" s="3"/>
      <c r="W80" s="3"/>
      <c r="X80" s="3"/>
      <c r="Y80" s="3"/>
      <c r="Z80" s="3"/>
    </row>
    <row r="81" spans="1:26">
      <c r="A81" s="3"/>
      <c r="B81" s="206"/>
      <c r="C81" s="207"/>
      <c r="D81" s="207"/>
      <c r="E81" s="207"/>
      <c r="F81" s="208"/>
      <c r="G81" s="3"/>
      <c r="H81" s="3"/>
      <c r="I81" s="3"/>
      <c r="J81" s="3"/>
      <c r="K81" s="3"/>
      <c r="L81" s="3"/>
      <c r="M81" s="3"/>
      <c r="N81" s="3"/>
      <c r="O81" s="3"/>
      <c r="P81" s="3"/>
      <c r="Q81" s="3"/>
      <c r="R81" s="3"/>
      <c r="S81" s="3"/>
      <c r="T81" s="3"/>
      <c r="U81" s="3"/>
      <c r="V81" s="3"/>
      <c r="W81" s="3"/>
      <c r="X81" s="3"/>
      <c r="Y81" s="3"/>
      <c r="Z81" s="3"/>
    </row>
    <row r="82" spans="1:26">
      <c r="A82" s="3"/>
      <c r="B82" s="206">
        <v>1.8</v>
      </c>
      <c r="C82" s="207"/>
      <c r="D82" s="207">
        <v>8</v>
      </c>
      <c r="E82" s="207"/>
      <c r="F82" s="208">
        <v>14.05</v>
      </c>
      <c r="G82" s="3"/>
      <c r="H82" s="3"/>
      <c r="I82" s="3"/>
      <c r="J82" s="3"/>
      <c r="K82" s="3"/>
      <c r="L82" s="3"/>
      <c r="M82" s="3"/>
      <c r="N82" s="3"/>
      <c r="O82" s="3"/>
      <c r="P82" s="3"/>
      <c r="Q82" s="3"/>
      <c r="R82" s="3"/>
      <c r="S82" s="3"/>
      <c r="T82" s="3"/>
      <c r="U82" s="3"/>
      <c r="V82" s="3"/>
      <c r="W82" s="3"/>
      <c r="X82" s="3"/>
      <c r="Y82" s="3"/>
      <c r="Z82" s="3"/>
    </row>
    <row r="83" spans="1:26">
      <c r="A83" s="3"/>
      <c r="B83" s="206"/>
      <c r="C83" s="207"/>
      <c r="D83" s="207"/>
      <c r="E83" s="207"/>
      <c r="F83" s="208"/>
      <c r="G83" s="3"/>
      <c r="H83" s="3"/>
      <c r="I83" s="3"/>
      <c r="J83" s="3"/>
      <c r="K83" s="3"/>
      <c r="L83" s="3"/>
      <c r="M83" s="3"/>
      <c r="N83" s="3"/>
      <c r="O83" s="3"/>
      <c r="P83" s="3"/>
      <c r="Q83" s="3"/>
      <c r="R83" s="3"/>
      <c r="S83" s="3"/>
      <c r="T83" s="3"/>
      <c r="U83" s="3"/>
      <c r="V83" s="3"/>
      <c r="W83" s="3"/>
      <c r="X83" s="3"/>
      <c r="Y83" s="3"/>
      <c r="Z83" s="3"/>
    </row>
    <row r="84" spans="1:26">
      <c r="A84" s="3"/>
      <c r="B84" s="206">
        <v>2.1</v>
      </c>
      <c r="C84" s="207"/>
      <c r="D84" s="207">
        <v>9</v>
      </c>
      <c r="E84" s="207"/>
      <c r="F84" s="208">
        <v>14.4</v>
      </c>
      <c r="G84" s="3"/>
      <c r="H84" s="3"/>
      <c r="I84" s="3"/>
      <c r="J84" s="3"/>
      <c r="K84" s="3"/>
      <c r="L84" s="3"/>
      <c r="M84" s="3"/>
      <c r="N84" s="3"/>
      <c r="O84" s="3"/>
      <c r="P84" s="3"/>
      <c r="Q84" s="3"/>
      <c r="R84" s="3"/>
      <c r="S84" s="3"/>
      <c r="T84" s="3"/>
      <c r="U84" s="3"/>
      <c r="V84" s="3"/>
      <c r="W84" s="3"/>
      <c r="X84" s="3"/>
      <c r="Y84" s="3"/>
      <c r="Z84" s="3"/>
    </row>
    <row r="85" spans="1:26">
      <c r="A85" s="3"/>
      <c r="B85" s="206"/>
      <c r="C85" s="207"/>
      <c r="D85" s="207"/>
      <c r="E85" s="207"/>
      <c r="F85" s="208"/>
      <c r="G85" s="3"/>
      <c r="H85" s="3"/>
      <c r="I85" s="3"/>
      <c r="J85" s="3"/>
      <c r="K85" s="3"/>
      <c r="L85" s="3"/>
      <c r="M85" s="3"/>
      <c r="N85" s="3"/>
      <c r="O85" s="3"/>
      <c r="P85" s="3"/>
      <c r="Q85" s="3"/>
      <c r="R85" s="3"/>
      <c r="S85" s="3"/>
      <c r="T85" s="3"/>
      <c r="U85" s="3"/>
      <c r="V85" s="3"/>
      <c r="W85" s="3"/>
      <c r="X85" s="3"/>
      <c r="Y85" s="3"/>
      <c r="Z85" s="3"/>
    </row>
    <row r="86" spans="1:26">
      <c r="A86" s="3"/>
      <c r="B86" s="206">
        <v>2.4500000000000002</v>
      </c>
      <c r="C86" s="207"/>
      <c r="D86" s="207">
        <v>10</v>
      </c>
      <c r="E86" s="207"/>
      <c r="F86" s="208">
        <v>15.25</v>
      </c>
      <c r="G86" s="3"/>
      <c r="H86" s="3"/>
      <c r="I86" s="3"/>
      <c r="J86" s="3"/>
      <c r="K86" s="3"/>
      <c r="L86" s="3"/>
      <c r="M86" s="3"/>
      <c r="N86" s="3"/>
      <c r="O86" s="3"/>
      <c r="P86" s="3"/>
      <c r="Q86" s="3"/>
      <c r="R86" s="3"/>
      <c r="S86" s="3"/>
      <c r="T86" s="3"/>
      <c r="U86" s="3"/>
      <c r="V86" s="3"/>
      <c r="W86" s="3"/>
      <c r="X86" s="3"/>
      <c r="Y86" s="3"/>
      <c r="Z86" s="3"/>
    </row>
    <row r="87" spans="1:26">
      <c r="A87" s="3"/>
      <c r="B87" s="206"/>
      <c r="C87" s="207"/>
      <c r="D87" s="207"/>
      <c r="E87" s="207"/>
      <c r="F87" s="208"/>
      <c r="G87" s="3"/>
      <c r="H87" s="3"/>
      <c r="I87" s="3"/>
      <c r="J87" s="3"/>
      <c r="K87" s="3"/>
      <c r="L87" s="3"/>
      <c r="M87" s="3"/>
      <c r="N87" s="3"/>
      <c r="O87" s="3"/>
      <c r="P87" s="3"/>
      <c r="Q87" s="3"/>
      <c r="R87" s="3"/>
      <c r="S87" s="3"/>
      <c r="T87" s="3"/>
      <c r="U87" s="3"/>
      <c r="V87" s="3"/>
      <c r="W87" s="3"/>
      <c r="X87" s="3"/>
      <c r="Y87" s="3"/>
      <c r="Z87" s="3"/>
    </row>
    <row r="88" spans="1:26">
      <c r="A88" s="3"/>
      <c r="B88" s="206">
        <v>2.8</v>
      </c>
      <c r="C88" s="207"/>
      <c r="D88" s="207">
        <v>11</v>
      </c>
      <c r="E88" s="207"/>
      <c r="F88" s="208">
        <v>15.95</v>
      </c>
      <c r="G88" s="3"/>
      <c r="H88" s="3"/>
      <c r="I88" s="3"/>
      <c r="J88" s="3"/>
      <c r="K88" s="3"/>
      <c r="L88" s="3"/>
      <c r="M88" s="3"/>
      <c r="N88" s="3"/>
      <c r="O88" s="3"/>
      <c r="P88" s="3"/>
      <c r="Q88" s="3"/>
      <c r="R88" s="3"/>
      <c r="S88" s="3"/>
      <c r="T88" s="3"/>
      <c r="U88" s="3"/>
      <c r="V88" s="3"/>
      <c r="W88" s="3"/>
      <c r="X88" s="3"/>
      <c r="Y88" s="3"/>
      <c r="Z88" s="3"/>
    </row>
    <row r="89" spans="1:26">
      <c r="A89" s="3"/>
      <c r="B89" s="206"/>
      <c r="C89" s="207"/>
      <c r="D89" s="207"/>
      <c r="E89" s="207"/>
      <c r="F89" s="208"/>
      <c r="G89" s="3"/>
      <c r="H89" s="3"/>
      <c r="I89" s="3"/>
      <c r="J89" s="3"/>
      <c r="K89" s="3"/>
      <c r="L89" s="3"/>
      <c r="M89" s="3"/>
      <c r="N89" s="3"/>
      <c r="O89" s="3"/>
      <c r="P89" s="3"/>
      <c r="Q89" s="3"/>
      <c r="R89" s="3"/>
      <c r="S89" s="3"/>
      <c r="T89" s="3"/>
      <c r="U89" s="3"/>
      <c r="V89" s="3"/>
      <c r="W89" s="3"/>
      <c r="X89" s="3"/>
      <c r="Y89" s="3"/>
      <c r="Z89" s="3"/>
    </row>
    <row r="90" spans="1:26">
      <c r="A90" s="3"/>
      <c r="B90" s="206">
        <v>3.15</v>
      </c>
      <c r="C90" s="207"/>
      <c r="D90" s="207">
        <v>12</v>
      </c>
      <c r="E90" s="207"/>
      <c r="F90" s="208">
        <v>16.3</v>
      </c>
      <c r="G90" s="3"/>
      <c r="H90" s="3"/>
      <c r="I90" s="3"/>
      <c r="J90" s="3"/>
      <c r="K90" s="3"/>
      <c r="L90" s="3"/>
      <c r="M90" s="3"/>
      <c r="N90" s="3"/>
      <c r="O90" s="3"/>
      <c r="P90" s="3"/>
      <c r="Q90" s="3"/>
      <c r="R90" s="3"/>
      <c r="S90" s="3"/>
      <c r="T90" s="3"/>
      <c r="U90" s="3"/>
      <c r="V90" s="3"/>
      <c r="W90" s="3"/>
      <c r="X90" s="3"/>
      <c r="Y90" s="3"/>
      <c r="Z90" s="3"/>
    </row>
    <row r="91" spans="1:26">
      <c r="A91" s="3"/>
      <c r="B91" s="206"/>
      <c r="C91" s="207"/>
      <c r="D91" s="207"/>
      <c r="E91" s="207"/>
      <c r="F91" s="208"/>
      <c r="G91" s="3"/>
      <c r="H91" s="3"/>
      <c r="I91" s="3"/>
      <c r="J91" s="3"/>
      <c r="K91" s="3"/>
      <c r="L91" s="3"/>
      <c r="M91" s="3"/>
      <c r="N91" s="3"/>
      <c r="O91" s="3"/>
      <c r="P91" s="3"/>
      <c r="Q91" s="3"/>
      <c r="R91" s="3"/>
      <c r="S91" s="3"/>
      <c r="T91" s="3"/>
      <c r="U91" s="3"/>
      <c r="V91" s="3"/>
      <c r="W91" s="3"/>
      <c r="X91" s="3"/>
      <c r="Y91" s="3"/>
      <c r="Z91" s="3"/>
    </row>
    <row r="92" spans="1:26">
      <c r="A92" s="3"/>
      <c r="B92" s="206">
        <v>3.55</v>
      </c>
      <c r="C92" s="207"/>
      <c r="D92" s="207">
        <v>13</v>
      </c>
      <c r="E92" s="207"/>
      <c r="F92" s="208">
        <v>16.95</v>
      </c>
      <c r="G92" s="3"/>
      <c r="H92" s="3"/>
      <c r="I92" s="3"/>
      <c r="J92" s="3"/>
      <c r="K92" s="3"/>
      <c r="L92" s="3"/>
      <c r="M92" s="3"/>
      <c r="N92" s="3"/>
      <c r="O92" s="3"/>
      <c r="P92" s="3"/>
      <c r="Q92" s="3"/>
      <c r="R92" s="3"/>
      <c r="S92" s="3"/>
      <c r="T92" s="3"/>
      <c r="U92" s="3"/>
      <c r="V92" s="3"/>
      <c r="W92" s="3"/>
      <c r="X92" s="3"/>
      <c r="Y92" s="3"/>
      <c r="Z92" s="3"/>
    </row>
    <row r="93" spans="1:26">
      <c r="A93" s="3"/>
      <c r="B93" s="206"/>
      <c r="C93" s="207"/>
      <c r="D93" s="207"/>
      <c r="E93" s="207"/>
      <c r="F93" s="208"/>
      <c r="G93" s="3"/>
      <c r="H93" s="3"/>
      <c r="I93" s="3"/>
      <c r="J93" s="3"/>
      <c r="K93" s="3"/>
      <c r="L93" s="3"/>
      <c r="M93" s="3"/>
      <c r="N93" s="3"/>
      <c r="O93" s="3"/>
      <c r="P93" s="3"/>
      <c r="Q93" s="3"/>
      <c r="R93" s="3"/>
      <c r="S93" s="3"/>
      <c r="T93" s="3"/>
      <c r="U93" s="3"/>
      <c r="V93" s="3"/>
      <c r="W93" s="3"/>
      <c r="X93" s="3"/>
      <c r="Y93" s="3"/>
      <c r="Z93" s="3"/>
    </row>
    <row r="94" spans="1:26">
      <c r="A94" s="3"/>
      <c r="B94" s="206">
        <v>4</v>
      </c>
      <c r="C94" s="207"/>
      <c r="D94" s="207">
        <v>14</v>
      </c>
      <c r="E94" s="207"/>
      <c r="F94" s="208">
        <v>17.45</v>
      </c>
      <c r="G94" s="3"/>
      <c r="H94" s="3"/>
      <c r="I94" s="3"/>
      <c r="J94" s="3"/>
      <c r="K94" s="3"/>
      <c r="L94" s="3"/>
      <c r="M94" s="3"/>
      <c r="N94" s="3"/>
      <c r="O94" s="3"/>
      <c r="P94" s="3"/>
      <c r="Q94" s="3"/>
      <c r="R94" s="3"/>
      <c r="S94" s="3"/>
      <c r="T94" s="3"/>
      <c r="U94" s="3"/>
      <c r="V94" s="3"/>
      <c r="W94" s="3"/>
      <c r="X94" s="3"/>
      <c r="Y94" s="3"/>
      <c r="Z94" s="3"/>
    </row>
    <row r="95" spans="1:26">
      <c r="A95" s="3"/>
      <c r="B95" s="206"/>
      <c r="C95" s="207"/>
      <c r="D95" s="207"/>
      <c r="E95" s="207"/>
      <c r="F95" s="208"/>
      <c r="G95" s="3"/>
      <c r="H95" s="3"/>
      <c r="I95" s="3"/>
      <c r="J95" s="3"/>
      <c r="K95" s="3"/>
      <c r="L95" s="3"/>
      <c r="M95" s="3"/>
      <c r="N95" s="3"/>
      <c r="O95" s="3"/>
      <c r="P95" s="3"/>
      <c r="Q95" s="3"/>
      <c r="R95" s="3"/>
      <c r="S95" s="3"/>
      <c r="T95" s="3"/>
      <c r="U95" s="3"/>
      <c r="V95" s="3"/>
      <c r="W95" s="3"/>
      <c r="X95" s="3"/>
      <c r="Y95" s="3"/>
      <c r="Z95" s="3"/>
    </row>
    <row r="96" spans="1:26">
      <c r="A96" s="3"/>
      <c r="B96" s="206">
        <v>4.4000000000000004</v>
      </c>
      <c r="C96" s="207"/>
      <c r="D96" s="207">
        <v>15</v>
      </c>
      <c r="E96" s="207"/>
      <c r="F96" s="208">
        <v>18.149999999999999</v>
      </c>
      <c r="G96" s="3"/>
      <c r="H96" s="3"/>
      <c r="I96" s="3"/>
      <c r="J96" s="3"/>
      <c r="K96" s="3"/>
      <c r="L96" s="3"/>
      <c r="M96" s="3"/>
      <c r="N96" s="3"/>
      <c r="O96" s="3"/>
      <c r="P96" s="3"/>
      <c r="Q96" s="3"/>
      <c r="R96" s="3"/>
      <c r="S96" s="3"/>
      <c r="T96" s="3"/>
      <c r="U96" s="3"/>
      <c r="V96" s="3"/>
      <c r="W96" s="3"/>
      <c r="X96" s="3"/>
      <c r="Y96" s="3"/>
      <c r="Z96" s="3"/>
    </row>
    <row r="97" spans="1:26">
      <c r="A97" s="3"/>
      <c r="B97" s="206"/>
      <c r="C97" s="207"/>
      <c r="D97" s="207"/>
      <c r="E97" s="207"/>
      <c r="F97" s="208"/>
      <c r="G97" s="3"/>
      <c r="H97" s="3"/>
      <c r="I97" s="3"/>
      <c r="J97" s="3"/>
      <c r="K97" s="3"/>
      <c r="L97" s="3"/>
      <c r="M97" s="3"/>
      <c r="N97" s="3"/>
      <c r="O97" s="3"/>
      <c r="P97" s="3"/>
      <c r="Q97" s="3"/>
      <c r="R97" s="3"/>
      <c r="S97" s="3"/>
      <c r="T97" s="3"/>
      <c r="U97" s="3"/>
      <c r="V97" s="3"/>
      <c r="W97" s="3"/>
      <c r="X97" s="3"/>
      <c r="Y97" s="3"/>
      <c r="Z97" s="3"/>
    </row>
    <row r="98" spans="1:26">
      <c r="A98" s="3"/>
      <c r="B98" s="206">
        <v>4.75</v>
      </c>
      <c r="C98" s="207"/>
      <c r="D98" s="207">
        <v>16</v>
      </c>
      <c r="E98" s="207"/>
      <c r="F98" s="208">
        <v>18.649999999999999</v>
      </c>
      <c r="G98" s="3"/>
      <c r="H98" s="3"/>
      <c r="I98" s="3"/>
      <c r="J98" s="3"/>
      <c r="K98" s="3"/>
      <c r="L98" s="3"/>
      <c r="M98" s="3"/>
      <c r="N98" s="3"/>
      <c r="O98" s="3"/>
      <c r="P98" s="3"/>
      <c r="Q98" s="3"/>
      <c r="R98" s="3"/>
      <c r="S98" s="3"/>
      <c r="T98" s="3"/>
      <c r="U98" s="3"/>
      <c r="V98" s="3"/>
      <c r="W98" s="3"/>
      <c r="X98" s="3"/>
      <c r="Y98" s="3"/>
      <c r="Z98" s="3"/>
    </row>
    <row r="99" spans="1:26">
      <c r="A99" s="3"/>
      <c r="B99" s="206"/>
      <c r="C99" s="207"/>
      <c r="D99" s="207"/>
      <c r="E99" s="207"/>
      <c r="F99" s="208"/>
      <c r="G99" s="3"/>
      <c r="H99" s="3"/>
      <c r="I99" s="3"/>
      <c r="J99" s="3"/>
      <c r="K99" s="3"/>
      <c r="L99" s="3"/>
      <c r="M99" s="3"/>
      <c r="N99" s="3"/>
      <c r="O99" s="3"/>
      <c r="P99" s="3"/>
      <c r="Q99" s="3"/>
      <c r="R99" s="3"/>
      <c r="S99" s="3"/>
      <c r="T99" s="3"/>
      <c r="U99" s="3"/>
      <c r="V99" s="3"/>
      <c r="W99" s="3"/>
      <c r="X99" s="3"/>
      <c r="Y99" s="3"/>
      <c r="Z99" s="3"/>
    </row>
    <row r="100" spans="1:26">
      <c r="A100" s="3"/>
      <c r="B100" s="206">
        <v>5.2</v>
      </c>
      <c r="C100" s="98"/>
      <c r="D100" s="207">
        <v>17</v>
      </c>
      <c r="E100" s="98"/>
      <c r="F100" s="208">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6"/>
      <c r="C101" s="98"/>
      <c r="D101" s="207"/>
      <c r="E101" s="98"/>
      <c r="F101" s="208"/>
      <c r="G101" s="3"/>
      <c r="H101" s="3"/>
      <c r="I101" s="3"/>
      <c r="J101" s="3"/>
      <c r="K101" s="3"/>
      <c r="L101" s="3"/>
      <c r="M101" s="3"/>
      <c r="N101" s="3"/>
      <c r="O101" s="3"/>
      <c r="P101" s="3"/>
      <c r="Q101" s="3"/>
      <c r="R101" s="3"/>
      <c r="S101" s="3"/>
      <c r="T101" s="3"/>
      <c r="U101" s="3"/>
      <c r="V101" s="3"/>
      <c r="W101" s="3"/>
      <c r="X101" s="3"/>
      <c r="Y101" s="3"/>
      <c r="Z101" s="3"/>
    </row>
    <row r="102" spans="1:26">
      <c r="A102" s="3"/>
      <c r="B102" s="206">
        <v>5.55</v>
      </c>
      <c r="C102" s="98"/>
      <c r="D102" s="207">
        <v>18</v>
      </c>
      <c r="E102" s="98"/>
      <c r="F102" s="208">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6"/>
      <c r="C103" s="98"/>
      <c r="D103" s="207"/>
      <c r="E103" s="98"/>
      <c r="F103" s="208"/>
      <c r="G103" s="3"/>
      <c r="H103" s="3"/>
      <c r="I103" s="3"/>
      <c r="J103" s="3"/>
      <c r="K103" s="3"/>
      <c r="L103" s="3"/>
      <c r="M103" s="3"/>
      <c r="N103" s="3"/>
      <c r="O103" s="3"/>
      <c r="P103" s="3"/>
      <c r="Q103" s="3"/>
      <c r="R103" s="3"/>
      <c r="S103" s="3"/>
      <c r="T103" s="3"/>
      <c r="U103" s="3"/>
      <c r="V103" s="3"/>
      <c r="W103" s="3"/>
      <c r="X103" s="3"/>
      <c r="Y103" s="3"/>
      <c r="Z103" s="3"/>
    </row>
    <row r="104" spans="1:26">
      <c r="A104" s="3"/>
      <c r="B104" s="206">
        <v>6</v>
      </c>
      <c r="C104" s="98"/>
      <c r="D104" s="207">
        <v>19</v>
      </c>
      <c r="E104" s="98"/>
      <c r="F104" s="208">
        <v>20.25</v>
      </c>
      <c r="G104" s="3"/>
      <c r="H104" s="3"/>
      <c r="I104" s="3"/>
      <c r="J104" s="3"/>
      <c r="K104" s="3"/>
      <c r="L104" s="3"/>
      <c r="M104" s="3"/>
      <c r="N104" s="3"/>
      <c r="O104" s="3"/>
      <c r="P104" s="3"/>
      <c r="Q104" s="3"/>
      <c r="R104" s="3"/>
      <c r="S104" s="3"/>
      <c r="T104" s="3"/>
      <c r="U104" s="3"/>
      <c r="V104" s="3"/>
      <c r="W104" s="3"/>
      <c r="X104" s="3"/>
      <c r="Y104" s="3"/>
      <c r="Z104" s="3"/>
    </row>
    <row r="105" spans="1:26">
      <c r="A105" s="3"/>
      <c r="B105" s="206"/>
      <c r="C105" s="98"/>
      <c r="D105" s="207"/>
      <c r="E105" s="98"/>
      <c r="F105" s="208"/>
      <c r="G105" s="3"/>
      <c r="H105" s="3"/>
      <c r="I105" s="3"/>
      <c r="J105" s="3"/>
      <c r="K105" s="3"/>
      <c r="L105" s="3"/>
      <c r="M105" s="3"/>
      <c r="N105" s="3"/>
      <c r="O105" s="3"/>
      <c r="P105" s="3"/>
      <c r="Q105" s="3"/>
      <c r="R105" s="3"/>
      <c r="S105" s="3"/>
      <c r="T105" s="3"/>
      <c r="U105" s="3"/>
      <c r="V105" s="3"/>
      <c r="W105" s="3"/>
      <c r="X105" s="3"/>
      <c r="Y105" s="3"/>
      <c r="Z105" s="3"/>
    </row>
    <row r="106" spans="1:26">
      <c r="A106" s="3"/>
      <c r="B106" s="206">
        <v>6.5</v>
      </c>
      <c r="C106" s="98"/>
      <c r="D106" s="207">
        <v>20</v>
      </c>
      <c r="E106" s="98"/>
      <c r="F106" s="208">
        <v>20.75</v>
      </c>
      <c r="G106" s="3"/>
      <c r="H106" s="3"/>
      <c r="I106" s="3"/>
      <c r="J106" s="3"/>
      <c r="K106" s="3"/>
      <c r="L106" s="3"/>
      <c r="M106" s="3"/>
      <c r="N106" s="3"/>
      <c r="O106" s="3"/>
      <c r="P106" s="3"/>
      <c r="Q106" s="3"/>
      <c r="R106" s="3"/>
      <c r="S106" s="3"/>
      <c r="T106" s="3"/>
      <c r="U106" s="3"/>
      <c r="V106" s="3"/>
      <c r="W106" s="3"/>
      <c r="X106" s="3"/>
      <c r="Y106" s="3"/>
      <c r="Z106" s="3"/>
    </row>
    <row r="107" spans="1:26">
      <c r="A107" s="3"/>
      <c r="B107" s="206"/>
      <c r="C107" s="98"/>
      <c r="D107" s="207"/>
      <c r="E107" s="98"/>
      <c r="F107" s="208"/>
      <c r="G107" s="3"/>
      <c r="H107" s="3"/>
      <c r="I107" s="3"/>
      <c r="J107" s="3"/>
      <c r="K107" s="3"/>
      <c r="L107" s="3"/>
      <c r="M107" s="3"/>
      <c r="N107" s="3"/>
      <c r="O107" s="3"/>
      <c r="P107" s="3"/>
      <c r="Q107" s="3"/>
      <c r="R107" s="3"/>
      <c r="S107" s="3"/>
      <c r="T107" s="3"/>
      <c r="U107" s="3"/>
      <c r="V107" s="3"/>
      <c r="W107" s="3"/>
      <c r="X107" s="3"/>
      <c r="Y107" s="3"/>
      <c r="Z107" s="3"/>
    </row>
    <row r="108" spans="1:26">
      <c r="A108" s="3"/>
      <c r="B108" s="206">
        <v>7</v>
      </c>
      <c r="C108" s="98"/>
      <c r="D108" s="207">
        <v>21</v>
      </c>
      <c r="E108" s="98"/>
      <c r="F108" s="208">
        <v>21.35</v>
      </c>
      <c r="G108" s="3"/>
      <c r="H108" s="3"/>
      <c r="I108" s="3"/>
      <c r="J108" s="3"/>
      <c r="K108" s="3"/>
      <c r="L108" s="3"/>
      <c r="M108" s="3"/>
      <c r="N108" s="3"/>
      <c r="O108" s="3"/>
      <c r="P108" s="3"/>
      <c r="Q108" s="3"/>
      <c r="R108" s="3"/>
      <c r="S108" s="3"/>
      <c r="T108" s="3"/>
      <c r="U108" s="3"/>
      <c r="V108" s="3"/>
      <c r="W108" s="3"/>
      <c r="X108" s="3"/>
      <c r="Y108" s="3"/>
      <c r="Z108" s="3"/>
    </row>
    <row r="109" spans="1:26">
      <c r="A109" s="3"/>
      <c r="B109" s="206"/>
      <c r="C109" s="98"/>
      <c r="D109" s="207"/>
      <c r="E109" s="98"/>
      <c r="F109" s="208"/>
      <c r="G109" s="3"/>
      <c r="H109" s="3"/>
      <c r="I109" s="3"/>
      <c r="J109" s="3"/>
      <c r="K109" s="3"/>
      <c r="L109" s="3"/>
      <c r="M109" s="3"/>
      <c r="N109" s="3"/>
      <c r="O109" s="3"/>
      <c r="P109" s="3"/>
      <c r="Q109" s="3"/>
      <c r="R109" s="3"/>
      <c r="S109" s="3"/>
      <c r="T109" s="3"/>
      <c r="U109" s="3"/>
      <c r="V109" s="3"/>
      <c r="W109" s="3"/>
      <c r="X109" s="3"/>
      <c r="Y109" s="3"/>
      <c r="Z109" s="3"/>
    </row>
    <row r="110" spans="1:26">
      <c r="A110" s="3"/>
      <c r="B110" s="206">
        <v>7.5</v>
      </c>
      <c r="C110" s="98"/>
      <c r="D110" s="207">
        <v>22</v>
      </c>
      <c r="E110" s="98"/>
      <c r="F110" s="208">
        <v>21.65</v>
      </c>
      <c r="G110" s="3"/>
      <c r="H110" s="3"/>
      <c r="I110" s="3"/>
      <c r="J110" s="3"/>
      <c r="K110" s="3"/>
      <c r="L110" s="3"/>
      <c r="M110" s="3"/>
      <c r="N110" s="3"/>
      <c r="O110" s="3"/>
      <c r="P110" s="3"/>
      <c r="Q110" s="3"/>
      <c r="R110" s="3"/>
      <c r="S110" s="3"/>
      <c r="T110" s="3"/>
      <c r="U110" s="3"/>
      <c r="V110" s="3"/>
      <c r="W110" s="3"/>
      <c r="X110" s="3"/>
      <c r="Y110" s="3"/>
      <c r="Z110" s="3"/>
    </row>
    <row r="111" spans="1:26">
      <c r="A111" s="3"/>
      <c r="B111" s="209"/>
      <c r="C111" s="171"/>
      <c r="D111" s="171"/>
      <c r="E111" s="171"/>
      <c r="F111" s="210"/>
      <c r="G111" s="3"/>
      <c r="H111" s="3"/>
      <c r="I111" s="3"/>
      <c r="J111" s="3"/>
      <c r="K111" s="3"/>
      <c r="L111" s="3"/>
      <c r="M111" s="3"/>
      <c r="N111" s="3"/>
      <c r="O111" s="3"/>
      <c r="P111" s="3"/>
      <c r="Q111" s="3"/>
      <c r="R111" s="3"/>
      <c r="S111" s="3"/>
      <c r="T111" s="3"/>
      <c r="U111" s="3"/>
      <c r="V111" s="3"/>
      <c r="W111" s="3"/>
      <c r="X111" s="3"/>
      <c r="Y111" s="3"/>
      <c r="Z111" s="3"/>
    </row>
    <row r="112" spans="1:26">
      <c r="A112" s="3"/>
      <c r="B112" s="3" t="s">
        <v>693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50" zoomScaleNormal="150" workbookViewId="0">
      <selection activeCell="G63" sqref="G63"/>
    </sheetView>
  </sheetViews>
  <sheetFormatPr defaultColWidth="8.85546875" defaultRowHeight="12.75"/>
  <cols>
    <col min="5" max="5" width="9.85546875" customWidth="1"/>
    <col min="9" max="9" width="10.5703125" customWidth="1"/>
    <col min="10" max="10" width="10.85546875" customWidth="1"/>
    <col min="15" max="15" width="17.85546875" customWidth="1"/>
    <col min="18" max="18" width="9.42578125" bestFit="1" customWidth="1"/>
  </cols>
  <sheetData>
    <row r="1" spans="1:50" ht="18.75" thickBot="1">
      <c r="A1" s="125" t="s">
        <v>277</v>
      </c>
      <c r="B1" s="127"/>
      <c r="C1" s="127"/>
      <c r="D1" s="127"/>
      <c r="E1" s="127"/>
      <c r="F1" s="127"/>
      <c r="G1" s="688" t="str">
        <f>'Title Page'!F3</f>
        <v>OreSat - CS0</v>
      </c>
      <c r="H1" s="127"/>
      <c r="I1" s="127"/>
      <c r="J1" s="127"/>
      <c r="K1" s="687" t="str">
        <f>'Title Page'!F23</f>
        <v>2018 October 19</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90"/>
      <c r="B2" s="86"/>
      <c r="C2" s="86"/>
      <c r="D2" s="86"/>
      <c r="E2" s="86"/>
      <c r="F2" s="86"/>
      <c r="G2" s="86"/>
      <c r="H2" s="86"/>
      <c r="I2" s="291"/>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4"/>
      <c r="B3" s="351" t="s">
        <v>140</v>
      </c>
      <c r="C3" s="246" t="s">
        <v>861</v>
      </c>
      <c r="D3" s="234"/>
      <c r="E3" s="234"/>
      <c r="F3" s="234"/>
      <c r="G3" s="246" t="s">
        <v>862</v>
      </c>
      <c r="H3" s="234"/>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4"/>
      <c r="B4" s="234"/>
      <c r="C4" s="234"/>
      <c r="D4" s="234"/>
      <c r="E4" s="234"/>
      <c r="F4" s="234"/>
      <c r="G4" s="234"/>
      <c r="H4" s="234"/>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4"/>
      <c r="B5" s="234"/>
      <c r="C5" s="234"/>
      <c r="D5" s="234"/>
      <c r="E5" s="234"/>
      <c r="F5" s="234"/>
      <c r="G5" s="234"/>
      <c r="H5" s="234"/>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4"/>
      <c r="B6" s="234"/>
      <c r="C6" s="234"/>
      <c r="D6" s="234"/>
      <c r="E6" s="234" t="s">
        <v>130</v>
      </c>
      <c r="F6" s="234"/>
      <c r="G6" s="234"/>
      <c r="H6" s="234"/>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4"/>
      <c r="B7" s="234"/>
      <c r="C7" s="234"/>
      <c r="D7" s="234"/>
      <c r="E7" s="246" t="s">
        <v>131</v>
      </c>
      <c r="F7" s="234"/>
      <c r="G7" s="234"/>
      <c r="H7" s="234"/>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4"/>
      <c r="B8" s="234"/>
      <c r="C8" s="234"/>
      <c r="D8" s="234"/>
      <c r="E8" s="246" t="s">
        <v>289</v>
      </c>
      <c r="F8" s="234"/>
      <c r="G8" s="234"/>
      <c r="H8" s="234"/>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4"/>
      <c r="B9" s="234"/>
      <c r="C9" s="234"/>
      <c r="D9" s="234"/>
      <c r="E9" s="234"/>
      <c r="F9" s="234"/>
      <c r="G9" s="234"/>
      <c r="H9" s="234"/>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4"/>
      <c r="B10" s="234"/>
      <c r="C10" s="234"/>
      <c r="D10" s="234"/>
      <c r="E10" s="234"/>
      <c r="F10" s="234"/>
      <c r="G10" s="234"/>
      <c r="H10" s="234"/>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4"/>
      <c r="B11" s="234"/>
      <c r="C11" s="234"/>
      <c r="D11" s="234"/>
      <c r="E11" s="234"/>
      <c r="F11" s="234"/>
      <c r="G11" s="234"/>
      <c r="H11" s="234"/>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4"/>
      <c r="B12" s="234"/>
      <c r="C12" s="234"/>
      <c r="D12" s="234"/>
      <c r="E12" s="234"/>
      <c r="F12" s="234"/>
      <c r="G12" s="234"/>
      <c r="H12" s="234"/>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4"/>
      <c r="B13" s="234"/>
      <c r="C13" s="234"/>
      <c r="D13" s="234"/>
      <c r="E13" s="234"/>
      <c r="F13" s="234"/>
      <c r="G13" s="234"/>
      <c r="H13" s="234"/>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4"/>
      <c r="B14" s="234"/>
      <c r="C14" s="234"/>
      <c r="D14" s="234"/>
      <c r="E14" s="234"/>
      <c r="F14" s="234"/>
      <c r="G14" s="234"/>
      <c r="H14" s="234"/>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4"/>
      <c r="B15" s="234"/>
      <c r="C15" s="234"/>
      <c r="D15" s="234"/>
      <c r="E15" s="234"/>
      <c r="F15" s="234"/>
      <c r="G15" s="234"/>
      <c r="H15" s="234"/>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4"/>
      <c r="B16" s="234"/>
      <c r="C16" s="234"/>
      <c r="D16" s="234"/>
      <c r="E16" s="234"/>
      <c r="F16" s="234"/>
      <c r="G16" s="234"/>
      <c r="H16" s="234"/>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4"/>
      <c r="B17" s="234"/>
      <c r="C17" s="234"/>
      <c r="D17" s="234"/>
      <c r="E17" s="234"/>
      <c r="F17" s="234"/>
      <c r="G17" s="234"/>
      <c r="H17" s="234"/>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4"/>
      <c r="B18" s="234"/>
      <c r="C18" s="234"/>
      <c r="D18" s="234"/>
      <c r="E18" s="234"/>
      <c r="F18" s="234"/>
      <c r="G18" s="234"/>
      <c r="H18" s="234"/>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4"/>
      <c r="B19" s="234"/>
      <c r="C19" s="234"/>
      <c r="D19" s="234"/>
      <c r="E19" s="234"/>
      <c r="F19" s="234"/>
      <c r="G19" s="234"/>
      <c r="H19" s="234"/>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4"/>
      <c r="B20" s="234"/>
      <c r="C20" s="234"/>
      <c r="D20" s="234"/>
      <c r="E20" s="234"/>
      <c r="F20" s="234"/>
      <c r="G20" s="234"/>
      <c r="H20" s="234"/>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4"/>
      <c r="B21" s="234"/>
      <c r="C21" s="234"/>
      <c r="D21" s="234"/>
      <c r="E21" s="246" t="s">
        <v>132</v>
      </c>
      <c r="F21" s="234"/>
      <c r="G21" s="234"/>
      <c r="H21" s="234"/>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4"/>
      <c r="B22" s="234"/>
      <c r="C22" s="234"/>
      <c r="D22" s="234"/>
      <c r="E22" s="234" t="s">
        <v>131</v>
      </c>
      <c r="F22" s="234"/>
      <c r="G22" s="234"/>
      <c r="H22" s="234"/>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4"/>
      <c r="B23" s="234"/>
      <c r="C23" s="234"/>
      <c r="D23" s="234"/>
      <c r="E23" s="246" t="s">
        <v>137</v>
      </c>
      <c r="F23" s="234"/>
      <c r="G23" s="234"/>
      <c r="H23" s="234"/>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4"/>
      <c r="B24" s="234"/>
      <c r="C24" s="234"/>
      <c r="D24" s="234"/>
      <c r="E24" s="234"/>
      <c r="F24" s="234"/>
      <c r="G24" s="234"/>
      <c r="H24" s="234"/>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c r="A25" s="234"/>
      <c r="B25" s="234"/>
      <c r="C25" s="407" t="s">
        <v>287</v>
      </c>
      <c r="D25" s="234"/>
      <c r="E25" s="234"/>
      <c r="F25" s="234"/>
      <c r="G25" s="407" t="s">
        <v>288</v>
      </c>
      <c r="H25" s="234"/>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75" thickBot="1">
      <c r="A26" s="125" t="s">
        <v>707</v>
      </c>
      <c r="B26" s="127"/>
      <c r="C26" s="127"/>
      <c r="D26" s="127"/>
      <c r="E26" s="127"/>
      <c r="F26" s="127"/>
      <c r="G26" s="127"/>
      <c r="H26" s="127"/>
      <c r="I26" s="292"/>
      <c r="J26" s="127"/>
      <c r="K26" s="127"/>
      <c r="L26" s="127"/>
      <c r="M26" s="127"/>
      <c r="N26" s="127"/>
      <c r="O26" s="127"/>
      <c r="P26" s="127"/>
      <c r="Q26" s="127"/>
      <c r="R26" s="127"/>
      <c r="S26" s="127"/>
      <c r="T26" s="127"/>
      <c r="U26" s="127"/>
      <c r="V26" s="127"/>
      <c r="W26" s="127"/>
      <c r="X26" s="413" t="s">
        <v>297</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818</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75">
      <c r="A28" s="273"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75">
      <c r="A29" s="634"/>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75">
      <c r="A30" s="634"/>
      <c r="B30" s="351"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5"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4"/>
      <c r="D32" s="180"/>
      <c r="E32" s="180"/>
      <c r="F32" s="180"/>
      <c r="G32" s="180" t="s">
        <v>818</v>
      </c>
      <c r="H32" s="180"/>
      <c r="I32" s="180"/>
      <c r="J32" s="180" t="s">
        <v>818</v>
      </c>
      <c r="K32" s="180"/>
      <c r="L32" s="181"/>
      <c r="M32" s="3"/>
      <c r="N32" s="3"/>
      <c r="O32" s="3"/>
      <c r="P32" s="3"/>
      <c r="Q32" s="3"/>
      <c r="R32" s="404"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c r="A33" s="3"/>
      <c r="B33" s="178" t="s">
        <v>818</v>
      </c>
      <c r="C33" s="212"/>
      <c r="D33" s="214" t="s">
        <v>104</v>
      </c>
      <c r="E33" s="213" t="s">
        <v>856</v>
      </c>
      <c r="F33" s="244">
        <f>'Antenna Gain'!F8</f>
        <v>1265</v>
      </c>
      <c r="G33" s="141" t="s">
        <v>857</v>
      </c>
      <c r="H33" s="141"/>
      <c r="I33" s="141"/>
      <c r="J33" s="141" t="s">
        <v>87</v>
      </c>
      <c r="K33" s="245">
        <f>'Antenna Gain'!K8</f>
        <v>0.23699604743083005</v>
      </c>
      <c r="L33" s="182" t="s">
        <v>858</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5" thickBot="1">
      <c r="A35" s="3"/>
      <c r="B35" s="177"/>
      <c r="C35" s="141"/>
      <c r="D35" s="141"/>
      <c r="E35" s="141"/>
      <c r="F35" s="200" t="s">
        <v>285</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818</v>
      </c>
      <c r="C36" s="141"/>
      <c r="D36" s="141"/>
      <c r="E36" s="280">
        <f>'Antenna Gain'!E11</f>
        <v>4</v>
      </c>
      <c r="F36" s="184" t="str">
        <f>'Antenna Gain'!F11</f>
        <v>Quad Helix</v>
      </c>
      <c r="G36" s="185"/>
      <c r="H36" s="141"/>
      <c r="I36" s="141"/>
      <c r="J36" s="141" t="s">
        <v>60</v>
      </c>
      <c r="K36" s="281"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5"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70">
        <v>1</v>
      </c>
      <c r="C38" s="151" t="s">
        <v>77</v>
      </c>
      <c r="D38" s="266"/>
      <c r="E38" s="151"/>
      <c r="F38" s="269" t="s">
        <v>76</v>
      </c>
      <c r="G38" s="278">
        <f>'Antenna Gain'!N13</f>
        <v>16.3</v>
      </c>
      <c r="H38" s="151" t="s">
        <v>887</v>
      </c>
      <c r="I38" s="266" t="s">
        <v>61</v>
      </c>
      <c r="J38" s="274">
        <f>'Antenna Gain'!Q13</f>
        <v>30.621749233640596</v>
      </c>
      <c r="K38" s="151" t="s">
        <v>4</v>
      </c>
      <c r="L38" s="156"/>
      <c r="M38" s="3"/>
      <c r="N38" s="3"/>
      <c r="O38" s="3"/>
      <c r="P38" s="3"/>
      <c r="Q38" s="3"/>
      <c r="R38" s="405">
        <f>2*(F43*(79.76/INDEX(J38:J41,E36,1)))</f>
        <v>28.485714285714288</v>
      </c>
      <c r="S38" s="267"/>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1">
        <v>2</v>
      </c>
      <c r="C39" s="158" t="s">
        <v>91</v>
      </c>
      <c r="D39" s="267"/>
      <c r="E39" s="158"/>
      <c r="F39" s="267" t="s">
        <v>59</v>
      </c>
      <c r="G39" s="277">
        <f>'Antenna Gain'!N14</f>
        <v>15.740312677277188</v>
      </c>
      <c r="H39" s="158" t="s">
        <v>887</v>
      </c>
      <c r="I39" s="267" t="s">
        <v>61</v>
      </c>
      <c r="J39" s="276">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2">
        <v>3</v>
      </c>
      <c r="C40" s="166" t="s">
        <v>92</v>
      </c>
      <c r="D40" s="268"/>
      <c r="E40" s="166"/>
      <c r="F40" s="268" t="s">
        <v>59</v>
      </c>
      <c r="G40" s="279">
        <f>'Antenna Gain'!N15</f>
        <v>34.49331260163855</v>
      </c>
      <c r="H40" s="166" t="s">
        <v>887</v>
      </c>
      <c r="I40" s="268" t="s">
        <v>61</v>
      </c>
      <c r="J40" s="275">
        <f>'Antenna Gain'!Q15</f>
        <v>3.0742204655248138</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2">
        <v>4</v>
      </c>
      <c r="C41" s="141" t="s">
        <v>93</v>
      </c>
      <c r="D41" s="181"/>
      <c r="E41" s="141"/>
      <c r="F41" s="182" t="s">
        <v>59</v>
      </c>
      <c r="G41" s="283">
        <f>'Antenna Gain'!N16</f>
        <v>16</v>
      </c>
      <c r="H41" s="141" t="s">
        <v>887</v>
      </c>
      <c r="I41" s="182" t="s">
        <v>61</v>
      </c>
      <c r="J41" s="284">
        <f>'Antenna Gain'!Q16</f>
        <v>28</v>
      </c>
      <c r="K41" s="141" t="s">
        <v>4</v>
      </c>
      <c r="L41" s="285"/>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3"/>
      <c r="C42" s="294"/>
      <c r="D42" s="294"/>
      <c r="E42" s="294"/>
      <c r="F42" s="294"/>
      <c r="G42" s="294"/>
      <c r="H42" s="294"/>
      <c r="I42" s="294"/>
      <c r="J42" s="294"/>
      <c r="K42" s="294"/>
      <c r="L42" s="295"/>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c r="A43" s="3"/>
      <c r="B43" s="296" t="s">
        <v>818</v>
      </c>
      <c r="C43" s="297" t="s">
        <v>134</v>
      </c>
      <c r="D43" s="298"/>
      <c r="E43" s="298"/>
      <c r="F43" s="287">
        <v>5</v>
      </c>
      <c r="G43" s="288" t="s">
        <v>135</v>
      </c>
      <c r="H43" s="297" t="s">
        <v>133</v>
      </c>
      <c r="I43" s="298"/>
      <c r="J43" s="298"/>
      <c r="K43" s="286">
        <f>-10*LOG10(3282.81*((SIN(RADIANS(R38))^2/(R38^2))))</f>
        <v>0.36081663808497533</v>
      </c>
      <c r="L43" s="185" t="s">
        <v>860</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9"/>
      <c r="C44" s="300"/>
      <c r="D44" s="300"/>
      <c r="E44" s="300"/>
      <c r="F44" s="300"/>
      <c r="G44" s="300"/>
      <c r="H44" s="300"/>
      <c r="I44" s="300"/>
      <c r="J44" s="300"/>
      <c r="K44" s="300"/>
      <c r="L44" s="301"/>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818</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818</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5"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4"/>
      <c r="D49" s="180"/>
      <c r="E49" s="180"/>
      <c r="F49" s="180"/>
      <c r="G49" s="180"/>
      <c r="H49" s="180"/>
      <c r="I49" s="180"/>
      <c r="J49" s="180"/>
      <c r="K49" s="180"/>
      <c r="L49" s="181"/>
      <c r="M49" s="3"/>
      <c r="N49" s="3"/>
      <c r="O49" s="3"/>
      <c r="P49" s="3"/>
      <c r="Q49" s="3"/>
      <c r="R49" s="321"/>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856</v>
      </c>
      <c r="F50" s="242">
        <f>'Antenna Gain'!F22</f>
        <v>1265</v>
      </c>
      <c r="G50" s="141" t="s">
        <v>857</v>
      </c>
      <c r="H50" s="141"/>
      <c r="I50" s="141"/>
      <c r="J50" s="141" t="s">
        <v>87</v>
      </c>
      <c r="K50" s="243">
        <f>'Antenna Gain'!K22</f>
        <v>0.23699604743083005</v>
      </c>
      <c r="L50" s="182" t="s">
        <v>858</v>
      </c>
      <c r="M50" s="3"/>
      <c r="N50" s="3"/>
      <c r="O50" s="3"/>
      <c r="P50" s="3"/>
      <c r="Q50" s="3"/>
      <c r="R50" s="401" t="s">
        <v>142</v>
      </c>
      <c r="S50" s="326"/>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5" thickBot="1">
      <c r="A51" s="3"/>
      <c r="B51" s="177"/>
      <c r="C51" s="141"/>
      <c r="D51" s="141" t="s">
        <v>818</v>
      </c>
      <c r="E51" s="141" t="s">
        <v>818</v>
      </c>
      <c r="F51" s="200" t="s">
        <v>285</v>
      </c>
      <c r="G51" s="141"/>
      <c r="H51" s="141"/>
      <c r="I51" s="141"/>
      <c r="J51" s="141"/>
      <c r="K51" s="141"/>
      <c r="L51" s="182"/>
      <c r="M51" s="3"/>
      <c r="N51" s="3"/>
      <c r="O51" s="3"/>
      <c r="P51" s="3"/>
      <c r="Q51" s="3"/>
      <c r="R51" s="325"/>
      <c r="S51" s="326"/>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818</v>
      </c>
      <c r="C52" s="141"/>
      <c r="D52" s="141"/>
      <c r="E52" s="318">
        <f>'Antenna Gain'!E24</f>
        <v>7</v>
      </c>
      <c r="F52" s="316" t="str">
        <f>'Antenna Gain'!F24</f>
        <v>Canted Turnstyle</v>
      </c>
      <c r="G52" s="185"/>
      <c r="H52" s="141"/>
      <c r="I52" s="141"/>
      <c r="J52" s="141" t="s">
        <v>60</v>
      </c>
      <c r="K52" s="281" t="str">
        <f>'Antenna Gain'!K24</f>
        <v>RHCP</v>
      </c>
      <c r="L52" s="182"/>
      <c r="M52" s="3"/>
      <c r="N52" s="3"/>
      <c r="O52" s="411" t="s">
        <v>295</v>
      </c>
      <c r="P52" s="3"/>
      <c r="Q52" s="3"/>
      <c r="R52" s="401" t="s">
        <v>141</v>
      </c>
      <c r="S52" s="326"/>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5" thickBot="1">
      <c r="A53" s="3"/>
      <c r="B53" s="177"/>
      <c r="C53" s="141"/>
      <c r="D53" s="141"/>
      <c r="E53" s="141"/>
      <c r="F53" s="141" t="s">
        <v>818</v>
      </c>
      <c r="G53" s="141"/>
      <c r="H53" s="141"/>
      <c r="I53" s="141"/>
      <c r="J53" s="141"/>
      <c r="K53" s="141"/>
      <c r="L53" s="182"/>
      <c r="M53" s="3"/>
      <c r="N53" s="3"/>
      <c r="O53" s="412" t="s">
        <v>296</v>
      </c>
      <c r="P53" s="3"/>
      <c r="Q53" s="3"/>
      <c r="R53" s="236" t="s">
        <v>818</v>
      </c>
      <c r="S53" s="238"/>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410" t="s">
        <v>290</v>
      </c>
      <c r="P54" s="613" t="s">
        <v>665</v>
      </c>
      <c r="Q54" s="614"/>
      <c r="R54" s="323">
        <f>IF(G63&lt;100,-10*LOG10(COS(RADIANS(90-G63))),"No Signal")</f>
        <v>4.6594831535448265</v>
      </c>
      <c r="S54" s="324" t="s">
        <v>860</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409" t="s">
        <v>291</v>
      </c>
      <c r="P55" s="613" t="s">
        <v>666</v>
      </c>
      <c r="Q55" s="614"/>
      <c r="R55" s="319">
        <f>IF(G63&lt;90.001,-10*LOG10(COS(RADIANS($G$63))),-10*LOG(-COS(RADIANS($G$63))))</f>
        <v>0.27014183557063515</v>
      </c>
      <c r="S55" s="182" t="s">
        <v>860</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2">
        <f>'Antenna Gain'!H28</f>
        <v>2</v>
      </c>
      <c r="I56" s="98" t="s">
        <v>887</v>
      </c>
      <c r="J56" s="98" t="s">
        <v>61</v>
      </c>
      <c r="K56" s="98">
        <f>'Antenna Gain'!L28</f>
        <v>180</v>
      </c>
      <c r="L56" s="99" t="s">
        <v>4</v>
      </c>
      <c r="M56" s="123"/>
      <c r="N56" s="124"/>
      <c r="O56" s="408" t="s">
        <v>294</v>
      </c>
      <c r="P56" s="613" t="s">
        <v>667</v>
      </c>
      <c r="Q56" s="614"/>
      <c r="R56" s="746">
        <f>IF(K52=K36,0.00075*(G63)^2, 0.00075*(180-G63)^2)</f>
        <v>0.3</v>
      </c>
      <c r="S56" s="324" t="s">
        <v>860</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3">
        <f>'Antenna Gain'!H29</f>
        <v>4</v>
      </c>
      <c r="I57" s="141" t="s">
        <v>887</v>
      </c>
      <c r="J57" s="141" t="s">
        <v>61</v>
      </c>
      <c r="K57" s="141">
        <f>'Antenna Gain'!L29</f>
        <v>150</v>
      </c>
      <c r="L57" s="143" t="s">
        <v>4</v>
      </c>
      <c r="M57" s="123"/>
      <c r="N57" s="124"/>
      <c r="O57" s="409" t="s">
        <v>292</v>
      </c>
      <c r="P57" s="613" t="s">
        <v>668</v>
      </c>
      <c r="Q57" s="614"/>
      <c r="R57" s="319">
        <f>-1.5*(-(4-10*LOG10(1.256*(1+COS(RADIANS(G63))))))</f>
        <v>0.19916170492455665</v>
      </c>
      <c r="S57" s="182" t="s">
        <v>860</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741" t="s">
        <v>195</v>
      </c>
      <c r="D58" s="98"/>
      <c r="E58" s="742" t="s">
        <v>818</v>
      </c>
      <c r="F58" s="98"/>
      <c r="G58" s="98" t="s">
        <v>59</v>
      </c>
      <c r="H58" s="743">
        <f>'Antenna Gain'!H30</f>
        <v>6</v>
      </c>
      <c r="I58" s="98" t="s">
        <v>199</v>
      </c>
      <c r="J58" s="98" t="s">
        <v>61</v>
      </c>
      <c r="K58" s="741">
        <f>'Antenna Gain'!L30</f>
        <v>90</v>
      </c>
      <c r="L58" s="99" t="s">
        <v>4</v>
      </c>
      <c r="M58" s="118"/>
      <c r="N58" s="119"/>
      <c r="O58" s="408" t="s">
        <v>293</v>
      </c>
      <c r="P58" s="613" t="s">
        <v>974</v>
      </c>
      <c r="Q58" s="614"/>
      <c r="R58" s="744">
        <f>-10*LOG10(3282.81*((SIN(RADIANS(G63*1.7724))^2)/((G63*1.7724)^2)))</f>
        <v>0.56135879700097513</v>
      </c>
      <c r="S58" s="745" t="s">
        <v>860</v>
      </c>
      <c r="T58" s="3"/>
      <c r="U58" s="3"/>
      <c r="V58" s="3"/>
      <c r="W58" s="3"/>
      <c r="X58" s="3" t="s">
        <v>818</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739" t="s">
        <v>92</v>
      </c>
      <c r="D59" s="141"/>
      <c r="E59" s="748" t="s">
        <v>972</v>
      </c>
      <c r="F59" s="141"/>
      <c r="G59" s="141" t="s">
        <v>59</v>
      </c>
      <c r="H59" s="284">
        <f>'Antenna Gain'!H31</f>
        <v>34.49331260163855</v>
      </c>
      <c r="I59" s="141" t="s">
        <v>199</v>
      </c>
      <c r="J59" s="141" t="s">
        <v>61</v>
      </c>
      <c r="K59" s="377">
        <f>'Antenna Gain'!L31</f>
        <v>3.0742204655248138</v>
      </c>
      <c r="L59" s="143" t="s">
        <v>4</v>
      </c>
      <c r="M59" s="123"/>
      <c r="N59" s="123"/>
      <c r="O59" s="752" t="s">
        <v>971</v>
      </c>
      <c r="P59" s="753" t="s">
        <v>975</v>
      </c>
      <c r="Q59" s="614"/>
      <c r="R59" s="377">
        <f>-10*LOG10(3282.1*((SIN(RADIANS(U59))^2/(U59^2))))</f>
        <v>28.615497518438616</v>
      </c>
      <c r="S59" s="747" t="s">
        <v>860</v>
      </c>
      <c r="T59" s="3"/>
      <c r="U59" s="750">
        <f>2*(G63*(79.76/K59))</f>
        <v>1037.7915428571428</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8">
        <v>7</v>
      </c>
      <c r="C60" s="305" t="s">
        <v>99</v>
      </c>
      <c r="D60" s="196"/>
      <c r="E60" s="749" t="s">
        <v>973</v>
      </c>
      <c r="F60" s="196"/>
      <c r="G60" s="196" t="s">
        <v>59</v>
      </c>
      <c r="H60" s="304">
        <f>'Antenna Gain'!H32</f>
        <v>1</v>
      </c>
      <c r="I60" s="196" t="s">
        <v>36</v>
      </c>
      <c r="J60" s="196" t="s">
        <v>61</v>
      </c>
      <c r="K60" s="305">
        <f>'Antenna Gain'!L32</f>
        <v>180</v>
      </c>
      <c r="L60" s="197" t="s">
        <v>4</v>
      </c>
      <c r="M60" s="123"/>
      <c r="N60" s="123"/>
      <c r="O60" s="751" t="s">
        <v>200</v>
      </c>
      <c r="P60" s="753" t="s">
        <v>976</v>
      </c>
      <c r="Q60" s="614"/>
      <c r="R60" s="380">
        <v>0</v>
      </c>
      <c r="S60" s="288" t="s">
        <v>860</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7"/>
      <c r="C61" s="308"/>
      <c r="D61" s="308"/>
      <c r="E61" s="308"/>
      <c r="F61" s="308"/>
      <c r="G61" s="308"/>
      <c r="H61" s="308"/>
      <c r="I61" s="308"/>
      <c r="J61" s="308"/>
      <c r="K61" s="308"/>
      <c r="L61" s="309"/>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c r="A62" s="3"/>
      <c r="B62" s="310"/>
      <c r="C62" s="297" t="s">
        <v>501</v>
      </c>
      <c r="D62" s="297"/>
      <c r="E62" s="297"/>
      <c r="F62" s="297"/>
      <c r="G62" s="298"/>
      <c r="H62" s="298"/>
      <c r="I62" s="311" t="s">
        <v>138</v>
      </c>
      <c r="J62" s="311"/>
      <c r="K62" s="298"/>
      <c r="L62" s="312"/>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c r="A63" s="3"/>
      <c r="B63" s="310"/>
      <c r="C63" s="297" t="s">
        <v>143</v>
      </c>
      <c r="D63" s="297"/>
      <c r="E63" s="297"/>
      <c r="F63" s="297"/>
      <c r="G63" s="322">
        <v>20</v>
      </c>
      <c r="H63" s="288" t="s">
        <v>4</v>
      </c>
      <c r="I63" s="311" t="s">
        <v>139</v>
      </c>
      <c r="J63" s="311"/>
      <c r="K63" s="286">
        <f>INDEX(R54:R60,E52, 1)</f>
        <v>0</v>
      </c>
      <c r="L63" s="306" t="s">
        <v>860</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5" thickBot="1">
      <c r="A64" s="3"/>
      <c r="B64" s="313"/>
      <c r="C64" s="314"/>
      <c r="D64" s="314"/>
      <c r="E64" s="314"/>
      <c r="F64" s="314"/>
      <c r="G64" s="317"/>
      <c r="H64" s="314"/>
      <c r="I64" s="314"/>
      <c r="J64" s="314"/>
      <c r="K64" s="314"/>
      <c r="L64" s="315"/>
      <c r="M64" s="3" t="s">
        <v>818</v>
      </c>
      <c r="N64" s="3" t="s">
        <v>818</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75">
      <c r="A67" s="37"/>
      <c r="B67" s="37"/>
      <c r="C67" s="402" t="s">
        <v>101</v>
      </c>
      <c r="D67" s="37"/>
      <c r="E67" s="37"/>
      <c r="F67" s="37"/>
      <c r="G67" s="37"/>
      <c r="H67" s="37"/>
      <c r="I67" s="37"/>
      <c r="J67" s="402"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75">
      <c r="A69" s="273" t="s">
        <v>279</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5"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4"/>
      <c r="D71" s="180"/>
      <c r="E71" s="180"/>
      <c r="F71" s="180"/>
      <c r="G71" s="180"/>
      <c r="H71" s="180"/>
      <c r="I71" s="180"/>
      <c r="J71" s="180"/>
      <c r="K71" s="180"/>
      <c r="L71" s="181"/>
      <c r="M71" s="3"/>
      <c r="N71" s="3"/>
      <c r="O71" s="3"/>
      <c r="P71" s="3"/>
      <c r="Q71" s="3"/>
      <c r="R71" s="321"/>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856</v>
      </c>
      <c r="F72" s="242">
        <f>'Antenna Gain'!F39</f>
        <v>436.5</v>
      </c>
      <c r="G72" s="141" t="s">
        <v>857</v>
      </c>
      <c r="H72" s="141"/>
      <c r="I72" s="141"/>
      <c r="J72" s="141" t="s">
        <v>87</v>
      </c>
      <c r="K72" s="243">
        <f>'Antenna Gain'!K39</f>
        <v>0.6868270332187858</v>
      </c>
      <c r="L72" s="182" t="s">
        <v>858</v>
      </c>
      <c r="M72" s="3"/>
      <c r="N72" s="3"/>
      <c r="O72" s="3"/>
      <c r="P72" s="3"/>
      <c r="Q72" s="3"/>
      <c r="R72" s="401" t="s">
        <v>142</v>
      </c>
      <c r="S72" s="326"/>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5" thickBot="1">
      <c r="A73" s="3"/>
      <c r="B73" s="177"/>
      <c r="C73" s="141"/>
      <c r="D73" s="141" t="s">
        <v>818</v>
      </c>
      <c r="E73" s="141" t="s">
        <v>818</v>
      </c>
      <c r="F73" s="200" t="s">
        <v>285</v>
      </c>
      <c r="G73" s="141"/>
      <c r="H73" s="141"/>
      <c r="I73" s="141"/>
      <c r="J73" s="141"/>
      <c r="K73" s="141"/>
      <c r="L73" s="182"/>
      <c r="M73" s="3"/>
      <c r="N73" s="3"/>
      <c r="O73" s="3"/>
      <c r="P73" s="3"/>
      <c r="Q73" s="3"/>
      <c r="R73" s="325"/>
      <c r="S73" s="326"/>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818</v>
      </c>
      <c r="C74" s="141"/>
      <c r="D74" s="141"/>
      <c r="E74" s="318">
        <f>'Antenna Gain'!E41</f>
        <v>7</v>
      </c>
      <c r="F74" s="316" t="str">
        <f>'Antenna Gain'!F41</f>
        <v>Canted Turnstyle</v>
      </c>
      <c r="G74" s="185"/>
      <c r="H74" s="141"/>
      <c r="I74" s="141"/>
      <c r="J74" s="141" t="s">
        <v>60</v>
      </c>
      <c r="K74" s="281" t="str">
        <f>'Antenna Gain'!K41</f>
        <v>RHCP</v>
      </c>
      <c r="L74" s="182"/>
      <c r="M74" s="3"/>
      <c r="N74" s="3"/>
      <c r="O74" s="411" t="s">
        <v>295</v>
      </c>
      <c r="P74" s="3"/>
      <c r="Q74" s="3"/>
      <c r="R74" s="401" t="s">
        <v>141</v>
      </c>
      <c r="S74" s="326"/>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5" thickBot="1">
      <c r="A75" s="3"/>
      <c r="B75" s="177"/>
      <c r="C75" s="141"/>
      <c r="D75" s="141"/>
      <c r="E75" s="141"/>
      <c r="F75" s="141" t="s">
        <v>818</v>
      </c>
      <c r="G75" s="141"/>
      <c r="H75" s="141"/>
      <c r="I75" s="141"/>
      <c r="J75" s="141"/>
      <c r="K75" s="141"/>
      <c r="L75" s="182"/>
      <c r="M75" s="3"/>
      <c r="N75" s="3"/>
      <c r="O75" s="412" t="s">
        <v>296</v>
      </c>
      <c r="P75" s="3"/>
      <c r="Q75" s="3"/>
      <c r="R75" s="236" t="s">
        <v>818</v>
      </c>
      <c r="S75" s="238"/>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410" t="s">
        <v>302</v>
      </c>
      <c r="P76" s="613" t="s">
        <v>665</v>
      </c>
      <c r="Q76" s="614"/>
      <c r="R76" s="323">
        <f>IF(G85&lt;100,-10*LOG10(COS(RADIANS(90-G85))),"No Signal")</f>
        <v>4.6594831535448265</v>
      </c>
      <c r="S76" s="324" t="s">
        <v>860</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409" t="s">
        <v>301</v>
      </c>
      <c r="P77" s="613" t="s">
        <v>666</v>
      </c>
      <c r="Q77" s="614"/>
      <c r="R77" s="319">
        <f>IF(G85&lt;90.001,-10*LOG10(COS(RADIANS(G85))),-10*LOG(-COS(RADIANS(G85))))</f>
        <v>0.27014183557063515</v>
      </c>
      <c r="S77" s="182" t="s">
        <v>860</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2">
        <f>'Antenna Gain'!H45</f>
        <v>2</v>
      </c>
      <c r="I78" s="98" t="s">
        <v>887</v>
      </c>
      <c r="J78" s="98" t="s">
        <v>61</v>
      </c>
      <c r="K78" s="98">
        <f>'Antenna Gain'!L45</f>
        <v>180</v>
      </c>
      <c r="L78" s="99" t="s">
        <v>4</v>
      </c>
      <c r="M78" s="123"/>
      <c r="N78" s="124"/>
      <c r="O78" s="408" t="s">
        <v>298</v>
      </c>
      <c r="P78" s="613" t="s">
        <v>667</v>
      </c>
      <c r="Q78" s="614"/>
      <c r="R78" s="414">
        <f>IF(K74=K95, 0.00075*(G85)^2, 0.00075*(180-G85)^2)</f>
        <v>0.3</v>
      </c>
      <c r="S78" s="204" t="s">
        <v>860</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3">
        <f>'Antenna Gain'!H46</f>
        <v>4</v>
      </c>
      <c r="I79" s="141" t="s">
        <v>887</v>
      </c>
      <c r="J79" s="141" t="s">
        <v>61</v>
      </c>
      <c r="K79" s="141">
        <f>'Antenna Gain'!L46</f>
        <v>150</v>
      </c>
      <c r="L79" s="143" t="s">
        <v>4</v>
      </c>
      <c r="M79" s="123"/>
      <c r="N79" s="124"/>
      <c r="O79" s="409" t="s">
        <v>300</v>
      </c>
      <c r="P79" s="613" t="s">
        <v>668</v>
      </c>
      <c r="Q79" s="614"/>
      <c r="R79" s="320">
        <f>1.5*((4-10*LOG10(1.256*(1+COS(RADIANS(G85))))))</f>
        <v>0.19916170492455665</v>
      </c>
      <c r="S79" s="238" t="s">
        <v>860</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742" t="s">
        <v>136</v>
      </c>
      <c r="F80" s="98"/>
      <c r="G80" s="98" t="s">
        <v>59</v>
      </c>
      <c r="H80" s="743">
        <f>'Antenna Gain'!H47</f>
        <v>6</v>
      </c>
      <c r="I80" s="98" t="s">
        <v>36</v>
      </c>
      <c r="J80" s="98" t="s">
        <v>61</v>
      </c>
      <c r="K80" s="741">
        <f>'Antenna Gain'!L47</f>
        <v>90</v>
      </c>
      <c r="L80" s="99" t="s">
        <v>4</v>
      </c>
      <c r="M80" s="118"/>
      <c r="N80" s="119"/>
      <c r="O80" s="408" t="s">
        <v>299</v>
      </c>
      <c r="P80" s="613" t="str">
        <f>E80</f>
        <v>Patch (Example)</v>
      </c>
      <c r="Q80" s="614"/>
      <c r="R80" s="380">
        <f>-10*LOG10(3282.81*((SIN(RADIANS(G85*1.7724))^2)/((G85*1.7724)^2)))</f>
        <v>0.56135879700097513</v>
      </c>
      <c r="S80" s="288" t="s">
        <v>860</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739" t="s">
        <v>92</v>
      </c>
      <c r="D81" s="141"/>
      <c r="E81" s="748" t="s">
        <v>972</v>
      </c>
      <c r="F81" s="141"/>
      <c r="G81" s="141" t="s">
        <v>59</v>
      </c>
      <c r="H81" s="284">
        <f>'Antenna Gain'!H48</f>
        <v>16.62391176905383</v>
      </c>
      <c r="I81" s="141" t="s">
        <v>199</v>
      </c>
      <c r="J81" s="141" t="s">
        <v>61</v>
      </c>
      <c r="K81" s="377">
        <f>'Antenna Gain'!L48</f>
        <v>24.054982817869416</v>
      </c>
      <c r="L81" s="143" t="s">
        <v>4</v>
      </c>
      <c r="M81" s="123"/>
      <c r="N81" s="123"/>
      <c r="O81" s="752" t="s">
        <v>971</v>
      </c>
      <c r="P81" s="753" t="s">
        <v>975</v>
      </c>
      <c r="Q81" s="614"/>
      <c r="R81" s="377">
        <f>-10*LOG10(3282.1*((SIN(RADIANS(U81))^2/(U81^2))))</f>
        <v>9.9566940971909901</v>
      </c>
      <c r="S81" s="747" t="s">
        <v>860</v>
      </c>
      <c r="T81" s="3"/>
      <c r="U81" s="750">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818</v>
      </c>
      <c r="B82" s="198">
        <v>7</v>
      </c>
      <c r="C82" s="305" t="s">
        <v>99</v>
      </c>
      <c r="D82" s="196"/>
      <c r="E82" s="749" t="s">
        <v>973</v>
      </c>
      <c r="F82" s="196"/>
      <c r="G82" s="196" t="s">
        <v>59</v>
      </c>
      <c r="H82" s="304">
        <f>'Antenna Gain'!H49</f>
        <v>1</v>
      </c>
      <c r="I82" s="196" t="s">
        <v>36</v>
      </c>
      <c r="J82" s="196" t="s">
        <v>61</v>
      </c>
      <c r="K82" s="305">
        <f>'Antenna Gain'!L49</f>
        <v>180</v>
      </c>
      <c r="L82" s="197" t="s">
        <v>4</v>
      </c>
      <c r="M82" s="123"/>
      <c r="N82" s="123"/>
      <c r="O82" s="751" t="s">
        <v>200</v>
      </c>
      <c r="P82" s="753" t="s">
        <v>976</v>
      </c>
      <c r="Q82" s="614"/>
      <c r="R82" s="380">
        <v>0</v>
      </c>
      <c r="S82" s="288" t="s">
        <v>860</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7"/>
      <c r="C83" s="308"/>
      <c r="D83" s="308"/>
      <c r="E83" s="308"/>
      <c r="F83" s="308"/>
      <c r="G83" s="308"/>
      <c r="H83" s="308"/>
      <c r="I83" s="308"/>
      <c r="J83" s="308"/>
      <c r="K83" s="308"/>
      <c r="L83" s="309"/>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c r="A84" s="3"/>
      <c r="B84" s="310"/>
      <c r="C84" s="297" t="s">
        <v>501</v>
      </c>
      <c r="D84" s="297"/>
      <c r="E84" s="297"/>
      <c r="F84" s="297"/>
      <c r="G84" s="298"/>
      <c r="H84" s="298"/>
      <c r="I84" s="311" t="s">
        <v>138</v>
      </c>
      <c r="J84" s="311"/>
      <c r="K84" s="298"/>
      <c r="L84" s="312"/>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c r="A85" s="3"/>
      <c r="B85" s="310"/>
      <c r="C85" s="297" t="s">
        <v>283</v>
      </c>
      <c r="D85" s="297"/>
      <c r="E85" s="297"/>
      <c r="F85" s="297"/>
      <c r="G85" s="322">
        <v>20</v>
      </c>
      <c r="H85" s="288" t="s">
        <v>4</v>
      </c>
      <c r="I85" s="311" t="s">
        <v>139</v>
      </c>
      <c r="J85" s="311"/>
      <c r="K85" s="286">
        <f>INDEX(R76:R82,E74, 1)</f>
        <v>0</v>
      </c>
      <c r="L85" s="306" t="s">
        <v>860</v>
      </c>
      <c r="M85" s="3"/>
      <c r="N85" s="3"/>
      <c r="O85" s="3"/>
      <c r="P85" s="3" t="s">
        <v>818</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5" thickBot="1">
      <c r="A86" s="3"/>
      <c r="B86" s="313"/>
      <c r="C86" s="314"/>
      <c r="D86" s="314"/>
      <c r="E86" s="314"/>
      <c r="F86" s="314"/>
      <c r="G86" s="317"/>
      <c r="H86" s="314"/>
      <c r="I86" s="314"/>
      <c r="J86" s="314"/>
      <c r="K86" s="314"/>
      <c r="L86" s="315"/>
      <c r="M86" s="3"/>
      <c r="N86" s="3" t="s">
        <v>818</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818</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5"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4"/>
      <c r="D91" s="180"/>
      <c r="E91" s="180"/>
      <c r="F91" s="180"/>
      <c r="G91" s="180" t="s">
        <v>818</v>
      </c>
      <c r="H91" s="180"/>
      <c r="I91" s="180"/>
      <c r="J91" s="180" t="s">
        <v>818</v>
      </c>
      <c r="K91" s="180"/>
      <c r="L91" s="181"/>
      <c r="M91" s="3"/>
      <c r="N91" s="3"/>
      <c r="O91" s="3"/>
      <c r="P91" s="3"/>
      <c r="Q91" s="3"/>
      <c r="R91" s="403"/>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c r="A92" s="3"/>
      <c r="B92" s="178" t="s">
        <v>818</v>
      </c>
      <c r="C92" s="212"/>
      <c r="D92" s="214" t="s">
        <v>14</v>
      </c>
      <c r="E92" s="213" t="s">
        <v>856</v>
      </c>
      <c r="F92" s="244">
        <f>'Antenna Gain'!F55</f>
        <v>436.5</v>
      </c>
      <c r="G92" s="141" t="s">
        <v>857</v>
      </c>
      <c r="H92" s="141"/>
      <c r="I92" s="141"/>
      <c r="J92" s="141" t="s">
        <v>87</v>
      </c>
      <c r="K92" s="245">
        <f>'Antenna Gain'!K55</f>
        <v>0.6868270332187858</v>
      </c>
      <c r="L92" s="182" t="s">
        <v>858</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5" thickBot="1">
      <c r="A94" s="3"/>
      <c r="B94" s="177"/>
      <c r="C94" s="141"/>
      <c r="D94" s="141"/>
      <c r="E94" s="141"/>
      <c r="F94" s="200" t="s">
        <v>286</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818</v>
      </c>
      <c r="C95" s="141"/>
      <c r="D95" s="141"/>
      <c r="E95" s="280">
        <f>'Antenna Gain'!E58</f>
        <v>4</v>
      </c>
      <c r="F95" s="184" t="str">
        <f>'Antenna Gain'!F58</f>
        <v>Crossed Yagi</v>
      </c>
      <c r="G95" s="185"/>
      <c r="H95" s="141"/>
      <c r="I95" s="141"/>
      <c r="J95" s="141" t="s">
        <v>60</v>
      </c>
      <c r="K95" s="281"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5"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70">
        <v>1</v>
      </c>
      <c r="C97" s="151" t="s">
        <v>77</v>
      </c>
      <c r="D97" s="266"/>
      <c r="E97" s="151"/>
      <c r="F97" s="269" t="s">
        <v>76</v>
      </c>
      <c r="G97" s="278">
        <f>'Antenna Gain'!N60</f>
        <v>14.05</v>
      </c>
      <c r="H97" s="151" t="s">
        <v>887</v>
      </c>
      <c r="I97" s="266" t="s">
        <v>61</v>
      </c>
      <c r="J97" s="274">
        <f>'Antenna Gain'!Q60</f>
        <v>39.676193136730106</v>
      </c>
      <c r="K97" s="151" t="s">
        <v>4</v>
      </c>
      <c r="L97" s="156"/>
      <c r="M97" s="3"/>
      <c r="N97" s="3"/>
      <c r="O97" s="3"/>
      <c r="P97" s="3"/>
      <c r="Q97" s="3"/>
      <c r="R97" s="405">
        <f>2*(F102*(79.76/INDEX(J97:J100,E95,1)))</f>
        <v>26.58666666666667</v>
      </c>
      <c r="S97" s="267"/>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1">
        <v>2</v>
      </c>
      <c r="C98" s="158" t="s">
        <v>91</v>
      </c>
      <c r="D98" s="267"/>
      <c r="E98" s="158"/>
      <c r="F98" s="267" t="s">
        <v>59</v>
      </c>
      <c r="G98" s="277">
        <f>'Antenna Gain'!N61</f>
        <v>15.740312677277188</v>
      </c>
      <c r="H98" s="158" t="s">
        <v>887</v>
      </c>
      <c r="I98" s="267" t="s">
        <v>61</v>
      </c>
      <c r="J98" s="276">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2">
        <v>3</v>
      </c>
      <c r="C99" s="166" t="s">
        <v>92</v>
      </c>
      <c r="D99" s="268"/>
      <c r="E99" s="166"/>
      <c r="F99" s="268" t="s">
        <v>59</v>
      </c>
      <c r="G99" s="279">
        <f>'Antenna Gain'!N62</f>
        <v>17.001797377947828</v>
      </c>
      <c r="H99" s="166" t="s">
        <v>887</v>
      </c>
      <c r="I99" s="268" t="s">
        <v>61</v>
      </c>
      <c r="J99" s="275">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2">
        <v>4</v>
      </c>
      <c r="C100" s="141" t="s">
        <v>93</v>
      </c>
      <c r="D100" s="181"/>
      <c r="E100" s="141"/>
      <c r="F100" s="182" t="s">
        <v>59</v>
      </c>
      <c r="G100" s="283">
        <v>18.5</v>
      </c>
      <c r="H100" s="141" t="s">
        <v>887</v>
      </c>
      <c r="I100" s="182" t="s">
        <v>61</v>
      </c>
      <c r="J100" s="284">
        <f>'Antenna Gain'!Q63</f>
        <v>30</v>
      </c>
      <c r="K100" s="141" t="s">
        <v>4</v>
      </c>
      <c r="L100" s="285"/>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3"/>
      <c r="C101" s="294"/>
      <c r="D101" s="294"/>
      <c r="E101" s="294"/>
      <c r="F101" s="294"/>
      <c r="G101" s="294"/>
      <c r="H101" s="294"/>
      <c r="I101" s="294"/>
      <c r="J101" s="294"/>
      <c r="K101" s="294"/>
      <c r="L101" s="295"/>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c r="A102" s="3"/>
      <c r="B102" s="296" t="s">
        <v>818</v>
      </c>
      <c r="C102" s="297" t="s">
        <v>284</v>
      </c>
      <c r="D102" s="298"/>
      <c r="E102" s="298"/>
      <c r="F102" s="287">
        <v>5</v>
      </c>
      <c r="G102" s="288" t="s">
        <v>135</v>
      </c>
      <c r="H102" s="297" t="s">
        <v>133</v>
      </c>
      <c r="I102" s="298"/>
      <c r="J102" s="298"/>
      <c r="K102" s="286">
        <f>-10*LOG10(3282.81*((SIN(RADIANS(R97))^2/(R97^2))))</f>
        <v>0.31396976431536944</v>
      </c>
      <c r="L102" s="185" t="s">
        <v>860</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9"/>
      <c r="C103" s="300"/>
      <c r="D103" s="300"/>
      <c r="E103" s="300"/>
      <c r="F103" s="300"/>
      <c r="G103" s="300"/>
      <c r="H103" s="300"/>
      <c r="I103" s="300"/>
      <c r="J103" s="300"/>
      <c r="K103" s="300"/>
      <c r="L103" s="301"/>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5" zoomScaleNormal="125" workbookViewId="0">
      <selection activeCell="H44" sqref="H44"/>
    </sheetView>
  </sheetViews>
  <sheetFormatPr defaultColWidth="8.85546875" defaultRowHeight="12.75"/>
  <cols>
    <col min="7" max="7" width="9.42578125" customWidth="1"/>
    <col min="10" max="10" width="9.85546875" customWidth="1"/>
    <col min="15" max="15" width="11.42578125" customWidth="1"/>
  </cols>
  <sheetData>
    <row r="1" spans="1:22" ht="18.75" thickBot="1">
      <c r="A1" s="125" t="s">
        <v>276</v>
      </c>
      <c r="B1" s="125"/>
      <c r="C1" s="126"/>
      <c r="D1" s="126"/>
      <c r="E1" s="126"/>
      <c r="F1" s="126"/>
      <c r="G1" s="126"/>
      <c r="H1" s="127"/>
      <c r="I1" s="127"/>
      <c r="J1" s="688" t="str">
        <f>'Title Page'!F3</f>
        <v>OreSat - CS0</v>
      </c>
      <c r="K1" s="127"/>
      <c r="L1" s="127"/>
      <c r="M1" s="127"/>
      <c r="N1" s="687" t="str">
        <f>'Title Page'!F23</f>
        <v>2018 October 19</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990</v>
      </c>
      <c r="F3" s="3"/>
      <c r="G3" s="3"/>
      <c r="H3" s="3"/>
      <c r="I3" s="3"/>
      <c r="J3" s="3"/>
      <c r="K3" s="3"/>
      <c r="L3" s="540" t="s">
        <v>818</v>
      </c>
      <c r="M3" s="3"/>
      <c r="N3" s="3"/>
      <c r="O3" s="3"/>
      <c r="P3" s="3"/>
      <c r="Q3" s="3"/>
      <c r="R3" s="3"/>
      <c r="S3" s="3"/>
      <c r="T3" s="3"/>
      <c r="U3" s="3"/>
      <c r="V3" s="3"/>
    </row>
    <row r="4" spans="1:22">
      <c r="A4" s="3"/>
      <c r="B4" s="94" t="s">
        <v>992</v>
      </c>
      <c r="C4" s="3"/>
      <c r="D4" s="3"/>
      <c r="E4" s="3"/>
      <c r="F4" s="3"/>
      <c r="G4" s="3"/>
      <c r="H4" s="3"/>
      <c r="I4" s="3"/>
      <c r="J4" s="3"/>
      <c r="K4" s="3"/>
      <c r="L4" s="3"/>
      <c r="M4" s="3"/>
      <c r="N4" s="3"/>
      <c r="O4" s="3"/>
      <c r="P4" s="3"/>
      <c r="Q4" s="3"/>
      <c r="R4" s="3"/>
      <c r="S4" s="3"/>
      <c r="T4" s="3"/>
      <c r="U4" s="3"/>
      <c r="V4" s="3"/>
    </row>
    <row r="5" spans="1:22">
      <c r="A5" s="3"/>
      <c r="B5" s="3"/>
      <c r="C5" s="3"/>
      <c r="D5" s="3"/>
      <c r="E5" s="121" t="s">
        <v>991</v>
      </c>
      <c r="F5" s="3"/>
      <c r="G5" s="3"/>
      <c r="H5" s="3"/>
      <c r="I5" s="3"/>
      <c r="J5" s="3"/>
      <c r="K5" s="4" t="s">
        <v>989</v>
      </c>
      <c r="L5" s="3"/>
      <c r="M5" s="3"/>
      <c r="N5" s="4" t="s">
        <v>979</v>
      </c>
      <c r="O5" s="3"/>
      <c r="P5" s="3"/>
      <c r="Q5" s="4" t="s">
        <v>980</v>
      </c>
      <c r="R5" s="3"/>
      <c r="S5" s="3"/>
      <c r="T5" s="3"/>
      <c r="U5" s="3"/>
      <c r="V5" s="3"/>
    </row>
    <row r="6" spans="1:22">
      <c r="A6" s="3"/>
      <c r="B6" s="351" t="s">
        <v>140</v>
      </c>
      <c r="C6" s="3"/>
      <c r="D6" s="3"/>
      <c r="E6" s="3"/>
      <c r="F6" s="3"/>
      <c r="G6" s="3"/>
      <c r="H6" s="3"/>
      <c r="I6" s="3"/>
      <c r="J6" s="3"/>
      <c r="K6" s="3" t="s">
        <v>1007</v>
      </c>
      <c r="L6" s="3"/>
      <c r="M6" s="3"/>
      <c r="N6" s="3" t="s">
        <v>1007</v>
      </c>
      <c r="O6" s="3"/>
      <c r="P6" s="3"/>
      <c r="Q6" s="3" t="s">
        <v>1008</v>
      </c>
      <c r="R6" s="3"/>
      <c r="S6" s="3"/>
      <c r="T6" s="3"/>
      <c r="U6" s="3"/>
      <c r="V6" s="3"/>
    </row>
    <row r="7" spans="1:22">
      <c r="A7" s="3"/>
      <c r="B7" s="3"/>
      <c r="C7" s="3"/>
      <c r="D7" s="3"/>
      <c r="E7" s="3"/>
      <c r="F7" s="3"/>
      <c r="G7" s="3"/>
      <c r="H7" s="3"/>
      <c r="I7" s="3"/>
      <c r="J7" s="3"/>
      <c r="K7" s="3"/>
      <c r="L7" s="3"/>
      <c r="M7" s="3"/>
      <c r="N7" s="3" t="s">
        <v>818</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987</v>
      </c>
      <c r="R10" s="3"/>
      <c r="S10" s="3"/>
      <c r="T10" s="3"/>
      <c r="U10" s="3"/>
      <c r="V10" s="3"/>
    </row>
    <row r="11" spans="1:22">
      <c r="A11" s="3"/>
      <c r="B11" s="3"/>
      <c r="C11" s="3"/>
      <c r="D11" s="3"/>
      <c r="E11" s="3"/>
      <c r="F11" s="3"/>
      <c r="G11" s="3"/>
      <c r="H11" s="4" t="s">
        <v>981</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988</v>
      </c>
      <c r="R20" s="3"/>
      <c r="S20" s="3"/>
      <c r="T20" s="3"/>
      <c r="U20" s="3"/>
      <c r="V20" s="3"/>
    </row>
    <row r="21" spans="1:22">
      <c r="A21" s="3"/>
      <c r="B21" s="3"/>
      <c r="C21" s="3"/>
      <c r="D21" s="3"/>
      <c r="E21" s="3"/>
      <c r="F21" s="3"/>
      <c r="G21" s="3"/>
      <c r="H21" s="4" t="s">
        <v>986</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51" t="s">
        <v>140</v>
      </c>
      <c r="C27" s="3"/>
      <c r="D27" s="3"/>
      <c r="E27" s="3"/>
      <c r="F27" s="3"/>
      <c r="G27" s="3"/>
      <c r="H27" s="3"/>
      <c r="I27" s="3"/>
      <c r="J27" s="3"/>
      <c r="K27" s="3"/>
      <c r="L27" s="3"/>
      <c r="M27" s="3"/>
      <c r="N27" s="3"/>
      <c r="O27" s="3"/>
      <c r="P27" s="3"/>
      <c r="Q27" s="3"/>
      <c r="R27" s="3"/>
      <c r="S27" s="3"/>
      <c r="T27" s="3"/>
      <c r="U27" s="3"/>
      <c r="V27" s="3"/>
    </row>
    <row r="28" spans="1:22" ht="13.5"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30" t="s">
        <v>119</v>
      </c>
      <c r="C29" s="233" t="s">
        <v>125</v>
      </c>
      <c r="D29" s="3"/>
      <c r="E29" s="3"/>
      <c r="F29" s="3"/>
      <c r="G29" s="3"/>
      <c r="H29" s="3"/>
      <c r="I29" s="3"/>
      <c r="J29" s="3"/>
      <c r="K29" s="85"/>
      <c r="L29" s="86"/>
      <c r="M29" s="86"/>
      <c r="N29" s="87"/>
      <c r="O29" s="3"/>
      <c r="P29" s="3"/>
      <c r="Q29" s="3"/>
      <c r="R29" s="3"/>
      <c r="S29" s="3"/>
      <c r="T29" s="3"/>
      <c r="U29" s="3"/>
      <c r="V29" s="3"/>
    </row>
    <row r="30" spans="1:22">
      <c r="A30" s="3"/>
      <c r="B30" s="390" t="s">
        <v>818</v>
      </c>
      <c r="C30" s="95" t="s">
        <v>1006</v>
      </c>
      <c r="D30" s="95"/>
      <c r="E30" s="80"/>
      <c r="F30" s="80"/>
      <c r="G30" s="96"/>
      <c r="H30" s="3"/>
      <c r="I30" s="3"/>
      <c r="J30" s="3"/>
      <c r="K30" s="85"/>
      <c r="L30" s="86"/>
      <c r="M30" s="86"/>
      <c r="N30" s="87"/>
      <c r="O30" s="3"/>
      <c r="P30" s="3"/>
      <c r="Q30" s="3"/>
      <c r="R30" s="3"/>
      <c r="S30" s="3"/>
      <c r="T30" s="3"/>
      <c r="U30" s="3"/>
      <c r="V30" s="3"/>
    </row>
    <row r="31" spans="1:22">
      <c r="A31" s="3"/>
      <c r="B31" s="97" t="s">
        <v>1005</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213</v>
      </c>
      <c r="F32" s="128">
        <v>1</v>
      </c>
      <c r="G32" s="103" t="s">
        <v>965</v>
      </c>
      <c r="H32" s="3"/>
      <c r="I32" s="3"/>
      <c r="J32" s="3"/>
      <c r="K32" s="85"/>
      <c r="L32" s="86"/>
      <c r="M32" s="86"/>
      <c r="N32" s="87"/>
      <c r="O32" s="3"/>
      <c r="P32" s="82" t="s">
        <v>1009</v>
      </c>
      <c r="Q32" s="83"/>
      <c r="R32" s="83"/>
      <c r="S32" s="84"/>
      <c r="T32" s="3"/>
      <c r="U32" s="3"/>
      <c r="V32" s="3"/>
    </row>
    <row r="33" spans="1:22">
      <c r="A33" s="3"/>
      <c r="B33" s="100"/>
      <c r="C33" s="101"/>
      <c r="D33" s="101"/>
      <c r="E33" s="102" t="s">
        <v>1002</v>
      </c>
      <c r="F33" s="104">
        <f>10^(F32/20)</f>
        <v>1.1220184543019636</v>
      </c>
      <c r="G33" s="103" t="s">
        <v>966</v>
      </c>
      <c r="H33" s="3"/>
      <c r="I33" s="3"/>
      <c r="J33" s="3"/>
      <c r="K33" s="85"/>
      <c r="L33" s="86"/>
      <c r="M33" s="86"/>
      <c r="N33" s="87"/>
      <c r="O33" s="3"/>
      <c r="P33" s="85" t="s">
        <v>1010</v>
      </c>
      <c r="Q33" s="86"/>
      <c r="R33" s="86"/>
      <c r="S33" s="87"/>
      <c r="T33" s="3"/>
      <c r="U33" s="3"/>
      <c r="V33" s="3"/>
    </row>
    <row r="34" spans="1:22">
      <c r="A34" s="3"/>
      <c r="B34" s="100"/>
      <c r="C34" s="101"/>
      <c r="D34" s="101"/>
      <c r="E34" s="102" t="s">
        <v>1003</v>
      </c>
      <c r="F34" s="128">
        <v>1</v>
      </c>
      <c r="G34" s="103" t="s">
        <v>965</v>
      </c>
      <c r="H34" s="3"/>
      <c r="I34" s="3"/>
      <c r="J34" s="3"/>
      <c r="K34" s="85"/>
      <c r="L34" s="86"/>
      <c r="M34" s="86"/>
      <c r="N34" s="87"/>
      <c r="O34" s="3"/>
      <c r="P34" s="88" t="s">
        <v>0</v>
      </c>
      <c r="Q34" s="89"/>
      <c r="R34" s="89"/>
      <c r="S34" s="90"/>
      <c r="T34" s="3"/>
      <c r="U34" s="3"/>
      <c r="V34" s="3"/>
    </row>
    <row r="35" spans="1:22">
      <c r="A35" s="3"/>
      <c r="B35" s="100"/>
      <c r="C35" s="101"/>
      <c r="D35" s="101"/>
      <c r="E35" s="102" t="s">
        <v>1004</v>
      </c>
      <c r="F35" s="104">
        <f>10^(F34/20)</f>
        <v>1.1220184543019636</v>
      </c>
      <c r="G35" s="103" t="s">
        <v>966</v>
      </c>
      <c r="H35" s="3"/>
      <c r="I35" s="3"/>
      <c r="J35" s="3"/>
      <c r="K35" s="85"/>
      <c r="L35" s="86"/>
      <c r="M35" s="86"/>
      <c r="N35" s="87"/>
      <c r="O35" s="3"/>
      <c r="P35" s="3"/>
      <c r="Q35" s="3"/>
      <c r="R35" s="3"/>
      <c r="S35" s="3"/>
      <c r="T35" s="3"/>
      <c r="U35" s="3"/>
      <c r="V35" s="3"/>
    </row>
    <row r="36" spans="1:22">
      <c r="A36" s="3"/>
      <c r="B36" s="100"/>
      <c r="C36" s="101"/>
      <c r="D36" s="101"/>
      <c r="E36" s="102" t="s">
        <v>212</v>
      </c>
      <c r="F36" s="129">
        <v>90</v>
      </c>
      <c r="G36" s="103" t="s">
        <v>967</v>
      </c>
      <c r="H36" s="3"/>
      <c r="I36" s="3"/>
      <c r="J36" s="3"/>
      <c r="K36" s="85"/>
      <c r="L36" s="86"/>
      <c r="M36" s="86"/>
      <c r="N36" s="87"/>
      <c r="O36" s="3"/>
      <c r="P36" s="3" t="s">
        <v>818</v>
      </c>
      <c r="Q36" s="3"/>
      <c r="R36" s="3"/>
      <c r="S36" s="3"/>
      <c r="T36" s="3"/>
      <c r="U36" s="3"/>
      <c r="V36" s="3"/>
    </row>
    <row r="37" spans="1:22">
      <c r="A37" s="3"/>
      <c r="B37" s="100"/>
      <c r="C37" s="101"/>
      <c r="D37" s="101"/>
      <c r="E37" s="102" t="s">
        <v>212</v>
      </c>
      <c r="F37" s="81">
        <f>RADIANS(F36)</f>
        <v>1.5707963267948966</v>
      </c>
      <c r="G37" s="103" t="s">
        <v>968</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5" thickBot="1">
      <c r="A39" s="3"/>
      <c r="B39" s="100"/>
      <c r="C39" s="101"/>
      <c r="D39" s="101"/>
      <c r="E39" s="102" t="s">
        <v>969</v>
      </c>
      <c r="F39" s="106">
        <f>0.5*(1+((1-F33^2)*(1-F35^2)*COS(2*F37)+4*F33*F35)/((1+F33^2)*(1+F35^2)))</f>
        <v>0.98686150654198734</v>
      </c>
      <c r="G39" s="103" t="s">
        <v>966</v>
      </c>
      <c r="H39" s="3"/>
      <c r="I39" s="3"/>
      <c r="J39" s="3"/>
      <c r="K39" s="3"/>
      <c r="L39" s="3"/>
      <c r="M39" s="3"/>
      <c r="N39" s="3"/>
      <c r="O39" s="3"/>
      <c r="P39" s="3"/>
      <c r="Q39" s="3"/>
      <c r="R39" s="3"/>
      <c r="S39" s="3"/>
      <c r="T39" s="3"/>
      <c r="U39" s="3"/>
      <c r="V39" s="3"/>
    </row>
    <row r="40" spans="1:22" ht="13.5" thickBot="1">
      <c r="A40" s="3"/>
      <c r="B40" s="100"/>
      <c r="C40" s="101"/>
      <c r="D40" s="101"/>
      <c r="E40" s="102" t="s">
        <v>970</v>
      </c>
      <c r="F40" s="92">
        <f>-10*LOG(F39)</f>
        <v>5.7437907597720189E-2</v>
      </c>
      <c r="G40" s="103" t="s">
        <v>965</v>
      </c>
      <c r="H40" s="3"/>
      <c r="I40" s="3"/>
      <c r="J40" s="3"/>
      <c r="K40" s="3"/>
      <c r="L40" s="4" t="s">
        <v>1000</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c r="A42" s="3"/>
      <c r="B42" s="97" t="s">
        <v>1011</v>
      </c>
      <c r="C42" s="98"/>
      <c r="D42" s="98"/>
      <c r="E42" s="108"/>
      <c r="F42" s="109"/>
      <c r="G42" s="110"/>
      <c r="H42" s="3"/>
      <c r="I42" s="4" t="s">
        <v>120</v>
      </c>
      <c r="J42" s="231" t="s">
        <v>121</v>
      </c>
      <c r="K42" s="3"/>
      <c r="L42" s="3"/>
      <c r="M42" s="3"/>
      <c r="N42" s="3"/>
      <c r="O42" s="3"/>
      <c r="P42" s="3"/>
      <c r="Q42" s="3"/>
      <c r="R42" s="3"/>
      <c r="S42" s="3"/>
      <c r="T42" s="3"/>
      <c r="U42" s="3"/>
      <c r="V42" s="3"/>
    </row>
    <row r="43" spans="1:22">
      <c r="A43" s="3"/>
      <c r="B43" s="100"/>
      <c r="C43" s="101" t="s">
        <v>993</v>
      </c>
      <c r="D43" s="101"/>
      <c r="E43" s="102"/>
      <c r="F43" s="913">
        <f>1-F39</f>
        <v>1.3138493458012657E-2</v>
      </c>
      <c r="G43" s="103"/>
      <c r="H43" s="3"/>
      <c r="I43" s="3"/>
      <c r="J43" s="3"/>
      <c r="K43" s="3"/>
      <c r="L43" s="3"/>
      <c r="M43" s="3"/>
      <c r="N43" s="3"/>
      <c r="O43" s="3"/>
      <c r="P43" s="3"/>
      <c r="Q43" s="3"/>
      <c r="R43" s="3"/>
      <c r="S43" s="3"/>
      <c r="T43" s="3"/>
      <c r="U43" s="3"/>
      <c r="V43" s="3"/>
    </row>
    <row r="44" spans="1:22">
      <c r="A44" s="3"/>
      <c r="B44" s="100"/>
      <c r="C44" s="101" t="s">
        <v>993</v>
      </c>
      <c r="D44" s="101"/>
      <c r="E44" s="101"/>
      <c r="F44" s="914">
        <f>10*LOG10(1-F39)</f>
        <v>-18.814544308479665</v>
      </c>
      <c r="G44" s="103" t="s">
        <v>965</v>
      </c>
      <c r="H44" s="921"/>
      <c r="I44" s="3"/>
      <c r="J44" s="3"/>
      <c r="K44" s="3"/>
      <c r="L44" s="3"/>
      <c r="M44" s="3"/>
      <c r="N44" s="3"/>
      <c r="O44" s="3"/>
      <c r="P44" s="3"/>
      <c r="Q44" s="3"/>
      <c r="R44" s="3"/>
      <c r="S44" s="3"/>
      <c r="T44" s="3"/>
      <c r="U44" s="3"/>
      <c r="V44" s="3"/>
    </row>
    <row r="45" spans="1:22" ht="13.5" thickBot="1">
      <c r="A45" s="3"/>
      <c r="B45" s="100"/>
      <c r="C45" s="101" t="s">
        <v>994</v>
      </c>
      <c r="D45" s="101"/>
      <c r="E45" s="101"/>
      <c r="F45" s="912">
        <f>F40-F44</f>
        <v>18.871982216077384</v>
      </c>
      <c r="G45" s="103" t="s">
        <v>965</v>
      </c>
      <c r="H45" s="3"/>
      <c r="I45" s="3" t="s">
        <v>818</v>
      </c>
      <c r="J45" s="3"/>
      <c r="K45" s="3"/>
      <c r="L45" s="3"/>
      <c r="M45" s="3"/>
      <c r="N45" s="3"/>
      <c r="O45" s="3"/>
      <c r="P45" s="3"/>
      <c r="Q45" s="3"/>
      <c r="R45" s="3"/>
      <c r="S45" s="3"/>
      <c r="T45" s="3"/>
      <c r="U45" s="3"/>
      <c r="V45" s="3"/>
    </row>
    <row r="46" spans="1:22" ht="13.5" thickBot="1">
      <c r="A46" s="3"/>
      <c r="B46" s="111"/>
      <c r="C46" s="112"/>
      <c r="D46" s="112"/>
      <c r="E46" s="112"/>
      <c r="F46" s="112" t="s">
        <v>818</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1001</v>
      </c>
      <c r="J47" s="3" t="s">
        <v>818</v>
      </c>
      <c r="K47" s="3"/>
      <c r="L47" s="3"/>
      <c r="M47" s="3"/>
      <c r="N47" s="3"/>
      <c r="O47" s="3"/>
      <c r="P47" s="3"/>
      <c r="Q47" s="3"/>
      <c r="R47" s="3"/>
      <c r="S47" s="3"/>
      <c r="T47" s="3"/>
      <c r="U47" s="3"/>
      <c r="V47" s="3"/>
    </row>
    <row r="48" spans="1:22" ht="13.5"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3" t="s">
        <v>125</v>
      </c>
      <c r="E49" s="3"/>
      <c r="F49" s="3"/>
      <c r="G49" s="3"/>
      <c r="H49" s="3"/>
      <c r="I49" s="3"/>
      <c r="J49" s="3"/>
      <c r="K49" s="3"/>
      <c r="L49" s="3"/>
      <c r="M49" s="3"/>
      <c r="N49" s="3"/>
      <c r="O49" s="3"/>
      <c r="P49" s="3"/>
      <c r="Q49" s="3"/>
      <c r="R49" s="3"/>
      <c r="S49" s="3"/>
      <c r="T49" s="3"/>
      <c r="U49" s="3"/>
      <c r="V49" s="3"/>
    </row>
    <row r="50" spans="1:22">
      <c r="A50" s="3"/>
      <c r="B50" s="390" t="s">
        <v>818</v>
      </c>
      <c r="C50" s="95" t="s">
        <v>1006</v>
      </c>
      <c r="D50" s="95"/>
      <c r="E50" s="80"/>
      <c r="F50" s="80"/>
      <c r="G50" s="96"/>
      <c r="H50" s="3"/>
      <c r="I50" s="3"/>
      <c r="J50" s="3"/>
      <c r="K50" s="3"/>
      <c r="L50" s="3"/>
      <c r="M50" s="3"/>
      <c r="N50" s="3"/>
      <c r="O50" s="3"/>
      <c r="P50" s="3"/>
      <c r="Q50" s="3"/>
      <c r="R50" s="3"/>
      <c r="S50" s="3"/>
      <c r="T50" s="3"/>
      <c r="U50" s="3"/>
      <c r="V50" s="3"/>
    </row>
    <row r="51" spans="1:22">
      <c r="A51" s="3"/>
      <c r="B51" s="97" t="s">
        <v>1005</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213</v>
      </c>
      <c r="F52" s="128">
        <v>1</v>
      </c>
      <c r="G52" s="103" t="s">
        <v>965</v>
      </c>
      <c r="H52" s="3"/>
      <c r="I52" s="3"/>
      <c r="J52" s="3"/>
      <c r="K52" s="3"/>
      <c r="L52" s="3"/>
      <c r="M52" s="3"/>
      <c r="N52" s="3"/>
      <c r="O52" s="3"/>
      <c r="P52" s="3"/>
      <c r="Q52" s="3"/>
      <c r="R52" s="3"/>
      <c r="S52" s="3"/>
      <c r="T52" s="3"/>
      <c r="U52" s="3"/>
      <c r="V52" s="3"/>
    </row>
    <row r="53" spans="1:22">
      <c r="A53" s="3"/>
      <c r="B53" s="100"/>
      <c r="C53" s="101"/>
      <c r="D53" s="101"/>
      <c r="E53" s="102" t="s">
        <v>1002</v>
      </c>
      <c r="F53" s="104">
        <f>10^(F52/20)</f>
        <v>1.1220184543019636</v>
      </c>
      <c r="G53" s="103" t="s">
        <v>966</v>
      </c>
      <c r="H53" s="3"/>
      <c r="I53" s="3"/>
      <c r="J53" s="3"/>
      <c r="K53" s="3"/>
      <c r="L53" s="3"/>
      <c r="M53" s="3"/>
      <c r="N53" s="3"/>
      <c r="O53" s="3"/>
      <c r="P53" s="3"/>
      <c r="Q53" s="3"/>
      <c r="R53" s="3"/>
      <c r="S53" s="3"/>
      <c r="T53" s="3"/>
      <c r="U53" s="3"/>
      <c r="V53" s="3"/>
    </row>
    <row r="54" spans="1:22">
      <c r="A54" s="3"/>
      <c r="B54" s="100"/>
      <c r="C54" s="101"/>
      <c r="D54" s="101"/>
      <c r="E54" s="102" t="s">
        <v>1003</v>
      </c>
      <c r="F54" s="128">
        <v>1</v>
      </c>
      <c r="G54" s="103" t="s">
        <v>965</v>
      </c>
      <c r="H54" s="3"/>
      <c r="I54" s="3"/>
      <c r="J54" s="3"/>
      <c r="K54" s="3"/>
      <c r="L54" s="3"/>
      <c r="M54" s="3" t="s">
        <v>818</v>
      </c>
      <c r="N54" s="3"/>
      <c r="O54" s="3"/>
      <c r="P54" s="3"/>
      <c r="Q54" s="3"/>
      <c r="R54" s="3"/>
      <c r="S54" s="3"/>
      <c r="T54" s="3"/>
      <c r="U54" s="3"/>
      <c r="V54" s="3"/>
    </row>
    <row r="55" spans="1:22">
      <c r="A55" s="3"/>
      <c r="B55" s="100"/>
      <c r="C55" s="101"/>
      <c r="D55" s="101"/>
      <c r="E55" s="102" t="s">
        <v>1004</v>
      </c>
      <c r="F55" s="104">
        <f>10^(F54/20)</f>
        <v>1.1220184543019636</v>
      </c>
      <c r="G55" s="103" t="s">
        <v>966</v>
      </c>
      <c r="H55" s="3"/>
      <c r="I55" s="3"/>
      <c r="J55" s="3"/>
      <c r="K55" s="3"/>
      <c r="L55" s="3"/>
      <c r="M55" s="3"/>
      <c r="N55" s="3"/>
      <c r="O55" s="3"/>
      <c r="P55" s="3"/>
      <c r="Q55" s="3"/>
      <c r="R55" s="3"/>
      <c r="S55" s="3"/>
      <c r="T55" s="3"/>
      <c r="U55" s="3"/>
      <c r="V55" s="3"/>
    </row>
    <row r="56" spans="1:22">
      <c r="A56" s="3"/>
      <c r="B56" s="100"/>
      <c r="C56" s="101"/>
      <c r="D56" s="101"/>
      <c r="E56" s="102" t="s">
        <v>212</v>
      </c>
      <c r="F56" s="129">
        <v>90</v>
      </c>
      <c r="G56" s="103" t="s">
        <v>967</v>
      </c>
      <c r="H56" s="3"/>
      <c r="I56" s="3"/>
      <c r="J56" s="3"/>
      <c r="K56" s="3"/>
      <c r="L56" s="3"/>
      <c r="M56" s="3"/>
      <c r="N56" s="3"/>
      <c r="O56" s="3"/>
      <c r="P56" s="3"/>
      <c r="Q56" s="3"/>
      <c r="R56" s="3"/>
      <c r="S56" s="3"/>
      <c r="T56" s="3"/>
      <c r="U56" s="3"/>
      <c r="V56" s="3"/>
    </row>
    <row r="57" spans="1:22">
      <c r="A57" s="3"/>
      <c r="B57" s="100"/>
      <c r="C57" s="101"/>
      <c r="D57" s="101"/>
      <c r="E57" s="102" t="s">
        <v>212</v>
      </c>
      <c r="F57" s="81">
        <f>RADIANS(F56)</f>
        <v>1.5707963267948966</v>
      </c>
      <c r="G57" s="103" t="s">
        <v>968</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5" thickBot="1">
      <c r="A59" s="3"/>
      <c r="B59" s="100"/>
      <c r="C59" s="101"/>
      <c r="D59" s="101"/>
      <c r="E59" s="102" t="s">
        <v>969</v>
      </c>
      <c r="F59" s="106">
        <f>0.5*(1+((1-F53^2)*(1-F55^2)*COS(2*F57)+4*F53*F55)/((1+F53^2)*(1+F55^2)))</f>
        <v>0.98686150654198734</v>
      </c>
      <c r="G59" s="103" t="s">
        <v>966</v>
      </c>
      <c r="H59" s="3"/>
      <c r="I59" s="3"/>
      <c r="J59" s="3"/>
      <c r="K59" s="3"/>
      <c r="L59" s="3"/>
      <c r="M59" s="3"/>
      <c r="N59" s="3"/>
      <c r="O59" s="3"/>
      <c r="P59" s="3"/>
      <c r="Q59" s="3"/>
      <c r="R59" s="3"/>
      <c r="S59" s="3"/>
      <c r="T59" s="3"/>
      <c r="U59" s="3"/>
      <c r="V59" s="3"/>
    </row>
    <row r="60" spans="1:22" ht="13.5" thickBot="1">
      <c r="A60" s="3"/>
      <c r="B60" s="100"/>
      <c r="C60" s="101"/>
      <c r="D60" s="101"/>
      <c r="E60" s="102" t="s">
        <v>970</v>
      </c>
      <c r="F60" s="92">
        <f>-10*LOG(F59)</f>
        <v>5.7437907597720189E-2</v>
      </c>
      <c r="G60" s="103" t="s">
        <v>965</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c r="A62" s="3"/>
      <c r="B62" s="97" t="s">
        <v>1011</v>
      </c>
      <c r="C62" s="98"/>
      <c r="D62" s="98"/>
      <c r="E62" s="108"/>
      <c r="F62" s="109"/>
      <c r="G62" s="110"/>
      <c r="H62" s="3"/>
      <c r="I62" s="3"/>
      <c r="J62" s="3"/>
      <c r="K62" s="3"/>
      <c r="L62" s="3"/>
      <c r="M62" s="3"/>
      <c r="N62" s="3"/>
      <c r="O62" s="3"/>
      <c r="P62" s="3"/>
      <c r="Q62" s="3"/>
      <c r="R62" s="3"/>
      <c r="S62" s="3"/>
      <c r="T62" s="3"/>
      <c r="U62" s="3"/>
      <c r="V62" s="3"/>
    </row>
    <row r="63" spans="1:22">
      <c r="A63" s="3"/>
      <c r="B63" s="100"/>
      <c r="C63" s="101" t="s">
        <v>993</v>
      </c>
      <c r="D63" s="101"/>
      <c r="E63" s="102"/>
      <c r="F63" s="963">
        <f>1-F59</f>
        <v>1.3138493458012657E-2</v>
      </c>
      <c r="G63" s="103"/>
      <c r="H63" s="3"/>
      <c r="I63" s="3"/>
      <c r="J63" s="3"/>
      <c r="K63" s="3"/>
      <c r="L63" s="3"/>
      <c r="M63" s="3"/>
      <c r="N63" s="3"/>
      <c r="O63" s="3"/>
      <c r="P63" s="3"/>
      <c r="Q63" s="3"/>
      <c r="R63" s="3"/>
      <c r="S63" s="3"/>
      <c r="T63" s="3"/>
      <c r="U63" s="3"/>
      <c r="V63" s="3"/>
    </row>
    <row r="64" spans="1:22" ht="13.5" thickBot="1">
      <c r="A64" s="3"/>
      <c r="B64" s="100"/>
      <c r="C64" s="101" t="s">
        <v>993</v>
      </c>
      <c r="D64" s="101"/>
      <c r="E64" s="101"/>
      <c r="F64" s="964">
        <f>10*LOG10(1-F59)</f>
        <v>-18.814544308479665</v>
      </c>
      <c r="G64" s="103" t="s">
        <v>965</v>
      </c>
      <c r="H64" s="3"/>
      <c r="I64" s="3"/>
      <c r="J64" s="3"/>
      <c r="K64" s="3"/>
      <c r="L64" s="3"/>
      <c r="M64" s="3"/>
      <c r="N64" s="3"/>
      <c r="O64" s="3"/>
      <c r="P64" s="3"/>
      <c r="Q64" s="3"/>
      <c r="R64" s="3"/>
      <c r="S64" s="3"/>
      <c r="T64" s="3"/>
      <c r="U64" s="3"/>
      <c r="V64" s="3"/>
    </row>
    <row r="65" spans="1:22" ht="13.5" thickBot="1">
      <c r="A65" s="3"/>
      <c r="B65" s="100"/>
      <c r="C65" s="101" t="s">
        <v>994</v>
      </c>
      <c r="D65" s="101"/>
      <c r="E65" s="101"/>
      <c r="F65" s="93">
        <f>F60-F64</f>
        <v>18.871982216077384</v>
      </c>
      <c r="G65" s="103" t="s">
        <v>965</v>
      </c>
      <c r="H65" s="3"/>
      <c r="I65" s="3"/>
      <c r="J65" s="3"/>
      <c r="K65" s="3"/>
      <c r="L65" s="3"/>
      <c r="M65" s="3"/>
      <c r="N65" s="3"/>
      <c r="O65" s="3"/>
      <c r="P65" s="3"/>
      <c r="Q65" s="3"/>
      <c r="R65" s="3"/>
      <c r="S65" s="3"/>
      <c r="T65" s="3"/>
      <c r="U65" s="3"/>
      <c r="V65" s="3"/>
    </row>
    <row r="66" spans="1:22" ht="13.5" thickBot="1">
      <c r="A66" s="3"/>
      <c r="B66" s="111"/>
      <c r="C66" s="112"/>
      <c r="D66" s="112"/>
      <c r="E66" s="112"/>
      <c r="F66" s="112" t="s">
        <v>818</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c r="A70" s="3"/>
      <c r="B70" s="641"/>
      <c r="C70" s="641"/>
      <c r="D70" s="641"/>
      <c r="E70" s="641"/>
      <c r="F70" s="642" t="s">
        <v>1012</v>
      </c>
      <c r="G70" s="643"/>
      <c r="H70" s="643"/>
      <c r="I70" s="643" t="s">
        <v>818</v>
      </c>
      <c r="J70" s="643"/>
      <c r="K70" s="3"/>
      <c r="L70" s="3"/>
      <c r="M70" s="3"/>
      <c r="N70" s="3"/>
      <c r="O70" s="3"/>
      <c r="P70" s="3"/>
      <c r="Q70" s="3"/>
      <c r="R70" s="3"/>
      <c r="S70" s="3"/>
      <c r="T70" s="3"/>
      <c r="U70" s="3"/>
      <c r="V70" s="3"/>
    </row>
    <row r="71" spans="1:22">
      <c r="A71" s="3"/>
      <c r="B71" s="23"/>
      <c r="C71" s="23"/>
      <c r="D71" s="47" t="s">
        <v>1013</v>
      </c>
      <c r="E71" s="23"/>
      <c r="F71" s="47" t="s">
        <v>1014</v>
      </c>
      <c r="G71" s="23"/>
      <c r="H71" s="639" t="s">
        <v>1015</v>
      </c>
      <c r="I71" s="23"/>
      <c r="J71" s="640" t="s">
        <v>997</v>
      </c>
      <c r="K71" s="3"/>
      <c r="L71" s="3"/>
      <c r="M71" s="3"/>
      <c r="N71" s="3"/>
      <c r="O71" s="3"/>
      <c r="P71" s="3"/>
      <c r="Q71" s="3"/>
      <c r="R71" s="3"/>
      <c r="S71" s="3"/>
      <c r="T71" s="3"/>
      <c r="U71" s="3"/>
      <c r="V71" s="3"/>
    </row>
    <row r="72" spans="1:22">
      <c r="A72" s="3"/>
      <c r="B72" s="23"/>
      <c r="C72" s="23"/>
      <c r="D72" s="640" t="s">
        <v>995</v>
      </c>
      <c r="E72" s="640"/>
      <c r="F72" s="640" t="s">
        <v>996</v>
      </c>
      <c r="G72" s="640"/>
      <c r="H72" s="640" t="s">
        <v>999</v>
      </c>
      <c r="I72" s="23"/>
      <c r="J72" s="640" t="s">
        <v>998</v>
      </c>
      <c r="K72" s="3"/>
      <c r="L72" s="3"/>
      <c r="M72" s="3"/>
      <c r="N72" s="3"/>
      <c r="O72" s="3"/>
      <c r="P72" s="3"/>
      <c r="Q72" s="3"/>
      <c r="R72" s="3"/>
      <c r="S72" s="3"/>
      <c r="T72" s="3"/>
      <c r="U72" s="3"/>
      <c r="V72" s="3"/>
    </row>
    <row r="73" spans="1:22">
      <c r="A73" s="3"/>
      <c r="B73" s="23"/>
      <c r="C73" s="23"/>
      <c r="D73" s="640" t="s">
        <v>998</v>
      </c>
      <c r="E73" s="640"/>
      <c r="F73" s="640" t="s">
        <v>998</v>
      </c>
      <c r="G73" s="640"/>
      <c r="H73" s="640"/>
      <c r="I73" s="23"/>
      <c r="J73" s="640"/>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c r="A75" s="3"/>
      <c r="B75" s="635" t="s">
        <v>1021</v>
      </c>
      <c r="C75" s="636"/>
      <c r="D75" s="279">
        <v>0</v>
      </c>
      <c r="E75" s="279"/>
      <c r="F75" s="279">
        <v>0</v>
      </c>
      <c r="G75" s="279"/>
      <c r="H75" s="279">
        <v>90</v>
      </c>
      <c r="I75" s="279"/>
      <c r="J75" s="962">
        <v>0</v>
      </c>
      <c r="K75" s="3"/>
      <c r="L75" s="3"/>
      <c r="M75" s="3"/>
      <c r="N75" s="3"/>
      <c r="O75" s="3"/>
      <c r="P75" s="3"/>
      <c r="Q75" s="3"/>
      <c r="R75" s="3"/>
      <c r="S75" s="3"/>
      <c r="T75" s="3"/>
      <c r="U75" s="3"/>
      <c r="V75" s="3"/>
    </row>
    <row r="76" spans="1:22">
      <c r="A76" s="3"/>
      <c r="B76" s="635" t="s">
        <v>1020</v>
      </c>
      <c r="C76" s="636"/>
      <c r="D76" s="279">
        <v>0</v>
      </c>
      <c r="E76" s="279"/>
      <c r="F76" s="279">
        <v>1</v>
      </c>
      <c r="G76" s="279"/>
      <c r="H76" s="279">
        <v>90</v>
      </c>
      <c r="I76" s="279"/>
      <c r="J76" s="962">
        <v>-0.01</v>
      </c>
      <c r="K76" s="3"/>
      <c r="L76" s="3"/>
      <c r="M76" s="3"/>
      <c r="N76" s="3"/>
      <c r="O76" s="3"/>
      <c r="P76" s="3"/>
      <c r="Q76" s="3"/>
      <c r="R76" s="3"/>
      <c r="S76" s="3"/>
      <c r="T76" s="3"/>
      <c r="U76" s="3"/>
      <c r="V76" s="3"/>
    </row>
    <row r="77" spans="1:22">
      <c r="A77" s="3"/>
      <c r="B77" s="636"/>
      <c r="C77" s="636"/>
      <c r="D77" s="279">
        <v>0</v>
      </c>
      <c r="E77" s="279"/>
      <c r="F77" s="279">
        <v>2</v>
      </c>
      <c r="G77" s="279"/>
      <c r="H77" s="279">
        <v>90</v>
      </c>
      <c r="I77" s="279"/>
      <c r="J77" s="962">
        <v>-0.06</v>
      </c>
      <c r="K77" s="3"/>
      <c r="L77" s="3"/>
      <c r="M77" s="3"/>
      <c r="N77" s="3"/>
      <c r="O77" s="3"/>
      <c r="P77" s="3"/>
      <c r="Q77" s="3"/>
      <c r="R77" s="3"/>
      <c r="S77" s="3"/>
      <c r="T77" s="3"/>
      <c r="U77" s="3"/>
      <c r="V77" s="3"/>
    </row>
    <row r="78" spans="1:22">
      <c r="A78" s="3"/>
      <c r="B78" s="636"/>
      <c r="C78" s="636"/>
      <c r="D78" s="279">
        <v>0</v>
      </c>
      <c r="E78" s="279"/>
      <c r="F78" s="279">
        <v>3</v>
      </c>
      <c r="G78" s="279"/>
      <c r="H78" s="279">
        <v>90</v>
      </c>
      <c r="I78" s="637"/>
      <c r="J78" s="962">
        <v>-0.13</v>
      </c>
      <c r="K78" s="3"/>
      <c r="L78" s="3"/>
      <c r="M78" s="3"/>
      <c r="N78" s="3"/>
      <c r="O78" s="3"/>
      <c r="P78" s="3"/>
      <c r="Q78" s="3"/>
      <c r="R78" s="3"/>
      <c r="S78" s="3"/>
      <c r="T78" s="3"/>
      <c r="U78" s="3"/>
      <c r="V78" s="3"/>
    </row>
    <row r="79" spans="1:22">
      <c r="A79" s="3"/>
      <c r="B79" s="636"/>
      <c r="C79" s="636"/>
      <c r="D79" s="279">
        <v>0</v>
      </c>
      <c r="E79" s="279"/>
      <c r="F79" s="279">
        <v>6</v>
      </c>
      <c r="G79" s="279"/>
      <c r="H79" s="279">
        <v>90</v>
      </c>
      <c r="I79" s="637"/>
      <c r="J79" s="962">
        <v>-0.45</v>
      </c>
      <c r="K79" s="3"/>
      <c r="L79" s="3"/>
      <c r="M79" s="3"/>
      <c r="N79" s="3"/>
      <c r="O79" s="3"/>
      <c r="P79" s="3"/>
      <c r="Q79" s="3"/>
      <c r="R79" s="3"/>
      <c r="S79" s="3"/>
      <c r="T79" s="3"/>
      <c r="U79" s="3"/>
      <c r="V79" s="3"/>
    </row>
    <row r="80" spans="1:22">
      <c r="A80" s="3"/>
      <c r="B80" s="636"/>
      <c r="C80" s="636"/>
      <c r="D80" s="279">
        <v>0</v>
      </c>
      <c r="E80" s="279"/>
      <c r="F80" s="279">
        <v>10</v>
      </c>
      <c r="G80" s="279"/>
      <c r="H80" s="279">
        <v>90</v>
      </c>
      <c r="I80" s="279"/>
      <c r="J80" s="962">
        <v>-1.04</v>
      </c>
      <c r="K80" s="3"/>
      <c r="L80" s="3"/>
      <c r="M80" s="3"/>
      <c r="N80" s="3"/>
      <c r="O80" s="3"/>
      <c r="P80" s="3"/>
      <c r="Q80" s="3"/>
      <c r="R80" s="3"/>
      <c r="S80" s="3"/>
      <c r="T80" s="3"/>
      <c r="U80" s="3"/>
      <c r="V80" s="3"/>
    </row>
    <row r="81" spans="1:22">
      <c r="A81" s="3"/>
      <c r="B81" s="636"/>
      <c r="C81" s="636"/>
      <c r="D81" s="279">
        <v>0</v>
      </c>
      <c r="E81" s="279"/>
      <c r="F81" s="279">
        <v>30</v>
      </c>
      <c r="G81" s="279"/>
      <c r="H81" s="279">
        <v>90</v>
      </c>
      <c r="I81" s="279"/>
      <c r="J81" s="962">
        <v>-2.74</v>
      </c>
      <c r="K81" s="3"/>
      <c r="L81" s="114" t="s">
        <v>1018</v>
      </c>
      <c r="M81" s="115"/>
      <c r="N81" s="115"/>
      <c r="O81" s="116"/>
      <c r="P81" s="3"/>
      <c r="Q81" s="3"/>
      <c r="R81" s="3"/>
      <c r="S81" s="3"/>
      <c r="T81" s="3"/>
      <c r="U81" s="3"/>
      <c r="V81" s="3"/>
    </row>
    <row r="82" spans="1:22">
      <c r="A82" s="3"/>
      <c r="B82" s="636"/>
      <c r="C82" s="636"/>
      <c r="D82" s="279">
        <v>0</v>
      </c>
      <c r="E82" s="279"/>
      <c r="F82" s="279">
        <v>30</v>
      </c>
      <c r="G82" s="279"/>
      <c r="H82" s="279">
        <v>0</v>
      </c>
      <c r="I82" s="279"/>
      <c r="J82" s="962">
        <v>-2.74</v>
      </c>
      <c r="K82" s="3"/>
      <c r="L82" s="117" t="s">
        <v>1017</v>
      </c>
      <c r="M82" s="118"/>
      <c r="N82" s="118"/>
      <c r="O82" s="119"/>
      <c r="P82" s="3"/>
      <c r="Q82" s="3"/>
      <c r="R82" s="3"/>
      <c r="S82" s="3"/>
      <c r="T82" s="3"/>
      <c r="U82" s="3"/>
      <c r="V82" s="3"/>
    </row>
    <row r="83" spans="1:22">
      <c r="A83" s="3"/>
      <c r="B83" s="636"/>
      <c r="C83" s="636"/>
      <c r="D83" s="279"/>
      <c r="E83" s="279"/>
      <c r="F83" s="279"/>
      <c r="G83" s="279"/>
      <c r="H83" s="279"/>
      <c r="I83" s="279"/>
      <c r="J83" s="279"/>
      <c r="K83" s="3"/>
      <c r="L83" s="3"/>
      <c r="M83" s="3"/>
      <c r="N83" s="3"/>
      <c r="O83" s="3"/>
      <c r="P83" s="3"/>
      <c r="Q83" s="3"/>
      <c r="R83" s="3"/>
      <c r="S83" s="3"/>
      <c r="T83" s="3"/>
      <c r="U83" s="3"/>
      <c r="V83" s="3"/>
    </row>
    <row r="84" spans="1:22">
      <c r="A84" s="3"/>
      <c r="B84" s="636"/>
      <c r="C84" s="636"/>
      <c r="D84" s="279"/>
      <c r="E84" s="279"/>
      <c r="F84" s="279"/>
      <c r="G84" s="279"/>
      <c r="H84" s="279"/>
      <c r="I84" s="279" t="s">
        <v>818</v>
      </c>
      <c r="J84" s="279"/>
      <c r="K84" s="3"/>
      <c r="L84" s="3"/>
      <c r="M84" s="3"/>
      <c r="N84" s="3"/>
      <c r="O84" s="3"/>
      <c r="P84" s="3"/>
      <c r="Q84" s="3"/>
      <c r="R84" s="3"/>
      <c r="S84" s="3"/>
      <c r="T84" s="3"/>
      <c r="U84" s="3"/>
      <c r="V84" s="3"/>
    </row>
    <row r="85" spans="1:22">
      <c r="A85" s="3"/>
      <c r="B85" s="635" t="s">
        <v>1016</v>
      </c>
      <c r="C85" s="636"/>
      <c r="D85" s="279">
        <v>3</v>
      </c>
      <c r="E85" s="279"/>
      <c r="F85" s="279">
        <v>3</v>
      </c>
      <c r="G85" s="279"/>
      <c r="H85" s="279">
        <v>0</v>
      </c>
      <c r="I85" s="279"/>
      <c r="J85" s="962">
        <v>0</v>
      </c>
      <c r="K85" s="3"/>
      <c r="L85" s="3"/>
      <c r="M85" s="3"/>
      <c r="N85" s="3"/>
      <c r="O85" s="3"/>
      <c r="P85" s="3"/>
      <c r="Q85" s="3"/>
      <c r="R85" s="3"/>
      <c r="S85" s="3"/>
      <c r="T85" s="3"/>
      <c r="U85" s="3"/>
      <c r="V85" s="3"/>
    </row>
    <row r="86" spans="1:22">
      <c r="A86" s="3"/>
      <c r="B86" s="636"/>
      <c r="C86" s="636"/>
      <c r="D86" s="279">
        <v>3</v>
      </c>
      <c r="E86" s="279"/>
      <c r="F86" s="279">
        <v>3</v>
      </c>
      <c r="G86" s="279"/>
      <c r="H86" s="279">
        <v>45</v>
      </c>
      <c r="I86" s="279"/>
      <c r="J86" s="962">
        <v>-0.25</v>
      </c>
      <c r="K86" s="3"/>
      <c r="L86" s="122" t="s">
        <v>1024</v>
      </c>
      <c r="M86" s="123"/>
      <c r="N86" s="123"/>
      <c r="O86" s="124"/>
      <c r="P86" s="3"/>
      <c r="Q86" s="3"/>
      <c r="R86" s="3"/>
      <c r="S86" s="3"/>
      <c r="T86" s="3"/>
      <c r="U86" s="3"/>
      <c r="V86" s="3"/>
    </row>
    <row r="87" spans="1:22">
      <c r="A87" s="3"/>
      <c r="B87" s="636"/>
      <c r="C87" s="636"/>
      <c r="D87" s="279">
        <v>3</v>
      </c>
      <c r="E87" s="279"/>
      <c r="F87" s="279">
        <v>3</v>
      </c>
      <c r="G87" s="279"/>
      <c r="H87" s="279">
        <v>90</v>
      </c>
      <c r="I87" s="279"/>
      <c r="J87" s="962">
        <v>-0.51</v>
      </c>
      <c r="K87" s="3"/>
      <c r="L87" s="3"/>
      <c r="M87" s="3"/>
      <c r="N87" s="3"/>
      <c r="O87" s="3"/>
      <c r="P87" s="3"/>
      <c r="Q87" s="3"/>
      <c r="R87" s="3"/>
      <c r="S87" s="3"/>
      <c r="T87" s="3"/>
      <c r="U87" s="3"/>
      <c r="V87" s="3"/>
    </row>
    <row r="88" spans="1:22">
      <c r="A88" s="3"/>
      <c r="B88" s="636"/>
      <c r="C88" s="636"/>
      <c r="D88" s="638"/>
      <c r="E88" s="638"/>
      <c r="F88" s="638"/>
      <c r="G88" s="638"/>
      <c r="H88" s="638"/>
      <c r="I88" s="638"/>
      <c r="J88" s="638"/>
      <c r="K88" s="3"/>
      <c r="L88" s="3"/>
      <c r="M88" s="3"/>
      <c r="N88" s="3"/>
      <c r="O88" s="3"/>
      <c r="P88" s="3"/>
      <c r="Q88" s="3"/>
      <c r="R88" s="3"/>
      <c r="S88" s="3"/>
      <c r="T88" s="3"/>
      <c r="U88" s="3"/>
      <c r="V88" s="3"/>
    </row>
    <row r="89" spans="1:22">
      <c r="A89" s="3"/>
      <c r="B89" s="636"/>
      <c r="C89" s="636"/>
      <c r="D89" s="638"/>
      <c r="E89" s="638"/>
      <c r="F89" s="638"/>
      <c r="G89" s="638"/>
      <c r="H89" s="638"/>
      <c r="I89" s="638"/>
      <c r="J89" s="638"/>
      <c r="K89" s="3"/>
      <c r="L89" s="3"/>
      <c r="M89" s="3"/>
      <c r="N89" s="3"/>
      <c r="O89" s="3"/>
      <c r="P89" s="3"/>
      <c r="Q89" s="3"/>
      <c r="R89" s="3"/>
      <c r="S89" s="3"/>
      <c r="T89" s="3"/>
      <c r="U89" s="3"/>
      <c r="V89" s="3"/>
    </row>
    <row r="90" spans="1:22">
      <c r="A90" s="3"/>
      <c r="B90" s="636" t="s">
        <v>1019</v>
      </c>
      <c r="C90" s="636"/>
      <c r="D90" s="279">
        <v>30</v>
      </c>
      <c r="E90" s="279"/>
      <c r="F90" s="279">
        <v>30</v>
      </c>
      <c r="G90" s="279"/>
      <c r="H90" s="279">
        <v>0</v>
      </c>
      <c r="I90" s="279"/>
      <c r="J90" s="962">
        <v>0</v>
      </c>
      <c r="K90" s="3"/>
      <c r="L90" s="3"/>
      <c r="M90" s="3"/>
      <c r="N90" s="3"/>
      <c r="O90" s="3"/>
      <c r="P90" s="3"/>
      <c r="Q90" s="3"/>
      <c r="R90" s="3"/>
      <c r="S90" s="3"/>
      <c r="T90" s="3"/>
      <c r="U90" s="3"/>
      <c r="V90" s="3"/>
    </row>
    <row r="91" spans="1:22">
      <c r="A91" s="3"/>
      <c r="B91" s="636"/>
      <c r="C91" s="636"/>
      <c r="D91" s="279">
        <v>30</v>
      </c>
      <c r="E91" s="279"/>
      <c r="F91" s="279">
        <v>30</v>
      </c>
      <c r="G91" s="279"/>
      <c r="H91" s="279">
        <v>30</v>
      </c>
      <c r="I91" s="279"/>
      <c r="J91" s="962">
        <v>-1.24</v>
      </c>
      <c r="K91" s="3"/>
      <c r="L91" s="3"/>
      <c r="M91" s="3"/>
      <c r="N91" s="3"/>
      <c r="O91" s="3"/>
      <c r="P91" s="3"/>
      <c r="Q91" s="3"/>
      <c r="R91" s="3"/>
      <c r="S91" s="3"/>
      <c r="T91" s="3"/>
      <c r="U91" s="3"/>
      <c r="V91" s="3"/>
    </row>
    <row r="92" spans="1:22">
      <c r="A92" s="3"/>
      <c r="B92" s="636"/>
      <c r="C92" s="636"/>
      <c r="D92" s="279">
        <v>30</v>
      </c>
      <c r="E92" s="279"/>
      <c r="F92" s="279">
        <v>30</v>
      </c>
      <c r="G92" s="279"/>
      <c r="H92" s="279">
        <v>45</v>
      </c>
      <c r="I92" s="279"/>
      <c r="J92" s="962">
        <v>-2.99</v>
      </c>
      <c r="K92" s="3"/>
      <c r="L92" s="3"/>
      <c r="M92" s="3"/>
      <c r="N92" s="3"/>
      <c r="O92" s="3"/>
      <c r="P92" s="3"/>
      <c r="Q92" s="3"/>
      <c r="R92" s="3"/>
      <c r="S92" s="3"/>
      <c r="T92" s="3"/>
      <c r="U92" s="3"/>
      <c r="V92" s="3"/>
    </row>
    <row r="93" spans="1:22">
      <c r="A93" s="3"/>
      <c r="B93" s="636"/>
      <c r="C93" s="636"/>
      <c r="D93" s="279">
        <v>30</v>
      </c>
      <c r="E93" s="279"/>
      <c r="F93" s="279">
        <v>30</v>
      </c>
      <c r="G93" s="279"/>
      <c r="H93" s="279">
        <v>60</v>
      </c>
      <c r="I93" s="279"/>
      <c r="J93" s="962">
        <v>-5.97</v>
      </c>
      <c r="K93" s="3"/>
      <c r="L93" s="3"/>
      <c r="M93" s="3"/>
      <c r="N93" s="3"/>
      <c r="O93" s="3"/>
      <c r="P93" s="3"/>
      <c r="Q93" s="3"/>
      <c r="R93" s="3"/>
      <c r="S93" s="3"/>
      <c r="T93" s="3"/>
      <c r="U93" s="3"/>
      <c r="V93" s="3"/>
    </row>
    <row r="94" spans="1:22">
      <c r="A94" s="3"/>
      <c r="B94" s="636"/>
      <c r="C94" s="636"/>
      <c r="D94" s="279">
        <v>30</v>
      </c>
      <c r="E94" s="279"/>
      <c r="F94" s="279">
        <v>30</v>
      </c>
      <c r="G94" s="279"/>
      <c r="H94" s="279">
        <v>90</v>
      </c>
      <c r="I94" s="279"/>
      <c r="J94" s="962">
        <v>-23.99</v>
      </c>
      <c r="K94" s="3"/>
      <c r="L94" s="3"/>
      <c r="M94" s="3"/>
      <c r="N94" s="3"/>
      <c r="O94" s="3"/>
      <c r="P94" s="3"/>
      <c r="Q94" s="3"/>
      <c r="R94" s="3"/>
      <c r="S94" s="3"/>
      <c r="T94" s="3"/>
      <c r="U94" s="3"/>
      <c r="V94" s="3"/>
    </row>
    <row r="95" spans="1:22">
      <c r="A95" s="3"/>
      <c r="B95" s="636"/>
      <c r="C95" s="636"/>
      <c r="D95" s="279"/>
      <c r="E95" s="279"/>
      <c r="F95" s="279"/>
      <c r="G95" s="279"/>
      <c r="H95" s="279"/>
      <c r="I95" s="279"/>
      <c r="J95" s="279"/>
      <c r="K95" s="3"/>
      <c r="L95" s="3"/>
      <c r="M95" s="3"/>
      <c r="N95" s="3"/>
      <c r="O95" s="3"/>
      <c r="P95" s="3"/>
      <c r="Q95" s="3"/>
      <c r="R95" s="3"/>
      <c r="S95" s="3"/>
      <c r="T95" s="3"/>
      <c r="U95" s="3"/>
      <c r="V95" s="3"/>
    </row>
    <row r="96" spans="1:22">
      <c r="A96" s="3"/>
      <c r="B96" s="635" t="s">
        <v>1022</v>
      </c>
      <c r="C96" s="635"/>
      <c r="D96" s="279">
        <v>2</v>
      </c>
      <c r="E96" s="279"/>
      <c r="F96" s="279">
        <v>30</v>
      </c>
      <c r="G96" s="279"/>
      <c r="H96" s="279">
        <v>0</v>
      </c>
      <c r="I96" s="279"/>
      <c r="J96" s="962">
        <v>-1.91</v>
      </c>
      <c r="K96" s="3"/>
      <c r="L96" s="3" t="s">
        <v>818</v>
      </c>
      <c r="M96" s="3"/>
      <c r="N96" s="3"/>
      <c r="O96" s="3"/>
      <c r="P96" s="3"/>
      <c r="Q96" s="3"/>
      <c r="R96" s="3"/>
      <c r="S96" s="3"/>
      <c r="T96" s="3"/>
      <c r="U96" s="3"/>
      <c r="V96" s="3"/>
    </row>
    <row r="97" spans="1:22">
      <c r="A97" s="3"/>
      <c r="B97" s="635" t="s">
        <v>1023</v>
      </c>
      <c r="C97" s="635"/>
      <c r="D97" s="279">
        <v>2</v>
      </c>
      <c r="E97" s="279"/>
      <c r="F97" s="279">
        <v>30</v>
      </c>
      <c r="G97" s="279"/>
      <c r="H97" s="279">
        <v>45</v>
      </c>
      <c r="I97" s="279"/>
      <c r="J97" s="962">
        <v>-2.75</v>
      </c>
      <c r="K97" s="3"/>
      <c r="L97" s="122" t="s">
        <v>124</v>
      </c>
      <c r="M97" s="123"/>
      <c r="N97" s="123"/>
      <c r="O97" s="123"/>
      <c r="P97" s="124"/>
      <c r="Q97" s="3"/>
      <c r="R97" s="3"/>
      <c r="S97" s="3"/>
      <c r="T97" s="3"/>
      <c r="U97" s="3"/>
      <c r="V97" s="3"/>
    </row>
    <row r="98" spans="1:22">
      <c r="A98" s="3"/>
      <c r="B98" s="635"/>
      <c r="C98" s="635"/>
      <c r="D98" s="279">
        <v>2</v>
      </c>
      <c r="E98" s="279"/>
      <c r="F98" s="279">
        <v>30</v>
      </c>
      <c r="G98" s="279"/>
      <c r="H98" s="279">
        <v>90</v>
      </c>
      <c r="I98" s="279"/>
      <c r="J98" s="962">
        <v>-3.79</v>
      </c>
      <c r="K98" s="3"/>
      <c r="L98" s="3"/>
      <c r="M98" s="3"/>
      <c r="N98" s="3"/>
      <c r="O98" s="3"/>
      <c r="P98" s="3"/>
      <c r="Q98" s="3"/>
      <c r="R98" s="3"/>
      <c r="S98" s="3"/>
      <c r="T98" s="3"/>
      <c r="U98" s="3"/>
      <c r="V98" s="3"/>
    </row>
    <row r="99" spans="1:22">
      <c r="A99" s="3"/>
      <c r="B99" s="91"/>
      <c r="C99" s="91"/>
      <c r="D99" s="440"/>
      <c r="E99" s="440"/>
      <c r="F99" s="440"/>
      <c r="G99" s="440"/>
      <c r="H99" s="440"/>
      <c r="I99" s="440"/>
      <c r="J99" s="440"/>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c r="A101" s="3"/>
      <c r="B101" s="232"/>
      <c r="C101" s="3"/>
      <c r="D101" s="79"/>
      <c r="E101" s="79"/>
      <c r="F101" s="79"/>
      <c r="G101" s="79"/>
      <c r="H101" s="79"/>
      <c r="I101" s="79"/>
      <c r="J101" s="79"/>
      <c r="K101" s="3"/>
      <c r="L101" s="3"/>
      <c r="M101" s="3"/>
      <c r="N101" s="3"/>
      <c r="O101" s="3"/>
      <c r="P101" s="3"/>
      <c r="Q101" s="3"/>
      <c r="R101" s="3"/>
      <c r="S101" s="3"/>
      <c r="T101" s="3"/>
      <c r="U101" s="3"/>
      <c r="V101" s="3"/>
    </row>
    <row r="102" spans="1:22">
      <c r="A102" s="3"/>
      <c r="B102" s="232"/>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2018-10-19T20:21:40Z</cp:lastPrinted>
  <dcterms:created xsi:type="dcterms:W3CDTF">2003-03-25T04:05:57Z</dcterms:created>
  <dcterms:modified xsi:type="dcterms:W3CDTF">2018-10-19T21:42:17Z</dcterms:modified>
</cp:coreProperties>
</file>