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76B31D0F-C8E1-422E-8C88-757C70D70535}"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1" i="23"/>
  <c r="O45" i="23" l="1"/>
  <c r="G72" i="23"/>
  <c r="J53" i="15" l="1"/>
  <c r="I78" i="14"/>
  <c r="G54" i="23" l="1"/>
  <c r="D109" i="23"/>
  <c r="L105" i="23"/>
  <c r="G97" i="23"/>
  <c r="G93" i="23"/>
  <c r="G91" i="23"/>
  <c r="G89" i="23"/>
  <c r="O88" i="23"/>
  <c r="G87" i="23"/>
  <c r="G78" i="23"/>
  <c r="G77" i="23"/>
  <c r="G76" i="23"/>
  <c r="B75" i="23"/>
  <c r="O71" i="23"/>
  <c r="O69" i="23"/>
  <c r="G67" i="23"/>
  <c r="G66" i="23"/>
  <c r="O62" i="23"/>
  <c r="G61" i="23"/>
  <c r="G58" i="23"/>
  <c r="O55" i="23"/>
  <c r="O51" i="23"/>
  <c r="O50" i="23"/>
  <c r="G47" i="23"/>
  <c r="G45" i="23"/>
  <c r="O40" i="23"/>
  <c r="G40" i="23"/>
  <c r="O39" i="23"/>
  <c r="O29" i="23"/>
  <c r="O27" i="23"/>
  <c r="G25" i="23"/>
  <c r="O23" i="23"/>
  <c r="O19" i="23"/>
  <c r="O15" i="23" s="1"/>
  <c r="O17" i="23" s="1"/>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O60" i="23" s="1"/>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J128" i="15" l="1"/>
  <c r="O65" i="23"/>
  <c r="AA143" i="15"/>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3" i="20" s="1"/>
  <c r="M12" i="20" s="1"/>
  <c r="B15" i="5"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E36" i="12"/>
  <c r="N13" i="9"/>
  <c r="F37" i="7"/>
  <c r="F39" i="7"/>
  <c r="F40" i="7" s="1"/>
  <c r="B14" i="5" s="1"/>
  <c r="R55" i="12"/>
  <c r="K52" i="12"/>
  <c r="K36" i="12"/>
  <c r="B29" i="5"/>
  <c r="H5" i="6"/>
  <c r="B41" i="5" s="1"/>
  <c r="G21" i="23"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E29" i="8"/>
  <c r="R76" i="12"/>
  <c r="R80" i="12"/>
  <c r="R77" i="12"/>
  <c r="R58" i="12"/>
  <c r="R57" i="12"/>
  <c r="Q14" i="9"/>
  <c r="J39" i="12" s="1"/>
  <c r="Q61" i="9"/>
  <c r="J98"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G16" i="20" l="1"/>
  <c r="G18" i="20"/>
  <c r="G17" i="20"/>
  <c r="G19" i="20"/>
  <c r="M18" i="20" s="1"/>
  <c r="B15" i="3" s="1"/>
  <c r="G11" i="20"/>
  <c r="F104" i="23"/>
  <c r="F20" i="23"/>
  <c r="F14" i="23"/>
  <c r="F107" i="23"/>
  <c r="B49" i="3"/>
  <c r="B23" i="3"/>
  <c r="O49" i="23" s="1"/>
  <c r="Q60" i="9"/>
  <c r="J97" i="12" s="1"/>
  <c r="R97" i="12" s="1"/>
  <c r="K102" i="12" s="1"/>
  <c r="B22" i="3" s="1"/>
  <c r="N45" i="23" s="1"/>
  <c r="N10" i="23"/>
  <c r="N101" i="23"/>
  <c r="N95" i="23"/>
  <c r="N7" i="23"/>
  <c r="B41" i="3"/>
  <c r="O96" i="23" s="1"/>
  <c r="B62" i="3"/>
  <c r="F52" i="12"/>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48" i="3" l="1"/>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<sst xmlns="http://schemas.openxmlformats.org/spreadsheetml/2006/main" count="2772" uniqueCount="1088">
  <si>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</si>
  <si>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</si>
  <si>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</si>
  <si>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</si>
  <si>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</si>
  <si>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</si>
  <si>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</si>
  <si>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</si>
  <si>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</si>
  <si>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</si>
  <si>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</si>
  <si>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</si>
  <si>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</si>
  <si>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</si>
  <si>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</si>
  <si>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</si>
  <si>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</si>
  <si>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</si>
  <si>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</si>
  <si>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</si>
  <si>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</si>
  <si>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</si>
  <si>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</si>
  <si>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</si>
  <si>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</si>
  <si>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</si>
  <si>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</si>
  <si>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</si>
  <si>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</si>
  <si>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</si>
  <si>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</si>
  <si>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</si>
  <si>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</si>
  <si>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</si>
  <si>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</si>
  <si>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</si>
  <si>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</si>
  <si>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</si>
  <si>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</si>
  <si>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</si>
  <si>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</si>
  <si>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</si>
  <si>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</si>
  <si>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</si>
  <si>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</si>
  <si>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</si>
  <si>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</si>
  <si>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</si>
  <si>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</si>
  <si>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</si>
  <si>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</si>
  <si>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</si>
  <si>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</si>
  <si>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</si>
  <si>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</si>
  <si>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</si>
  <si>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</si>
  <si>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</si>
  <si>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</si>
  <si>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</si>
  <si>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</si>
  <si>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</si>
  <si>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</si>
  <si>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</si>
  <si>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</si>
  <si>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</si>
  <si>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</si>
  <si>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</si>
  <si>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</si>
  <si>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</si>
  <si>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</si>
  <si>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</si>
  <si>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</si>
  <si>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</si>
  <si>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</si>
  <si>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</si>
  <si>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</si>
  <si>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</si>
  <si>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</si>
  <si>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</si>
  <si>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</si>
  <si>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</si>
  <si>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</si>
  <si>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</si>
  <si>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</si>
  <si>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</si>
  <si>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</si>
  <si>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</si>
  <si>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</si>
  <si>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</si>
  <si>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</si>
  <si>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</si>
  <si>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</si>
  <si>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</si>
  <si>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</si>
  <si>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</si>
  <si>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</si>
  <si>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</si>
  <si>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</si>
  <si>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</si>
  <si>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</si>
  <si>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</si>
  <si>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</si>
  <si>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</si>
  <si>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</si>
  <si>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</si>
  <si>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</si>
  <si>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</si>
  <si>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</si>
  <si>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</si>
  <si>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</si>
  <si>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</si>
  <si>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</si>
  <si>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</si>
  <si>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</si>
  <si>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</si>
  <si>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</si>
  <si>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</si>
  <si>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</si>
  <si>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</si>
  <si>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</si>
  <si>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</si>
  <si>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</si>
  <si>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</si>
  <si>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</si>
  <si>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</si>
  <si>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</si>
  <si>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</si>
  <si>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</si>
  <si>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</si>
  <si>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</si>
  <si>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</si>
  <si>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</si>
  <si>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</si>
  <si>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</si>
  <si>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</si>
  <si>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</si>
  <si>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</si>
  <si>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</si>
  <si>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</si>
  <si>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</si>
  <si>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</si>
  <si>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</si>
  <si>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</si>
  <si>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</si>
  <si>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</si>
  <si>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</si>
  <si>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</si>
  <si>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</si>
  <si>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</si>
  <si>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</si>
  <si>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</si>
  <si>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</si>
  <si>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</si>
  <si>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</si>
  <si>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</si>
  <si>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</si>
  <si>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</si>
  <si>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</si>
  <si>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</si>
  <si>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</si>
  <si>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</si>
  <si>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</si>
  <si>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</si>
  <si>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</si>
  <si>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</si>
  <si>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</si>
  <si>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</si>
  <si>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</si>
  <si>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</si>
  <si>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</si>
  <si>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</si>
  <si>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</si>
  <si>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</si>
  <si>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</si>
  <si>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</si>
  <si>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</si>
  <si>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</si>
  <si>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</si>
  <si>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</si>
  <si>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</si>
  <si>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</si>
  <si>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</si>
  <si>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</si>
  <si>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</si>
  <si>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</si>
  <si>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</si>
  <si>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</si>
  <si>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</si>
  <si>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</si>
  <si>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</si>
  <si>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</si>
  <si>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</si>
  <si>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</si>
  <si>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</si>
  <si>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</si>
  <si>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</si>
  <si>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</si>
  <si>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</si>
  <si>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</si>
  <si>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</si>
  <si>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</si>
  <si>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</si>
  <si>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</si>
  <si>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</si>
  <si>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</si>
  <si>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</si>
  <si>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</si>
  <si>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</si>
  <si>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</si>
  <si>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</si>
  <si>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</si>
  <si>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</si>
  <si>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</si>
  <si>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</si>
  <si>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</si>
  <si>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</si>
  <si>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</si>
  <si>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</si>
  <si>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</si>
  <si>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</si>
  <si>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</si>
  <si>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</si>
  <si>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</si>
  <si>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</si>
  <si>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</si>
  <si>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</si>
  <si>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</si>
  <si>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</si>
  <si>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</si>
  <si>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</si>
  <si>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</si>
  <si>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</si>
  <si>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</si>
  <si>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</si>
  <si>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</si>
  <si>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</si>
  <si>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</si>
  <si>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</si>
  <si>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</si>
  <si>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</si>
  <si>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</si>
  <si>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</si>
  <si>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</si>
  <si>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</si>
  <si>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</si>
  <si>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</si>
  <si>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</si>
  <si>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</si>
  <si>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</si>
  <si>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</si>
  <si>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</si>
  <si>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</si>
  <si>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</si>
  <si>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</si>
  <si>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</si>
  <si>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</si>
  <si>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</si>
  <si>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</si>
  <si>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</si>
  <si>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</si>
  <si>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</si>
  <si>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</si>
  <si>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</si>
  <si>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</si>
  <si>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</si>
  <si>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</si>
  <si>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</si>
  <si>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</si>
  <si>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</si>
  <si>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</si>
  <si>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</si>
  <si>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</si>
  <si>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</si>
  <si>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</si>
  <si>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</si>
  <si>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</si>
  <si>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</si>
  <si>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</si>
  <si>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</si>
  <si>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</si>
  <si>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</si>
  <si>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</si>
  <si>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</si>
  <si>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</si>
  <si>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</si>
  <si>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</si>
  <si>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</si>
  <si>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</si>
  <si>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</si>
  <si>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</si>
  <si>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</si>
  <si>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</si>
  <si>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</si>
  <si>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</si>
  <si>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</si>
  <si>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</si>
  <si>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</si>
  <si>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</si>
  <si>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</si>
  <si>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</si>
  <si>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</si>
  <si>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</si>
  <si>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</si>
  <si>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</si>
  <si>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</si>
  <si>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</si>
  <si>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</si>
  <si>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</si>
  <si>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</si>
  <si>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</si>
  <si>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</si>
  <si>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</si>
  <si>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</si>
  <si>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</si>
  <si>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</si>
  <si>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</si>
  <si>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</si>
  <si>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</si>
  <si>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</si>
  <si>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</si>
  <si>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</si>
  <si>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</si>
  <si>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</si>
  <si>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</si>
  <si>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</si>
  <si>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</si>
  <si>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</si>
  <si>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</si>
  <si>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</si>
  <si>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</si>
  <si>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</si>
  <si>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</si>
  <si>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</si>
  <si>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</si>
  <si>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</si>
  <si>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</si>
  <si>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</si>
  <si>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</si>
  <si>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</si>
  <si>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</si>
  <si>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</si>
  <si>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</si>
  <si>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</si>
  <si>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</si>
  <si>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</si>
  <si>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</si>
  <si>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</si>
  <si>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</si>
  <si>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</si>
  <si>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</si>
  <si>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</si>
  <si>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</si>
  <si>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</si>
  <si>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</si>
  <si>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</si>
  <si>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</si>
  <si>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</si>
  <si>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</si>
  <si>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</si>
  <si>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</si>
  <si>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</si>
  <si>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</si>
  <si>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</si>
  <si>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</si>
  <si>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</si>
  <si>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</si>
  <si>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</si>
  <si>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</si>
  <si>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</si>
  <si>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</si>
  <si>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</si>
  <si>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</si>
  <si>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</si>
  <si>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</si>
  <si>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</si>
  <si>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</si>
  <si>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</si>
  <si>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</si>
  <si>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</si>
  <si>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</si>
  <si>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</si>
  <si>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</si>
  <si>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</si>
  <si>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</si>
  <si>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</si>
  <si>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</si>
  <si>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</si>
  <si>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</si>
  <si>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</si>
  <si>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</si>
  <si>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</si>
  <si>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</si>
  <si>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</si>
  <si>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</si>
  <si>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</si>
  <si>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</si>
  <si>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</si>
  <si>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</si>
  <si>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</si>
  <si>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</si>
  <si>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</si>
  <si>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</si>
  <si>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</si>
  <si>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</si>
  <si>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</si>
  <si>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</si>
  <si>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</si>
  <si>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</si>
  <si>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</si>
  <si>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</si>
  <si>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</si>
  <si>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</si>
  <si>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</si>
  <si>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</si>
  <si>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</si>
  <si>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</si>
  <si>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</si>
  <si>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</si>
  <si>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</si>
  <si>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</si>
  <si>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</si>
  <si>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</si>
  <si>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</si>
  <si>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</si>
  <si>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</si>
  <si>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</si>
  <si>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</si>
  <si>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</si>
  <si>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</si>
  <si>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</si>
  <si>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</si>
  <si>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</si>
  <si>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</si>
  <si>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</si>
  <si>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</si>
  <si>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</si>
  <si>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</si>
  <si>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</si>
  <si>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</si>
  <si>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</si>
  <si>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</si>
  <si>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</si>
  <si>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</si>
  <si>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</si>
  <si>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</si>
  <si>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</si>
  <si>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</si>
  <si>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</si>
  <si>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</si>
  <si>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</si>
  <si>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</si>
  <si>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</si>
  <si>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</si>
  <si>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</si>
  <si>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</si>
  <si>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</si>
  <si>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</si>
  <si>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</si>
  <si>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</si>
  <si>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</si>
  <si>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</si>
  <si>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</si>
  <si>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</si>
  <si>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</si>
  <si>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</si>
  <si>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</si>
  <si>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</si>
  <si>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</si>
  <si>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</si>
  <si>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</si>
  <si>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</si>
  <si>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</si>
  <si>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</si>
  <si>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</si>
  <si>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</si>
  <si>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</si>
  <si>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</si>
  <si>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</si>
  <si>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</si>
  <si>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</si>
  <si>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</si>
  <si>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</si>
  <si>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</si>
  <si>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</si>
  <si>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</si>
  <si>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</si>
  <si>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</si>
  <si>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</si>
  <si>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</si>
  <si>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</si>
  <si>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</si>
  <si>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</si>
  <si>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</si>
  <si>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</si>
  <si>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</si>
  <si>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</si>
  <si>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</si>
  <si>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</si>
  <si>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</si>
  <si>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</si>
  <si>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</si>
  <si>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</si>
  <si>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</si>
  <si>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</si>
  <si>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</si>
  <si>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</si>
  <si>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</si>
  <si>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</si>
  <si>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</si>
  <si>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</si>
  <si>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</si>
  <si>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</si>
  <si>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</si>
  <si>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</si>
  <si>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</si>
  <si>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</si>
  <si>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</si>
  <si>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</si>
  <si>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</si>
  <si>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</si>
  <si>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</si>
  <si>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</si>
  <si>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</si>
  <si>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</si>
  <si>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</si>
  <si>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</si>
  <si>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</si>
  <si>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</si>
  <si>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</si>
  <si>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</si>
  <si>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</si>
  <si>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</si>
  <si>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</si>
  <si>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</si>
  <si>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</si>
  <si>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</si>
  <si>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</si>
  <si>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</si>
  <si>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</si>
  <si>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</si>
  <si>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</si>
  <si>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</si>
  <si>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</si>
  <si>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</si>
  <si>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</si>
  <si>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</si>
  <si>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</si>
  <si>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</si>
  <si>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</si>
  <si>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</si>
  <si>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</si>
  <si>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</si>
  <si>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</si>
  <si>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</si>
  <si>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</si>
  <si>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</si>
  <si>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</si>
  <si>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</si>
  <si>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</si>
  <si>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</si>
  <si>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</si>
  <si>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</si>
  <si>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</si>
  <si>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</si>
  <si>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</si>
  <si>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</si>
  <si>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</si>
  <si>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</si>
  <si>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</si>
  <si>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</si>
  <si>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</si>
  <si>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</si>
  <si>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</si>
  <si>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</si>
  <si>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</si>
  <si>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</si>
  <si>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</si>
  <si>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</si>
  <si>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</si>
  <si>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</si>
  <si>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</si>
  <si>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</si>
  <si>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</si>
  <si>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</si>
  <si>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</si>
  <si>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</si>
  <si>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</si>
  <si>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</si>
  <si>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</si>
  <si>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</si>
  <si>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</si>
  <si>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</si>
  <si>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</si>
  <si>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</si>
  <si>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</si>
  <si>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</si>
  <si>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</si>
  <si>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</si>
  <si>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</si>
  <si>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</si>
  <si>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</si>
  <si>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</si>
  <si>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</si>
  <si>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</si>
  <si>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</si>
  <si>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</si>
  <si>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</si>
  <si>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</si>
  <si>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</si>
  <si>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</si>
  <si>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</si>
  <si>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</si>
  <si>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</si>
  <si>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</si>
  <si>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</si>
  <si>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</si>
  <si>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</si>
  <si>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</si>
  <si>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</si>
  <si>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</si>
  <si>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</si>
  <si>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</si>
  <si>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</si>
  <si>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</si>
  <si>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</si>
  <si>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</si>
  <si>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</si>
  <si>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</si>
  <si>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</si>
  <si>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</si>
  <si>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</si>
  <si>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</si>
  <si>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</si>
  <si>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</si>
  <si>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</si>
  <si>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</si>
  <si>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</si>
  <si>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</si>
  <si>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</si>
  <si>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</si>
  <si>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</si>
  <si>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</si>
  <si>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</si>
  <si>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</si>
  <si>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</si>
  <si>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</si>
  <si>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</si>
  <si>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</si>
  <si>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</si>
  <si>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</si>
  <si>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</si>
  <si>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</si>
  <si>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</si>
  <si>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</si>
  <si>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</si>
  <si>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</si>
  <si>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</si>
  <si>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</si>
  <si>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</si>
  <si>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</si>
  <si>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</si>
  <si>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</si>
  <si>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</si>
  <si>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</si>
  <si>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</si>
  <si>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</si>
  <si>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</si>
  <si>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</si>
  <si>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</si>
  <si>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</si>
  <si>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</si>
  <si>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</si>
  <si>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</si>
  <si>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</si>
  <si>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</si>
  <si>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</si>
  <si>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</si>
  <si>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</si>
  <si>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</si>
  <si>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</si>
  <si>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</si>
  <si>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</si>
  <si>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</si>
  <si>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</si>
  <si>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</si>
  <si>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</si>
  <si>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</si>
  <si>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</si>
  <si>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</si>
  <si>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</si>
  <si>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</si>
  <si>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</si>
  <si>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</si>
  <si>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</si>
  <si>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</si>
  <si>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</si>
  <si>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</si>
  <si>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</si>
  <si>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</si>
  <si>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</si>
  <si>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</si>
  <si>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</si>
  <si>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</si>
  <si>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</si>
  <si>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</si>
  <si>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</si>
  <si>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</si>
  <si>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</si>
  <si>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</si>
  <si>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</si>
  <si>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</si>
  <si>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</si>
  <si>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</si>
  <si>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</si>
  <si>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</si>
  <si>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</si>
  <si>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</si>
  <si>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</si>
  <si>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</si>
  <si>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</si>
  <si>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</si>
  <si>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</si>
  <si>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</si>
  <si>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</si>
  <si>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</si>
  <si>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</si>
  <si>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</si>
  <si>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</si>
  <si>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</si>
  <si>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</si>
  <si>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</si>
  <si>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</si>
  <si>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</si>
  <si>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</si>
  <si>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</si>
  <si>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</si>
  <si>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</si>
  <si>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</si>
  <si>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</si>
  <si>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</si>
  <si>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</si>
  <si>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</si>
  <si>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</si>
  <si>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</si>
  <si>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</si>
  <si>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</si>
  <si>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</si>
  <si>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</si>
  <si>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</si>
  <si>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</si>
  <si>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</si>
  <si>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</si>
  <si>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</si>
  <si>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</si>
  <si>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</si>
  <si>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</si>
  <si>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</si>
  <si>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</si>
  <si>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</si>
  <si>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</si>
  <si>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</si>
  <si>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</si>
  <si>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</si>
  <si>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</si>
  <si>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</si>
  <si>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</si>
  <si>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</si>
  <si>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</si>
  <si>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</si>
  <si>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</si>
  <si>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</si>
  <si>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</si>
  <si>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</si>
  <si>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</si>
  <si>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</si>
  <si>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</si>
  <si>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</si>
  <si>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</si>
  <si>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</si>
  <si>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</si>
  <si>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</si>
  <si>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</si>
  <si>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</si>
  <si>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</si>
  <si>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</si>
  <si>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</si>
  <si>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</si>
  <si>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</si>
  <si>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</si>
  <si>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</si>
  <si>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</si>
  <si>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</si>
  <si>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</si>
  <si>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</si>
  <si>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</si>
  <si>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</si>
  <si>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</si>
  <si>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</si>
  <si>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</si>
  <si>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</si>
  <si>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</si>
  <si>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</si>
  <si>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</si>
  <si>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</si>
  <si>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</si>
  <si>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</si>
  <si>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</si>
  <si>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</si>
  <si>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</si>
  <si>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</si>
  <si>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</si>
  <si>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</si>
  <si>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</si>
  <si>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</si>
  <si>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</si>
  <si>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</si>
  <si>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</si>
  <si>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</si>
  <si>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</si>
  <si>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</si>
  <si>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</si>
  <si>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</si>
  <si>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</si>
  <si>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</si>
  <si>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</si>
  <si>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</si>
  <si>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</si>
  <si>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</si>
  <si>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</si>
  <si>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</si>
  <si>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</si>
  <si>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</si>
  <si>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</si>
  <si>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</si>
  <si>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</si>
  <si>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</si>
  <si>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</si>
  <si>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</si>
  <si>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</si>
  <si>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</si>
  <si>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</si>
  <si>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</si>
  <si>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</si>
  <si>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</si>
  <si>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</si>
  <si>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</si>
  <si>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</si>
  <si>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</si>
  <si>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</si>
  <si>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</si>
  <si>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</si>
  <si>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</si>
  <si>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</si>
  <si>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</si>
  <si>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</si>
  <si>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</si>
  <si>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</si>
  <si>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</si>
  <si>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</si>
  <si>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</si>
  <si>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</si>
  <si>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</si>
  <si>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</si>
  <si>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</si>
  <si>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</si>
  <si>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</si>
  <si>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</si>
  <si>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</si>
  <si>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</si>
  <si>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</si>
  <si>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</si>
  <si>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</si>
  <si>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</si>
  <si>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</si>
  <si>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</si>
  <si>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</si>
  <si>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</si>
  <si>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</si>
  <si>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</si>
  <si>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</si>
  <si>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</si>
  <si>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</si>
  <si>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</si>
  <si>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</si>
  <si>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</si>
  <si>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</si>
  <si>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</si>
  <si>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</si>
  <si>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</si>
  <si>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</si>
  <si>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</si>
  <si>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</si>
  <si>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</si>
  <si>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</si>
  <si>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</si>
  <si>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</si>
  <si>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</si>
  <si>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</si>
  <si>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</si>
  <si>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</si>
  <si>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</si>
  <si>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</si>
  <si>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</si>
  <si>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</si>
  <si>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</si>
  <si>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</si>
  <si>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</si>
  <si>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</si>
  <si>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</si>
  <si>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</si>
  <si>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</si>
  <si>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</si>
  <si>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</si>
  <si>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</si>
  <si>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</si>
  <si>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</si>
  <si>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</si>
  <si>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</si>
  <si>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</si>
  <si>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</si>
  <si>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</si>
  <si>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</si>
  <si>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</si>
  <si>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</si>
  <si>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</si>
  <si>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</si>
  <si>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</si>
  <si>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</si>
  <si>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</si>
  <si>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</si>
  <si>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</si>
  <si>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</si>
  <si>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</si>
  <si>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</si>
  <si>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</si>
  <si>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</si>
  <si>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</si>
  <si>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</si>
  <si>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</si>
  <si>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</si>
  <si>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</si>
  <si>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</si>
  <si>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</si>
  <si>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</si>
  <si>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</si>
  <si>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</si>
  <si>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</si>
  <si>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</si>
  <si>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</si>
  <si>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</si>
  <si>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</si>
  <si>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</si>
  <si>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</si>
  <si>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</si>
  <si>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</si>
  <si>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</si>
  <si>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</si>
  <si>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</si>
  <si>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</si>
  <si>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</si>
  <si>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</si>
  <si>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</si>
  <si>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</si>
  <si>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</si>
  <si>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</si>
  <si>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</si>
  <si>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</si>
  <si>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</si>
  <si>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</si>
  <si>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</si>
  <si>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Noise Temperature Calculator (after first LNA - see block diagram for more details)</t>
  </si>
  <si>
    <t>Transceiver - AX5043</t>
  </si>
  <si>
    <t>MiniCirc BPF-C450+</t>
  </si>
  <si>
    <t>Qorvo QPC1022</t>
  </si>
  <si>
    <t>SAW - Mur. SF2446E</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</si>
  <si>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</si>
  <si>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</si>
  <si>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</si>
  <si>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</si>
  <si>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</si>
  <si>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</si>
  <si>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</si>
  <si>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</si>
  <si>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</si>
  <si>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</si>
  <si>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</si>
  <si>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</si>
  <si>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</si>
  <si>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</si>
  <si>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</si>
  <si>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</si>
  <si>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</si>
  <si>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</si>
  <si>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</si>
  <si>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</si>
  <si>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</si>
  <si>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</si>
  <si>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</si>
  <si>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</si>
  <si>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</si>
  <si>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</si>
  <si>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</si>
  <si>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</si>
  <si>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</si>
  <si>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</si>
  <si>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</si>
  <si>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</si>
  <si>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</si>
  <si>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</si>
  <si>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</si>
  <si>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</si>
  <si>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</si>
  <si>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</si>
  <si>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</si>
  <si>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</si>
  <si>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</si>
  <si>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</si>
  <si>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</si>
  <si>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</si>
  <si>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</si>
  <si>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</si>
  <si>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</si>
  <si>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</si>
  <si>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</si>
  <si>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</si>
  <si>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</si>
  <si>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</si>
  <si>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</si>
  <si>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</si>
  <si>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</si>
  <si>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</si>
  <si>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</si>
  <si>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</si>
  <si>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</si>
  <si>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</si>
  <si>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</si>
  <si>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</si>
  <si>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</si>
  <si>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</si>
  <si>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</si>
  <si>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</si>
  <si>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</si>
  <si>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</si>
  <si>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</si>
  <si>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</si>
  <si>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</si>
  <si>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</si>
  <si>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</si>
  <si>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</si>
  <si>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</si>
  <si>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</si>
  <si>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</si>
  <si>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</si>
  <si>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</si>
  <si>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</si>
  <si>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</si>
  <si>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2.04</t>
  </si>
  <si>
    <t>Connectors  X  0.066 dB/con. =</t>
  </si>
  <si>
    <t>SMPM @ 440</t>
  </si>
  <si>
    <t>Calculated</t>
  </si>
  <si>
    <t>X .066 dB/Con.=</t>
  </si>
  <si>
    <t>Canted Turnstyle (back)</t>
  </si>
  <si>
    <t>VSWR 1.2 ??</t>
  </si>
  <si>
    <t>Infineon BGB707L7ESD</t>
  </si>
  <si>
    <t>Elevation:</t>
  </si>
  <si>
    <t>Link Losses:</t>
  </si>
  <si>
    <t>NA</t>
  </si>
  <si>
    <t>Linear</t>
  </si>
  <si>
    <t>RG-58</t>
  </si>
  <si>
    <t>Receiver</t>
  </si>
  <si>
    <t>Bn = 20 dB-Hz (100Hz)</t>
  </si>
  <si>
    <t>C/N = 3 dB for average DXer</t>
  </si>
  <si>
    <t>BEACON</t>
  </si>
  <si>
    <t>C/No = C/N + Bn</t>
  </si>
  <si>
    <t>C/No Threshold:</t>
  </si>
  <si>
    <t>OreSat1</t>
  </si>
  <si>
    <t>OreSat1_link_model_v2.5.5a_beacon</t>
  </si>
  <si>
    <t xml:space="preserve"> Version: 2.5.5a</t>
  </si>
  <si>
    <t>2019 September 16</t>
  </si>
  <si>
    <t>10WPM OOK</t>
  </si>
  <si>
    <t>7-element Yagi</t>
  </si>
  <si>
    <t>Arrow II Satellite - http://www.arrowantennas.com/arrowii/146-437.html</t>
  </si>
  <si>
    <t xml:space="preserve">  AMSAT ZRO Test</t>
  </si>
  <si>
    <t>C/N = -0.6 dB</t>
  </si>
  <si>
    <t xml:space="preserve">  - Median value based on</t>
  </si>
  <si>
    <t xml:space="preserve">  - 10 WPM C.W. in 100 Hz</t>
  </si>
  <si>
    <t>C.W. Beacon - 436.5 MHz C.W. in 100Hz using Handheld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</si>
</sst>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 numFmtId="201" formatCode="0\ &quot;Hz&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80">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201" fontId="1" fillId="4" borderId="6" xfId="8" applyNumberFormat="1" applyFill="1" applyBorder="1" applyAlignment="1">
      <alignment horizontal="center"/>
    </xf>
    <xf numFmtId="0" fontId="6" fillId="0" borderId="0" xfId="0" applyFont="1"/>
    <xf numFmtId="0" fontId="6" fillId="3" borderId="24" xfId="8" applyFont="1" applyFill="1" applyBorder="1"/>
    <xf numFmtId="0" fontId="36" fillId="13" borderId="4" xfId="8"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8</xdr:col>
      <xdr:colOff>260350</xdr:colOff>
      <xdr:row>106</xdr:row>
      <xdr:rowOff>88900</xdr:rowOff>
    </xdr:from>
    <xdr:to>
      <xdr:col>16</xdr:col>
      <xdr:colOff>513080</xdr:colOff>
      <xdr:row>106</xdr:row>
      <xdr:rowOff>88900</xdr:rowOff>
    </xdr:to>
    <xdr:cxnSp macro="">
      <xdr:nvCxnSpPr>
        <xdr:cNvPr id="56" name="Straight Connector 55">
          <a:extLst>
            <a:ext uri="{FF2B5EF4-FFF2-40B4-BE49-F238E27FC236}">
              <a16:creationId xmlns:a16="http://schemas.microsoft.com/office/drawing/2014/main" id="{C4AA6573-95D1-4160-B812-E24278A0984F}"/>
            </a:ext>
          </a:extLst>
        </xdr:cNvPr>
        <xdr:cNvCxnSpPr/>
      </xdr:nvCxnSpPr>
      <xdr:spPr bwMode="auto">
        <a:xfrm>
          <a:off x="5772150" y="17494250"/>
          <a:ext cx="566928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twoCellAnchor>
    <xdr:from>
      <xdr:col>9</xdr:col>
      <xdr:colOff>546100</xdr:colOff>
      <xdr:row>4</xdr:row>
      <xdr:rowOff>88900</xdr:rowOff>
    </xdr:from>
    <xdr:to>
      <xdr:col>12</xdr:col>
      <xdr:colOff>298450</xdr:colOff>
      <xdr:row>4</xdr:row>
      <xdr:rowOff>88900</xdr:rowOff>
    </xdr:to>
    <xdr:cxnSp macro="">
      <xdr:nvCxnSpPr>
        <xdr:cNvPr id="61" name="Straight Connector 60">
          <a:extLst>
            <a:ext uri="{FF2B5EF4-FFF2-40B4-BE49-F238E27FC236}">
              <a16:creationId xmlns:a16="http://schemas.microsoft.com/office/drawing/2014/main" id="{EBED7F40-3650-4FBE-A8FF-7CF18063A724}"/>
            </a:ext>
          </a:extLst>
        </xdr:cNvPr>
        <xdr:cNvCxnSpPr/>
      </xdr:nvCxnSpPr>
      <xdr:spPr bwMode="auto">
        <a:xfrm>
          <a:off x="6819900" y="844550"/>
          <a:ext cx="182880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8</xdr:col>
      <xdr:colOff>458049</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38404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486834</xdr:colOff>
      <xdr:row>83</xdr:row>
      <xdr:rowOff>65621</xdr:rowOff>
    </xdr:from>
    <xdr:to>
      <xdr:col>7</xdr:col>
      <xdr:colOff>5292</xdr:colOff>
      <xdr:row>88</xdr:row>
      <xdr:rowOff>63503</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533247" y="13518625"/>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65621</xdr:colOff>
      <xdr:row>84</xdr:row>
      <xdr:rowOff>43390</xdr:rowOff>
    </xdr:from>
    <xdr:to>
      <xdr:col>5</xdr:col>
      <xdr:colOff>94192</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2520954"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498478</xdr:colOff>
      <xdr:row>84</xdr:row>
      <xdr:rowOff>42331</xdr:rowOff>
    </xdr:from>
    <xdr:to>
      <xdr:col>8</xdr:col>
      <xdr:colOff>545043</xdr:colOff>
      <xdr:row>87</xdr:row>
      <xdr:rowOff>77258</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795311" y="13631331"/>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13762</xdr:colOff>
      <xdr:row>80</xdr:row>
      <xdr:rowOff>58208</xdr:rowOff>
    </xdr:from>
    <xdr:to>
      <xdr:col>8</xdr:col>
      <xdr:colOff>463975</xdr:colOff>
      <xdr:row>89</xdr:row>
      <xdr:rowOff>120014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310595" y="13012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6.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9" t="s">
        <v>1078</v>
      </c>
      <c r="H1" s="1060"/>
      <c r="I1" s="1056" t="s">
        <v>957</v>
      </c>
      <c r="J1" s="1057"/>
      <c r="K1" s="1057"/>
      <c r="L1" s="1057"/>
      <c r="M1" s="1058"/>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1076</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1087</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1077</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1079</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1028</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September 16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1">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1">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31" zoomScale="120" zoomScaleNormal="120" workbookViewId="0">
      <selection activeCell="F53" sqref="F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September 16</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980</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980</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981</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981</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10WPM OOK</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19.399999999999999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980</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980</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981</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1080</v>
      </c>
      <c r="D53" s="69" t="s">
        <v>847</v>
      </c>
      <c r="E53" s="78" t="s">
        <v>1067</v>
      </c>
      <c r="F53" s="77">
        <v>19.399999999999999</v>
      </c>
      <c r="G53" s="394"/>
      <c r="H53" s="394" t="s">
        <v>1074</v>
      </c>
      <c r="I53" s="233"/>
      <c r="J53" s="233"/>
      <c r="K53" s="233"/>
      <c r="L53" s="233"/>
      <c r="M53" s="233"/>
      <c r="N53" s="233"/>
      <c r="O53" s="233"/>
      <c r="P53" s="233"/>
      <c r="Q53" s="233"/>
      <c r="R53" s="233"/>
      <c r="S53" s="233"/>
      <c r="T53" s="233"/>
      <c r="U53" s="233"/>
    </row>
    <row r="54" spans="1:21" ht="13.5" thickBot="1">
      <c r="A54" s="233"/>
      <c r="B54" s="233"/>
      <c r="C54" s="233"/>
      <c r="D54" s="246" t="s">
        <v>330</v>
      </c>
      <c r="E54" s="233"/>
      <c r="F54" s="245"/>
      <c r="G54" s="394"/>
      <c r="H54" s="1053" t="s">
        <v>1072</v>
      </c>
      <c r="I54" s="233"/>
      <c r="J54" s="233"/>
      <c r="K54" s="233"/>
      <c r="L54" s="233"/>
      <c r="M54" s="233"/>
      <c r="N54" s="233"/>
      <c r="O54" s="233"/>
      <c r="P54" s="233"/>
      <c r="Q54" s="233"/>
      <c r="R54" s="233"/>
      <c r="S54" s="233"/>
      <c r="T54" s="233"/>
      <c r="U54" s="233"/>
    </row>
    <row r="55" spans="1:21" ht="16" thickBot="1">
      <c r="A55" s="233"/>
      <c r="B55" s="233"/>
      <c r="C55" s="233"/>
      <c r="D55" s="637" t="s">
        <v>857</v>
      </c>
      <c r="E55" s="638">
        <v>0</v>
      </c>
      <c r="F55" s="71" t="s">
        <v>757</v>
      </c>
      <c r="G55" s="394"/>
      <c r="H55" s="394" t="s">
        <v>1071</v>
      </c>
      <c r="I55" s="233"/>
      <c r="J55" s="233"/>
      <c r="K55" s="233"/>
      <c r="L55" s="233"/>
      <c r="M55" s="233"/>
      <c r="N55" s="233"/>
      <c r="O55" s="233"/>
      <c r="P55" s="233"/>
      <c r="Q55" s="233"/>
      <c r="R55" s="233"/>
      <c r="S55" s="233"/>
      <c r="T55" s="233"/>
      <c r="U55" s="233"/>
    </row>
    <row r="56" spans="1:21" ht="13">
      <c r="A56" s="233"/>
      <c r="B56" s="345" t="s">
        <v>140</v>
      </c>
      <c r="C56" s="233"/>
      <c r="D56" s="233"/>
      <c r="E56" s="233"/>
      <c r="F56" s="233"/>
      <c r="G56" s="394"/>
      <c r="H56" s="394"/>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8" sqref="B2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September 16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146.76388072283868</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-135.75112239475177</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69.059334273539037</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19.059334273539037</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8.1593342735390362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-136.06468239475177</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17.298421682982251</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6.3984216829822511</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34" zoomScale="120" zoomScaleNormal="120" workbookViewId="0">
      <selection activeCell="B28" sqref="B28"/>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September 16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0.1</v>
      </c>
      <c r="C6" s="91" t="s">
        <v>781</v>
      </c>
      <c r="D6" s="419" t="s">
        <v>384</v>
      </c>
      <c r="E6" s="419"/>
      <c r="F6" s="419"/>
      <c r="G6" s="419"/>
      <c r="H6" s="419"/>
      <c r="I6" s="419"/>
      <c r="J6" s="419"/>
      <c r="K6" s="91"/>
      <c r="L6" s="420" t="s">
        <v>380</v>
      </c>
      <c r="M6" s="411"/>
      <c r="N6" s="411"/>
      <c r="O6" s="411"/>
      <c r="P6" s="411"/>
      <c r="Q6" s="410"/>
      <c r="R6" s="91"/>
    </row>
    <row r="7" spans="1:18">
      <c r="A7" s="424" t="s">
        <v>787</v>
      </c>
      <c r="B7" s="132">
        <f>10*LOG10(B6)</f>
        <v>-10</v>
      </c>
      <c r="C7" s="91" t="s">
        <v>782</v>
      </c>
      <c r="D7" s="419" t="s">
        <v>376</v>
      </c>
      <c r="E7" s="419"/>
      <c r="F7" s="419"/>
      <c r="G7" s="419"/>
      <c r="H7" s="419"/>
      <c r="I7" s="419"/>
      <c r="J7" s="419"/>
      <c r="K7" s="91"/>
      <c r="L7" s="91"/>
      <c r="M7" s="91"/>
      <c r="N7" s="91"/>
      <c r="O7" s="91"/>
      <c r="P7" s="91"/>
      <c r="Q7" s="91"/>
      <c r="R7" s="91"/>
    </row>
    <row r="8" spans="1:18">
      <c r="A8" s="424" t="s">
        <v>788</v>
      </c>
      <c r="B8" s="347">
        <f>B7+30</f>
        <v>20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-9.4235600000000002</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146.76388072283868</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-158.04487863043641</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5.7323012398843479E-2</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7</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1.5</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567.15529348622215</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-22.037019898804896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48.460778458359826</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100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20</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28.460778458359826</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10WPM OOK</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t="str">
        <f>INDEX('Modulation-Demodulation Method'!E34:E53,'Modulation-Demodulation Method'!E31,1)</f>
        <v>NA</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19.399999999999999</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19.399999999999999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9.0607784583598274</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5.7323012398843479E-2</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7</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1.5</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567.15529348622215</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-22.037019898804896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-152.60220164283527</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-181.06298010119511</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28.46077845835984</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19.399999999999999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9.0607784583598416</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2" sqref="Q2"/>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 width="3.81640625" style="977" customWidth="1"/>
    <col min="17" max="17" width="27.6328125" style="977" customWidth="1"/>
    <col min="18" max="16384" width="8.81640625" style="977"/>
  </cols>
  <sheetData>
    <row r="1" spans="1:17" ht="18.5" thickBot="1">
      <c r="A1" s="975" t="s">
        <v>416</v>
      </c>
      <c r="B1" s="976"/>
      <c r="C1" s="976"/>
      <c r="D1" s="976"/>
      <c r="E1" s="976"/>
      <c r="F1" s="976"/>
      <c r="G1" s="976"/>
      <c r="H1" s="976"/>
      <c r="I1" s="1051" t="str">
        <f>'Title Page'!F3 &amp; "  /  " &amp; 'Title Page'!F16</f>
        <v>OreSat1  /  C.W. Beacon - 436.5 MHz C.W. in 100Hz using Handheld</v>
      </c>
      <c r="J1" s="976"/>
      <c r="K1" s="1049"/>
      <c r="L1" s="976"/>
      <c r="M1" s="1049"/>
      <c r="N1" s="1049"/>
      <c r="O1" s="1049"/>
      <c r="P1" s="1049"/>
      <c r="Q1" s="1050" t="str">
        <f>'Title Page'!F23</f>
        <v>2019 September 16</v>
      </c>
    </row>
    <row r="2" spans="1:17" ht="13">
      <c r="A2" s="978"/>
      <c r="B2" s="1076" t="s">
        <v>1018</v>
      </c>
      <c r="C2" s="1076"/>
      <c r="D2" s="979"/>
      <c r="E2" s="979"/>
      <c r="F2" s="979"/>
      <c r="G2" s="979" t="s">
        <v>715</v>
      </c>
      <c r="H2" s="980"/>
      <c r="I2" s="981"/>
      <c r="J2" s="1076" t="s">
        <v>1073</v>
      </c>
      <c r="K2" s="1076"/>
      <c r="L2" s="979"/>
      <c r="M2" s="979"/>
      <c r="N2" s="979"/>
      <c r="O2" s="979"/>
      <c r="P2" s="979"/>
      <c r="Q2" s="980"/>
    </row>
    <row r="3" spans="1:17" ht="15" customHeight="1">
      <c r="A3" s="982"/>
      <c r="B3" s="1077" t="s">
        <v>1019</v>
      </c>
      <c r="C3" s="1078"/>
      <c r="D3" s="983"/>
      <c r="E3" s="984" t="s">
        <v>753</v>
      </c>
      <c r="F3" s="985">
        <f>Frequency!M10</f>
        <v>436.5</v>
      </c>
      <c r="G3" s="983"/>
      <c r="H3" s="986"/>
      <c r="I3" s="982"/>
      <c r="J3" s="1077" t="s">
        <v>423</v>
      </c>
      <c r="K3" s="1079"/>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1029</v>
      </c>
      <c r="B5" s="988" t="s">
        <v>1030</v>
      </c>
      <c r="C5" s="989">
        <f>'Uplink Budget'!B30</f>
        <v>19.059334273539037</v>
      </c>
      <c r="D5" s="983"/>
      <c r="E5" s="990" t="s">
        <v>418</v>
      </c>
      <c r="F5" s="991">
        <f>'Uplink Budget'!B43</f>
        <v>8.1593342735390362</v>
      </c>
      <c r="G5" s="992" t="str">
        <f>IF(F5&lt;0,"NO LINK !",IF(F5&lt;6,"MARGINAL LINK",IF(F5&gt;6,"LINK CLOSES")))</f>
        <v>LINK CLOSES</v>
      </c>
      <c r="H5" s="986"/>
      <c r="I5" s="982"/>
      <c r="J5" s="983"/>
      <c r="K5" s="988" t="s">
        <v>1020</v>
      </c>
      <c r="L5" s="993">
        <f>'Downlink Budget'!B28</f>
        <v>100</v>
      </c>
      <c r="M5" s="983"/>
      <c r="N5" s="983"/>
      <c r="O5" s="983"/>
      <c r="P5" s="983"/>
      <c r="Q5" s="986"/>
    </row>
    <row r="6" spans="1:17" ht="13" thickBot="1">
      <c r="A6" s="982"/>
      <c r="B6" s="983"/>
      <c r="C6" s="983"/>
      <c r="D6" s="983"/>
      <c r="E6" s="983"/>
      <c r="F6" s="983"/>
      <c r="G6" s="994" t="s">
        <v>715</v>
      </c>
      <c r="H6" s="986"/>
      <c r="I6" s="982"/>
      <c r="J6" s="983"/>
      <c r="K6" s="983"/>
      <c r="L6" s="983"/>
      <c r="M6" s="983"/>
      <c r="N6" s="1067" t="s">
        <v>1021</v>
      </c>
      <c r="O6" s="1068"/>
      <c r="P6" s="983"/>
      <c r="Q6" s="986"/>
    </row>
    <row r="7" spans="1:17" ht="13.5" thickBot="1">
      <c r="A7" s="987" t="s">
        <v>421</v>
      </c>
      <c r="B7" s="988" t="s">
        <v>1022</v>
      </c>
      <c r="C7" s="989">
        <f>'Uplink Budget'!B61</f>
        <v>17.298421682982251</v>
      </c>
      <c r="D7" s="983"/>
      <c r="E7" s="990" t="s">
        <v>418</v>
      </c>
      <c r="F7" s="991">
        <f>'Uplink Budget'!B65</f>
        <v>6.3984216829822511</v>
      </c>
      <c r="G7" s="992" t="str">
        <f>IF(F7&lt;0,"NO LINK !",IF(F7&lt;6,"MARGINAL LINK",IF(F7&gt;6,"LINK CLOSES")))</f>
        <v>LINK CLOSES</v>
      </c>
      <c r="H7" s="986"/>
      <c r="I7" s="982"/>
      <c r="J7" s="983"/>
      <c r="K7" s="995"/>
      <c r="L7" s="983"/>
      <c r="M7" s="983"/>
      <c r="N7" s="1071" t="str">
        <f>'Downlink Budget'!B32</f>
        <v>10WPM OOK</v>
      </c>
      <c r="O7" s="1072"/>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7" t="s">
        <v>1023</v>
      </c>
      <c r="O9" s="1068"/>
      <c r="P9" s="983"/>
      <c r="Q9" s="986"/>
    </row>
    <row r="10" spans="1:17">
      <c r="A10" s="982"/>
      <c r="B10" s="983"/>
      <c r="C10" s="988" t="s">
        <v>1020</v>
      </c>
      <c r="D10" s="993">
        <f>'Uplink Budget'!B28</f>
        <v>100000</v>
      </c>
      <c r="E10" s="983"/>
      <c r="F10" s="983"/>
      <c r="G10" s="983"/>
      <c r="H10" s="986"/>
      <c r="I10" s="982"/>
      <c r="J10" s="983"/>
      <c r="K10" s="983"/>
      <c r="L10" s="983"/>
      <c r="M10" s="983"/>
      <c r="N10" s="1071" t="str">
        <f>'Downlink Budget'!B33</f>
        <v>None</v>
      </c>
      <c r="O10" s="1072"/>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7" t="s">
        <v>1024</v>
      </c>
      <c r="G13" s="1068"/>
      <c r="H13" s="986"/>
      <c r="I13" s="982"/>
      <c r="J13" s="983"/>
      <c r="K13" s="983"/>
      <c r="L13" s="983"/>
      <c r="M13" s="983"/>
      <c r="N13" s="999" t="s">
        <v>1031</v>
      </c>
      <c r="O13" s="1000">
        <v>9.0999999999999998E-2</v>
      </c>
      <c r="P13" s="983"/>
      <c r="Q13" s="986"/>
    </row>
    <row r="14" spans="1:17">
      <c r="A14" s="982"/>
      <c r="B14" s="983"/>
      <c r="C14" s="983"/>
      <c r="D14" s="983"/>
      <c r="E14" s="983"/>
      <c r="F14" s="1071" t="str">
        <f>'Uplink Budget'!B33</f>
        <v>None</v>
      </c>
      <c r="G14" s="1072"/>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1056</v>
      </c>
      <c r="O15" s="1039">
        <f>O19/O13</f>
        <v>1.098901098901099</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7" t="s">
        <v>1055</v>
      </c>
      <c r="O17" s="1039">
        <f>O15-O19</f>
        <v>0.99890109890109902</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7" t="s">
        <v>1025</v>
      </c>
      <c r="G19" s="1068"/>
      <c r="H19" s="986"/>
      <c r="I19" s="982"/>
      <c r="J19" s="983"/>
      <c r="K19" s="983"/>
      <c r="L19" s="983"/>
      <c r="M19" s="983"/>
      <c r="N19" s="1013" t="s">
        <v>1054</v>
      </c>
      <c r="O19" s="1038">
        <f>Transmitters!E60</f>
        <v>0.1</v>
      </c>
      <c r="P19" s="983"/>
      <c r="Q19" s="986"/>
    </row>
    <row r="20" spans="1:17">
      <c r="A20" s="982"/>
      <c r="B20" s="983"/>
      <c r="C20" s="983"/>
      <c r="D20" s="983"/>
      <c r="E20" s="983"/>
      <c r="F20" s="1071" t="str">
        <f>'Uplink Budget'!B32</f>
        <v>GMSK w/ BT=0.3</v>
      </c>
      <c r="G20" s="1072"/>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1032</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1033</v>
      </c>
      <c r="G25" s="1008">
        <f>'Uplink Budget'!B57</f>
        <v>150000</v>
      </c>
      <c r="H25" s="986"/>
      <c r="I25" s="982"/>
      <c r="J25" s="983"/>
      <c r="K25" s="983"/>
      <c r="L25" s="983"/>
      <c r="M25" s="983"/>
      <c r="N25" s="988" t="s">
        <v>1034</v>
      </c>
      <c r="O25" s="1009">
        <f>Transmitters!I78</f>
        <v>0.39600000000000002</v>
      </c>
      <c r="P25" s="983"/>
      <c r="Q25" s="986"/>
    </row>
    <row r="26" spans="1:17">
      <c r="A26" s="982"/>
      <c r="B26" s="983"/>
      <c r="C26" s="983"/>
      <c r="D26" s="983"/>
      <c r="E26" s="983"/>
      <c r="F26" s="1074" t="s">
        <v>420</v>
      </c>
      <c r="G26" s="1066"/>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1035</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1026</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1036</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1027</v>
      </c>
      <c r="O34" s="1014">
        <f>Transmitters!I87+30</f>
        <v>19.176439999999999</v>
      </c>
      <c r="P34" s="983"/>
      <c r="Q34" s="986"/>
    </row>
    <row r="35" spans="1:17">
      <c r="A35" s="982"/>
      <c r="B35" s="983"/>
      <c r="C35" s="983"/>
      <c r="D35" s="983"/>
      <c r="E35" s="983"/>
      <c r="F35" s="1011" t="s">
        <v>1037</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1038</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999</v>
      </c>
      <c r="G40" s="1020">
        <f>Receivers!J67</f>
        <v>1498.1255053982986</v>
      </c>
      <c r="H40" s="986"/>
      <c r="I40" s="982"/>
      <c r="J40" s="1075" t="str">
        <f>'Antenna Gain'!F41</f>
        <v>Canted Turnstyle (back)</v>
      </c>
      <c r="K40" s="1075"/>
      <c r="L40" s="983"/>
      <c r="M40" s="983"/>
      <c r="N40" s="1002" t="s">
        <v>1039</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1040</v>
      </c>
      <c r="O42" s="1023">
        <f>'Downlink Budget'!B11+30</f>
        <v>20.576439999999998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2" t="s">
        <v>1066</v>
      </c>
      <c r="O44" s="1045" t="s">
        <v>1065</v>
      </c>
      <c r="P44" s="983"/>
      <c r="Q44" s="986"/>
    </row>
    <row r="45" spans="1:17" ht="13">
      <c r="A45" s="982"/>
      <c r="B45" s="983"/>
      <c r="C45" s="983"/>
      <c r="D45" s="983"/>
      <c r="E45" s="983"/>
      <c r="F45" s="1024" t="s">
        <v>1041</v>
      </c>
      <c r="G45" s="989">
        <f>Receivers!F65</f>
        <v>24</v>
      </c>
      <c r="H45" s="986"/>
      <c r="I45" s="982"/>
      <c r="J45" s="983"/>
      <c r="K45" s="983"/>
      <c r="L45" s="983"/>
      <c r="M45" s="983"/>
      <c r="N45" s="1044">
        <f>SUM('Downlink Budget'!B13:B18)+'Downlink Budget'!B22</f>
        <v>148.67864164283526</v>
      </c>
      <c r="O45" s="1048">
        <f>Orbit!B34</f>
        <v>15</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1042</v>
      </c>
      <c r="G47" s="1020">
        <f>Receivers!J63</f>
        <v>35</v>
      </c>
      <c r="H47" s="986"/>
      <c r="I47" s="982"/>
      <c r="J47" s="983"/>
      <c r="K47" s="983"/>
      <c r="L47" s="983"/>
      <c r="M47" s="983"/>
      <c r="N47" s="988" t="s">
        <v>1043</v>
      </c>
      <c r="O47" s="1025">
        <f>'Downlink Budget'!B19+30</f>
        <v>-128.04487863043641</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5" t="str">
        <f>'Antenna Gain'!F58</f>
        <v>7-element Yagi</v>
      </c>
      <c r="K49" s="1075"/>
      <c r="L49" s="983"/>
      <c r="M49" s="983"/>
      <c r="N49" s="988" t="s">
        <v>1044</v>
      </c>
      <c r="O49" s="1026">
        <f>'Downlink Budget'!B23</f>
        <v>7</v>
      </c>
      <c r="P49" s="983"/>
      <c r="Q49" s="986"/>
    </row>
    <row r="50" spans="1:17">
      <c r="A50" s="982"/>
      <c r="B50" s="983"/>
      <c r="C50" s="983"/>
      <c r="D50" s="983"/>
      <c r="E50" s="983"/>
      <c r="F50" s="983"/>
      <c r="G50" s="983"/>
      <c r="H50" s="986"/>
      <c r="I50" s="982"/>
      <c r="J50" s="983"/>
      <c r="K50" s="983"/>
      <c r="L50" s="983"/>
      <c r="M50" s="983"/>
      <c r="N50" s="1002" t="s">
        <v>60</v>
      </c>
      <c r="O50" s="1019" t="str">
        <f>'Antenna Gain'!K58</f>
        <v>Linear</v>
      </c>
      <c r="P50" s="983"/>
      <c r="Q50" s="986"/>
    </row>
    <row r="51" spans="1:17">
      <c r="A51" s="982"/>
      <c r="B51" s="983"/>
      <c r="C51" s="983"/>
      <c r="D51" s="983"/>
      <c r="E51" s="983"/>
      <c r="F51" s="988" t="s">
        <v>1045</v>
      </c>
      <c r="G51" s="1027">
        <f>Receivers!J55</f>
        <v>1.4135599999999999</v>
      </c>
      <c r="H51" s="986"/>
      <c r="I51" s="982"/>
      <c r="J51" s="983"/>
      <c r="K51" s="983"/>
      <c r="L51" s="983"/>
      <c r="M51" s="983"/>
      <c r="N51" s="1002" t="s">
        <v>1039</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1035</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1046</v>
      </c>
      <c r="O55" s="1020">
        <f>Receivers!J130</f>
        <v>290</v>
      </c>
      <c r="P55" s="983"/>
      <c r="Q55" s="986"/>
    </row>
    <row r="56" spans="1:17">
      <c r="A56" s="982"/>
      <c r="B56" s="983"/>
      <c r="C56" s="983"/>
      <c r="D56" s="983"/>
      <c r="E56" s="983"/>
      <c r="F56" s="988" t="s">
        <v>1034</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1032</v>
      </c>
      <c r="G58" s="1007">
        <f>SUM(Receivers!J47:J49)</f>
        <v>7.5599999999999999E-3</v>
      </c>
      <c r="H58" s="986"/>
      <c r="I58" s="982"/>
      <c r="J58" s="983"/>
      <c r="K58" s="983"/>
      <c r="L58" s="983"/>
      <c r="M58" s="983"/>
      <c r="N58" s="988" t="s">
        <v>1032</v>
      </c>
      <c r="O58" s="1007">
        <f>SUM(Receivers!J118:J120)</f>
        <v>0.3</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1034</v>
      </c>
      <c r="O60" s="1009">
        <f>Receivers!J123</f>
        <v>0.2</v>
      </c>
      <c r="P60" s="983"/>
      <c r="Q60" s="986"/>
    </row>
    <row r="61" spans="1:17">
      <c r="A61" s="982"/>
      <c r="B61" s="983"/>
      <c r="C61" s="983"/>
      <c r="D61" s="983"/>
      <c r="E61" s="983"/>
      <c r="F61" s="988" t="s">
        <v>1046</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1035</v>
      </c>
      <c r="O62" s="1009">
        <f>SUM(Receivers!J121:J122)</f>
        <v>1</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1044</v>
      </c>
      <c r="G65" s="1026">
        <f>'Uplink Budget'!B23</f>
        <v>1.4</v>
      </c>
      <c r="H65" s="986"/>
      <c r="I65" s="982"/>
      <c r="J65" s="983"/>
      <c r="K65" s="983"/>
      <c r="L65" s="983"/>
      <c r="M65" s="983"/>
      <c r="N65" s="988" t="s">
        <v>1045</v>
      </c>
      <c r="O65" s="1027">
        <f>Receivers!J126</f>
        <v>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3" t="str">
        <f>'Antenna Gain'!F24</f>
        <v>Canted Turnstyle (back)</v>
      </c>
      <c r="C67" s="1073"/>
      <c r="D67" s="983"/>
      <c r="E67" s="983"/>
      <c r="F67" s="1002" t="s">
        <v>1039</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1047</v>
      </c>
      <c r="G69" s="1025">
        <f>'Uplink Budget'!B19+30</f>
        <v>-105.75112239475177</v>
      </c>
      <c r="H69" s="986"/>
      <c r="I69" s="982"/>
      <c r="J69" s="983"/>
      <c r="K69" s="983"/>
      <c r="L69" s="983"/>
      <c r="M69" s="983"/>
      <c r="N69" s="1024" t="s">
        <v>1042</v>
      </c>
      <c r="O69" s="1020">
        <f>Receivers!J134</f>
        <v>60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2" t="s">
        <v>1066</v>
      </c>
      <c r="G71" s="1046" t="s">
        <v>1065</v>
      </c>
      <c r="H71" s="986"/>
      <c r="I71" s="982"/>
      <c r="J71" s="983"/>
      <c r="K71" s="983"/>
      <c r="L71" s="983"/>
      <c r="M71" s="983"/>
      <c r="N71" s="1024" t="s">
        <v>1041</v>
      </c>
      <c r="O71" s="989">
        <f>Receivers!F136</f>
        <v>6</v>
      </c>
      <c r="P71" s="983"/>
      <c r="Q71" s="986"/>
    </row>
    <row r="72" spans="1:17" ht="13">
      <c r="A72" s="982"/>
      <c r="B72" s="983"/>
      <c r="C72" s="983"/>
      <c r="D72" s="983"/>
      <c r="E72" s="983"/>
      <c r="F72" s="1043">
        <f>SUM('Uplink Budget'!B13:B18)+'Uplink Budget'!B22</f>
        <v>148.93528839475178</v>
      </c>
      <c r="G72" s="1047">
        <f>Orbit!B34</f>
        <v>15</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1048</v>
      </c>
      <c r="G74" s="1029">
        <f>'Uplink Budget'!B11+30</f>
        <v>42.884166</v>
      </c>
      <c r="H74" s="986"/>
      <c r="I74" s="982"/>
      <c r="J74" s="983"/>
      <c r="K74" s="983"/>
      <c r="L74" s="983"/>
      <c r="M74" s="983"/>
      <c r="N74" s="983"/>
      <c r="O74" s="983"/>
      <c r="P74" s="983"/>
      <c r="Q74" s="986"/>
    </row>
    <row r="75" spans="1:17">
      <c r="A75" s="982"/>
      <c r="B75" s="1065" t="str">
        <f>'Antenna Gain'!F11</f>
        <v>Crossed Yagi</v>
      </c>
      <c r="C75" s="1065"/>
      <c r="D75" s="983"/>
      <c r="E75" s="983"/>
      <c r="F75" s="983"/>
      <c r="G75" s="983"/>
      <c r="H75" s="986"/>
      <c r="I75" s="982"/>
      <c r="J75" s="983"/>
      <c r="K75" s="983"/>
      <c r="L75" s="983"/>
      <c r="M75" s="983"/>
      <c r="N75" s="983"/>
      <c r="O75" s="983"/>
      <c r="P75" s="983"/>
      <c r="Q75" s="986"/>
    </row>
    <row r="76" spans="1:17">
      <c r="A76" s="982"/>
      <c r="B76" s="983"/>
      <c r="C76" s="983"/>
      <c r="D76" s="983"/>
      <c r="E76" s="983"/>
      <c r="F76" s="988" t="s">
        <v>1049</v>
      </c>
      <c r="G76" s="1026">
        <f>'Uplink Budget'!B10</f>
        <v>15.5</v>
      </c>
      <c r="H76" s="986"/>
      <c r="I76" s="982"/>
      <c r="J76" s="983"/>
      <c r="K76" s="983"/>
      <c r="L76" s="983"/>
      <c r="M76" s="983"/>
      <c r="N76" s="988" t="s">
        <v>999</v>
      </c>
      <c r="O76" s="1020">
        <f>Receivers!J146</f>
        <v>864.51079460514211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1039</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1037</v>
      </c>
      <c r="O81" s="1015">
        <f>Receivers!J149</f>
        <v>567.15529348622215</v>
      </c>
      <c r="P81" s="983"/>
      <c r="Q81" s="986"/>
    </row>
    <row r="82" spans="1:17" ht="15.5">
      <c r="A82" s="982"/>
      <c r="B82" s="983"/>
      <c r="C82" s="983"/>
      <c r="D82" s="983"/>
      <c r="E82" s="983"/>
      <c r="F82" s="1013" t="s">
        <v>1027</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-22.037019898804896</v>
      </c>
      <c r="P83" s="983"/>
      <c r="Q83" s="986"/>
    </row>
    <row r="84" spans="1:17">
      <c r="A84" s="982"/>
      <c r="B84" s="983"/>
      <c r="C84" s="983"/>
      <c r="D84" s="983"/>
      <c r="E84" s="983"/>
      <c r="F84" s="988" t="s">
        <v>1036</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1026</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1050</v>
      </c>
      <c r="O88" s="1052">
        <f>'Downlink Budget'!B56</f>
        <v>100</v>
      </c>
      <c r="P88" s="983"/>
      <c r="Q88" s="986"/>
    </row>
    <row r="89" spans="1:17">
      <c r="A89" s="982"/>
      <c r="B89" s="983"/>
      <c r="C89" s="983"/>
      <c r="D89" s="983"/>
      <c r="E89" s="983"/>
      <c r="F89" s="988" t="s">
        <v>1035</v>
      </c>
      <c r="G89" s="1009">
        <f>SUM(Transmitters!I37:I39)</f>
        <v>0.7</v>
      </c>
      <c r="H89" s="986"/>
      <c r="I89" s="982"/>
      <c r="J89" s="983"/>
      <c r="K89" s="983"/>
      <c r="L89" s="983"/>
      <c r="M89" s="983"/>
      <c r="N89" s="1066" t="s">
        <v>427</v>
      </c>
      <c r="O89" s="1066"/>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1034</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1032</v>
      </c>
      <c r="G93" s="1007">
        <f>Transmitters!I32</f>
        <v>0.97583399999999998</v>
      </c>
      <c r="H93" s="986"/>
      <c r="I93" s="982"/>
      <c r="J93" s="983"/>
      <c r="K93" s="983"/>
      <c r="L93" s="983"/>
      <c r="M93" s="983"/>
      <c r="N93" s="1031" t="s">
        <v>422</v>
      </c>
      <c r="O93" s="1003" t="str">
        <f>'Downlink Budget'!B35</f>
        <v>NA</v>
      </c>
      <c r="P93" s="983"/>
      <c r="Q93" s="986"/>
    </row>
    <row r="94" spans="1:17">
      <c r="A94" s="982"/>
      <c r="B94" s="983"/>
      <c r="C94" s="983"/>
      <c r="D94" s="983"/>
      <c r="E94" s="983"/>
      <c r="F94" s="983" t="s">
        <v>715</v>
      </c>
      <c r="G94" s="983"/>
      <c r="H94" s="986"/>
      <c r="I94" s="982"/>
      <c r="J94" s="983"/>
      <c r="K94" s="983"/>
      <c r="L94" s="983"/>
      <c r="M94" s="983"/>
      <c r="N94" s="1067" t="s">
        <v>1025</v>
      </c>
      <c r="O94" s="1068"/>
      <c r="P94" s="983"/>
      <c r="Q94" s="986"/>
    </row>
    <row r="95" spans="1:17">
      <c r="A95" s="982"/>
      <c r="B95" s="983"/>
      <c r="C95" s="983"/>
      <c r="D95" s="983"/>
      <c r="E95" s="983"/>
      <c r="F95" s="983" t="s">
        <v>715</v>
      </c>
      <c r="G95" s="983"/>
      <c r="H95" s="986"/>
      <c r="I95" s="982"/>
      <c r="J95" s="983"/>
      <c r="K95" s="983"/>
      <c r="L95" s="983"/>
      <c r="M95" s="983"/>
      <c r="N95" s="1071" t="str">
        <f>'Downlink Budget'!B32</f>
        <v>10WPM OOK</v>
      </c>
      <c r="O95" s="1072"/>
      <c r="P95" s="983"/>
      <c r="Q95" s="986"/>
    </row>
    <row r="96" spans="1:17" ht="13">
      <c r="A96" s="982"/>
      <c r="B96" s="983"/>
      <c r="C96" s="983"/>
      <c r="D96" s="983"/>
      <c r="E96" s="983"/>
      <c r="F96" s="983" t="s">
        <v>715</v>
      </c>
      <c r="G96" s="983"/>
      <c r="H96" s="986"/>
      <c r="I96" s="982"/>
      <c r="J96" s="983"/>
      <c r="K96" s="983"/>
      <c r="L96" s="983"/>
      <c r="M96" s="983"/>
      <c r="N96" s="1055" t="s">
        <v>1075</v>
      </c>
      <c r="O96" s="1006">
        <f>'Downlink Budget'!B41</f>
        <v>19.399999999999999</v>
      </c>
      <c r="P96" s="983"/>
      <c r="Q96" s="1054" t="s">
        <v>1074</v>
      </c>
    </row>
    <row r="97" spans="1:17" ht="13">
      <c r="A97" s="982"/>
      <c r="B97" s="983"/>
      <c r="C97" s="983"/>
      <c r="D97" s="983"/>
      <c r="E97" s="983"/>
      <c r="F97" s="1013" t="s">
        <v>1053</v>
      </c>
      <c r="G97" s="1036">
        <f>Transmitters!E16</f>
        <v>1</v>
      </c>
      <c r="H97" s="986"/>
      <c r="I97" s="982"/>
      <c r="J97" s="983"/>
      <c r="K97" s="983"/>
      <c r="L97" s="983"/>
      <c r="M97" s="983"/>
      <c r="N97" s="983"/>
      <c r="O97" s="983"/>
      <c r="P97" s="983"/>
      <c r="Q97" s="1054" t="s">
        <v>1071</v>
      </c>
    </row>
    <row r="98" spans="1:17" ht="13">
      <c r="A98" s="982"/>
      <c r="B98" s="983"/>
      <c r="C98" s="983"/>
      <c r="D98" s="983"/>
      <c r="E98" s="983"/>
      <c r="F98" s="983"/>
      <c r="G98" s="983"/>
      <c r="H98" s="986"/>
      <c r="I98" s="982"/>
      <c r="J98" s="983"/>
      <c r="K98" s="983"/>
      <c r="L98" s="983"/>
      <c r="M98" s="983"/>
      <c r="N98" s="983"/>
      <c r="O98" s="983"/>
      <c r="P98" s="983"/>
      <c r="Q98" s="1054" t="s">
        <v>1084</v>
      </c>
    </row>
    <row r="99" spans="1:17" ht="13">
      <c r="A99" s="982"/>
      <c r="B99" s="983"/>
      <c r="C99" s="983"/>
      <c r="D99" s="983"/>
      <c r="E99" s="983"/>
      <c r="F99" s="983"/>
      <c r="G99" s="983"/>
      <c r="H99" s="986"/>
      <c r="I99" s="982"/>
      <c r="J99" s="983"/>
      <c r="K99" s="983"/>
      <c r="L99" s="983"/>
      <c r="M99" s="983"/>
      <c r="N99" s="983"/>
      <c r="O99" s="983"/>
      <c r="P99" s="983"/>
      <c r="Q99" s="1054" t="s">
        <v>1085</v>
      </c>
    </row>
    <row r="100" spans="1:17" ht="13">
      <c r="A100" s="982"/>
      <c r="B100" s="983"/>
      <c r="C100" s="983"/>
      <c r="D100" s="983"/>
      <c r="E100" s="983"/>
      <c r="F100" s="983"/>
      <c r="G100" s="983"/>
      <c r="H100" s="986"/>
      <c r="I100" s="982"/>
      <c r="J100" s="983"/>
      <c r="K100" s="983"/>
      <c r="L100" s="983"/>
      <c r="M100" s="983"/>
      <c r="N100" s="1067" t="s">
        <v>1024</v>
      </c>
      <c r="O100" s="1068"/>
      <c r="P100" s="983"/>
      <c r="Q100" s="1054" t="s">
        <v>1083</v>
      </c>
    </row>
    <row r="101" spans="1:17" ht="13">
      <c r="A101" s="982"/>
      <c r="B101" s="983"/>
      <c r="C101" s="983"/>
      <c r="D101" s="983"/>
      <c r="E101" s="983"/>
      <c r="F101" s="983"/>
      <c r="G101" s="983"/>
      <c r="H101" s="986"/>
      <c r="I101" s="982"/>
      <c r="J101" s="983"/>
      <c r="K101" s="983"/>
      <c r="L101" s="983"/>
      <c r="M101" s="983"/>
      <c r="N101" s="1071" t="str">
        <f>'Downlink Budget'!B33</f>
        <v>None</v>
      </c>
      <c r="O101" s="1072"/>
      <c r="P101" s="983"/>
      <c r="Q101" s="1054" t="s">
        <v>1086</v>
      </c>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7" t="s">
        <v>1021</v>
      </c>
      <c r="G103" s="1068"/>
      <c r="H103" s="986"/>
      <c r="I103" s="982"/>
      <c r="J103" s="983"/>
      <c r="K103" s="983"/>
      <c r="L103" s="983"/>
      <c r="M103" s="983"/>
      <c r="N103" s="983"/>
      <c r="O103" s="983"/>
      <c r="P103" s="983"/>
      <c r="Q103" s="986"/>
    </row>
    <row r="104" spans="1:17">
      <c r="A104" s="982"/>
      <c r="B104" s="983"/>
      <c r="C104" s="983"/>
      <c r="D104" s="983"/>
      <c r="E104" s="983"/>
      <c r="F104" s="1071" t="str">
        <f>'Uplink Budget'!B32</f>
        <v>GMSK w/ BT=0.3</v>
      </c>
      <c r="G104" s="1072"/>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1020</v>
      </c>
      <c r="L105" s="1030">
        <f>'Downlink Budget'!B28</f>
        <v>100</v>
      </c>
      <c r="M105" s="983"/>
      <c r="N105" s="983"/>
      <c r="O105" s="983" t="s">
        <v>715</v>
      </c>
      <c r="P105" s="983" t="s">
        <v>715</v>
      </c>
      <c r="Q105" s="986"/>
    </row>
    <row r="106" spans="1:17" ht="13" thickBot="1">
      <c r="A106" s="982"/>
      <c r="B106" s="983"/>
      <c r="C106" s="983"/>
      <c r="D106" s="983"/>
      <c r="E106" s="983"/>
      <c r="F106" s="1067" t="s">
        <v>1023</v>
      </c>
      <c r="G106" s="1068"/>
      <c r="H106" s="986"/>
      <c r="I106" s="982"/>
      <c r="J106" s="983"/>
      <c r="K106" s="983"/>
      <c r="L106" s="983"/>
      <c r="M106" s="983"/>
      <c r="N106" s="983"/>
      <c r="O106" s="983"/>
      <c r="P106" s="983"/>
      <c r="Q106" s="986"/>
    </row>
    <row r="107" spans="1:17" ht="13.5" thickBot="1">
      <c r="A107" s="982"/>
      <c r="B107" s="983"/>
      <c r="C107" s="983"/>
      <c r="D107" s="983"/>
      <c r="E107" s="983"/>
      <c r="F107" s="1071" t="str">
        <f>'Uplink Budget'!B33</f>
        <v>None</v>
      </c>
      <c r="G107" s="1072"/>
      <c r="H107" s="986"/>
      <c r="I107" s="1069" t="s">
        <v>1051</v>
      </c>
      <c r="J107" s="1070"/>
      <c r="K107" s="988" t="s">
        <v>1052</v>
      </c>
      <c r="L107" s="989">
        <f>'Downlink Budget'!B30</f>
        <v>28.460778458359826</v>
      </c>
      <c r="M107" s="983"/>
      <c r="N107" s="1032" t="s">
        <v>418</v>
      </c>
      <c r="O107" s="991">
        <f>'Downlink Budget'!B43</f>
        <v>9.0607784583598274</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69" t="s">
        <v>421</v>
      </c>
      <c r="J109" s="1070"/>
      <c r="K109" s="988" t="s">
        <v>1022</v>
      </c>
      <c r="L109" s="989">
        <f>'Downlink Budget'!B60</f>
        <v>28.46077845835984</v>
      </c>
      <c r="M109" s="983"/>
      <c r="N109" s="1032" t="s">
        <v>429</v>
      </c>
      <c r="O109" s="991">
        <f>'Downlink Budget'!B64</f>
        <v>9.0607784583598416</v>
      </c>
      <c r="P109" s="992" t="str">
        <f>IF(O109&lt;0,"NO LINK !",IF(O109&lt;6,"MARGINAL LINK",IF(O109&gt;6,"LINK CLOSES")))</f>
        <v>LINK CLOSES</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N7:O7"/>
    <mergeCell ref="B2:C2"/>
    <mergeCell ref="J2:K2"/>
    <mergeCell ref="B3:C3"/>
    <mergeCell ref="J3:K3"/>
    <mergeCell ref="N6:O6"/>
    <mergeCell ref="B67:C67"/>
    <mergeCell ref="N9:O9"/>
    <mergeCell ref="N10:O10"/>
    <mergeCell ref="F13:G13"/>
    <mergeCell ref="F14:G14"/>
    <mergeCell ref="F19:G19"/>
    <mergeCell ref="F20:G20"/>
    <mergeCell ref="F26:G26"/>
    <mergeCell ref="J40:K40"/>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244"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16</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9"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September 16</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September 16</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1188.6155746831382</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1188.6155746831382</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15</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1188.6155746831382</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28.460778458359826</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19.059334273539037</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1188.6155746831382</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137.23934624164605</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146.78375690917358</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156.03958622588038</v>
      </c>
      <c r="H12" s="3" t="s">
        <v>757</v>
      </c>
      <c r="I12" s="3" t="s">
        <v>90</v>
      </c>
      <c r="J12" s="3"/>
      <c r="K12" s="3"/>
      <c r="L12" s="3"/>
      <c r="M12" s="761">
        <f>INDEX(G10:G13,L10,1)</f>
        <v>146.76388072283868</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146.76388072283868</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137.23934624164605</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146.78276417934359</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161.58649737620394</v>
      </c>
      <c r="H18" s="3" t="s">
        <v>757</v>
      </c>
      <c r="I18" s="3" t="s">
        <v>90</v>
      </c>
      <c r="J18" s="3"/>
      <c r="K18" s="3"/>
      <c r="L18" s="3"/>
      <c r="M18" s="761">
        <f>INDEX(G16:G19,L16,1)</f>
        <v>146.76388072283868</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146.76388072283868</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9" zoomScale="120" zoomScaleNormal="120" workbookViewId="0">
      <selection activeCell="E61" sqref="E61"/>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September 16</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978</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982</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984</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983</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985</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979</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977</v>
      </c>
      <c r="G39" s="366"/>
      <c r="H39" s="331"/>
      <c r="I39" s="342">
        <v>0.5</v>
      </c>
      <c r="J39" s="331" t="s">
        <v>757</v>
      </c>
      <c r="K39" s="913" t="s">
        <v>976</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1057</v>
      </c>
      <c r="L41" s="3"/>
      <c r="M41" s="3"/>
      <c r="N41" s="3"/>
      <c r="O41" s="3"/>
      <c r="P41" s="3"/>
    </row>
    <row r="42" spans="1:16">
      <c r="A42" s="3"/>
      <c r="B42" s="3"/>
      <c r="C42" s="330"/>
      <c r="D42" s="331"/>
      <c r="E42" s="331"/>
      <c r="F42" s="331"/>
      <c r="G42" s="331"/>
      <c r="H42" s="331"/>
      <c r="I42" s="332"/>
      <c r="J42" s="331"/>
      <c r="K42" s="924" t="s">
        <v>1060</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61" t="s">
        <v>986</v>
      </c>
      <c r="D52" s="1062"/>
      <c r="E52" s="1062"/>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978</v>
      </c>
      <c r="D60" s="141"/>
      <c r="E60" s="128">
        <v>0.1</v>
      </c>
      <c r="F60" s="141" t="s">
        <v>160</v>
      </c>
      <c r="G60" s="402">
        <f>10*LOG10(E60)</f>
        <v>-10</v>
      </c>
      <c r="H60" s="141" t="s">
        <v>161</v>
      </c>
      <c r="I60" s="328">
        <f>G60+30</f>
        <v>20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987</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1058</v>
      </c>
      <c r="G78" s="141"/>
      <c r="H78" s="141"/>
      <c r="I78" s="903">
        <f>E78*0.066</f>
        <v>0.39600000000000002</v>
      </c>
      <c r="J78" s="141" t="s">
        <v>757</v>
      </c>
      <c r="K78" s="1040" t="s">
        <v>1059</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0" t="s">
        <v>1063</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-10.823560000000001</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5" zoomScale="120" zoomScaleNormal="120" workbookViewId="0">
      <selection activeCell="M149" sqref="M149"/>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September 16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3" t="s">
        <v>986</v>
      </c>
      <c r="D8" s="1064"/>
      <c r="E8" s="1064"/>
      <c r="F8" s="1064"/>
      <c r="G8" s="1064"/>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988</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989</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990</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991</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992</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993</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994</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995</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996</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997</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998</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987</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1000</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1001</v>
      </c>
      <c r="R49" s="297"/>
      <c r="S49" s="297"/>
      <c r="T49" s="684" t="s">
        <v>1002</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973</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974</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1003</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1061</v>
      </c>
      <c r="J53" s="911">
        <f>H53*0.066</f>
        <v>0.39600000000000002</v>
      </c>
      <c r="K53" s="331" t="s">
        <v>757</v>
      </c>
      <c r="L53" s="331"/>
      <c r="M53" s="924" t="s">
        <v>1059</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1004</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971</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975</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972</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1064</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999</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988</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1005</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991</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992</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994</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1006</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996</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997</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998</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1069</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0.3</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1007</v>
      </c>
      <c r="J118" s="141">
        <f>J109*H114</f>
        <v>0.3</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1008</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1009</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1010</v>
      </c>
      <c r="J121" s="909">
        <v>1</v>
      </c>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1011</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4</v>
      </c>
      <c r="I123" s="141" t="s">
        <v>233</v>
      </c>
      <c r="J123" s="912">
        <f>H123*0.05</f>
        <v>0.2</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1.5</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1012</v>
      </c>
      <c r="J128" s="964">
        <f>10^-(J126/10)</f>
        <v>0.70794578438413791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1013</v>
      </c>
      <c r="J130" s="965">
        <v>290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1002</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1014</v>
      </c>
      <c r="J134" s="965">
        <v>60</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6</v>
      </c>
      <c r="G136" s="141" t="s">
        <v>757</v>
      </c>
      <c r="H136" s="141"/>
      <c r="I136" s="141" t="s">
        <v>1015</v>
      </c>
      <c r="J136" s="302">
        <f>10^(F136/10)</f>
        <v>3.9810717055349727</v>
      </c>
      <c r="K136" s="141"/>
      <c r="L136" s="141"/>
      <c r="M136" s="914"/>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c r="K138" s="141" t="s">
        <v>665</v>
      </c>
      <c r="L138" s="141"/>
      <c r="M138" s="182"/>
      <c r="N138" s="3"/>
      <c r="O138" s="925" t="s">
        <v>971</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1070</v>
      </c>
      <c r="Q141" s="936"/>
      <c r="R141" s="937"/>
      <c r="S141" s="937">
        <v>6</v>
      </c>
      <c r="T141" s="938"/>
      <c r="U141" s="939" t="str">
        <f>IF(R141,10^(R141/10), "")</f>
        <v/>
      </c>
      <c r="V141" s="939">
        <f>IF(S141,10^(S141/10), "")</f>
        <v>3.9810717055349727</v>
      </c>
      <c r="W141" s="939">
        <f>IF(S141,1,"")</f>
        <v>1</v>
      </c>
      <c r="X141" s="938">
        <f>IF(S141,290*(V141-1), "")</f>
        <v>864.51079460514211</v>
      </c>
      <c r="Y141" s="938">
        <f t="shared" ref="Y141:Y150" si="8">IF(S141,X141/W141, "")</f>
        <v>864.51079460514211</v>
      </c>
      <c r="Z141" s="939">
        <f>IF(S141,(V141-1)/W141, "")</f>
        <v>2.9810717055349727</v>
      </c>
      <c r="AA141" s="939">
        <f>IF(S141,Z141+1, "")</f>
        <v>3.9810717055349727</v>
      </c>
    </row>
    <row r="142" spans="1:27">
      <c r="A142" s="3"/>
      <c r="B142" s="3"/>
      <c r="C142" s="177"/>
      <c r="D142" s="141" t="s">
        <v>668</v>
      </c>
      <c r="E142" s="141"/>
      <c r="F142" s="967"/>
      <c r="G142" s="141"/>
      <c r="H142" s="141"/>
      <c r="I142" s="141"/>
      <c r="J142" s="968"/>
      <c r="K142" s="141" t="s">
        <v>1016</v>
      </c>
      <c r="L142" s="141"/>
      <c r="M142" s="182"/>
      <c r="N142" s="3"/>
      <c r="O142" s="934">
        <v>2</v>
      </c>
      <c r="P142" s="940"/>
      <c r="Q142" s="941"/>
      <c r="R142" s="937"/>
      <c r="S142" s="937"/>
      <c r="T142" s="938"/>
      <c r="U142" s="939" t="str">
        <f t="shared" ref="U142:V150" si="9">IF(R142,10^(R142/10), "")</f>
        <v/>
      </c>
      <c r="V142" s="939" t="str">
        <f t="shared" si="9"/>
        <v/>
      </c>
      <c r="W142" s="939" t="str">
        <f t="shared" ref="W142:W150" si="10">IF(S142,W141*U141, "")</f>
        <v/>
      </c>
      <c r="X142" s="938" t="str">
        <f t="shared" ref="X142:X150" si="11">IF(S142,290*(V142-1), "")</f>
        <v/>
      </c>
      <c r="Y142" s="938" t="str">
        <f t="shared" si="8"/>
        <v/>
      </c>
      <c r="Z142" s="939" t="str">
        <f t="shared" ref="Z142:Z150" si="12">IF(S142,(V142-1)/W142, "")</f>
        <v/>
      </c>
      <c r="AA142" s="939" t="str">
        <f>IF(S142, AA141+Z142, "")</f>
        <v/>
      </c>
    </row>
    <row r="143" spans="1:27">
      <c r="A143" s="3"/>
      <c r="B143" s="3"/>
      <c r="C143" s="177"/>
      <c r="D143" s="141"/>
      <c r="E143" s="141"/>
      <c r="F143" s="967"/>
      <c r="G143" s="141"/>
      <c r="H143" s="141"/>
      <c r="I143" s="141"/>
      <c r="J143" s="302"/>
      <c r="K143" s="141"/>
      <c r="L143" s="141"/>
      <c r="M143" s="182"/>
      <c r="N143" s="3"/>
      <c r="O143" s="934">
        <v>3</v>
      </c>
      <c r="P143" s="940"/>
      <c r="Q143" s="941"/>
      <c r="R143" s="937"/>
      <c r="S143" s="937"/>
      <c r="T143" s="938"/>
      <c r="U143" s="939" t="str">
        <f t="shared" si="9"/>
        <v/>
      </c>
      <c r="V143" s="939" t="str">
        <f t="shared" si="9"/>
        <v/>
      </c>
      <c r="W143" s="939" t="str">
        <f t="shared" si="10"/>
        <v/>
      </c>
      <c r="X143" s="938" t="str">
        <f t="shared" si="11"/>
        <v/>
      </c>
      <c r="Y143" s="938" t="str">
        <f t="shared" si="8"/>
        <v/>
      </c>
      <c r="Z143" s="939" t="str">
        <f t="shared" si="12"/>
        <v/>
      </c>
      <c r="AA143" s="939" t="str">
        <f t="shared" ref="AA143:AA150" si="13">IF(S143, AA142+Z143, "")</f>
        <v/>
      </c>
    </row>
    <row r="144" spans="1:27">
      <c r="A144" s="3"/>
      <c r="B144" s="3"/>
      <c r="C144" s="177"/>
      <c r="D144" s="141" t="s">
        <v>669</v>
      </c>
      <c r="E144" s="141"/>
      <c r="F144" s="967"/>
      <c r="G144" s="141"/>
      <c r="H144" s="141"/>
      <c r="I144" s="141"/>
      <c r="J144" s="969">
        <f>J138*J142</f>
        <v>0</v>
      </c>
      <c r="K144" s="141" t="s">
        <v>757</v>
      </c>
      <c r="L144" s="141"/>
      <c r="M144" s="182"/>
      <c r="N144" s="3"/>
      <c r="O144" s="934">
        <v>4</v>
      </c>
      <c r="P144" s="940"/>
      <c r="Q144" s="941"/>
      <c r="R144" s="937"/>
      <c r="S144" s="937"/>
      <c r="T144" s="938"/>
      <c r="U144" s="939" t="str">
        <f t="shared" si="9"/>
        <v/>
      </c>
      <c r="V144" s="939" t="str">
        <f t="shared" si="9"/>
        <v/>
      </c>
      <c r="W144" s="939" t="str">
        <f t="shared" si="10"/>
        <v/>
      </c>
      <c r="X144" s="938" t="str">
        <f t="shared" si="11"/>
        <v/>
      </c>
      <c r="Y144" s="938" t="str">
        <f t="shared" si="8"/>
        <v/>
      </c>
      <c r="Z144" s="939" t="str">
        <f t="shared" si="12"/>
        <v/>
      </c>
      <c r="AA144" s="939" t="str">
        <f t="shared" si="13"/>
        <v/>
      </c>
    </row>
    <row r="145" spans="1:27">
      <c r="A145" s="3"/>
      <c r="B145" s="3"/>
      <c r="C145" s="177"/>
      <c r="D145" s="141"/>
      <c r="E145" s="141"/>
      <c r="F145" s="141"/>
      <c r="G145" s="141"/>
      <c r="H145" s="141"/>
      <c r="I145" s="141"/>
      <c r="J145" s="141"/>
      <c r="K145" s="141"/>
      <c r="L145" s="141"/>
      <c r="M145" s="182"/>
      <c r="N145" s="3"/>
      <c r="O145" s="934">
        <v>5</v>
      </c>
      <c r="P145" s="940"/>
      <c r="Q145" s="941"/>
      <c r="R145" s="937"/>
      <c r="S145" s="937"/>
      <c r="T145" s="938"/>
      <c r="U145" s="939" t="str">
        <f t="shared" si="9"/>
        <v/>
      </c>
      <c r="V145" s="939" t="str">
        <f t="shared" si="9"/>
        <v/>
      </c>
      <c r="W145" s="939" t="str">
        <f t="shared" si="10"/>
        <v/>
      </c>
      <c r="X145" s="938" t="str">
        <f t="shared" si="11"/>
        <v/>
      </c>
      <c r="Y145" s="938" t="str">
        <f t="shared" si="8"/>
        <v/>
      </c>
      <c r="Z145" s="939" t="str">
        <f t="shared" si="12"/>
        <v/>
      </c>
      <c r="AA145" s="939" t="str">
        <f t="shared" si="13"/>
        <v/>
      </c>
    </row>
    <row r="146" spans="1:27" ht="13">
      <c r="A146" s="3"/>
      <c r="B146" s="3"/>
      <c r="C146" s="177"/>
      <c r="D146" s="141" t="s">
        <v>108</v>
      </c>
      <c r="E146" s="141"/>
      <c r="F146" s="141"/>
      <c r="G146" s="141"/>
      <c r="H146" s="141"/>
      <c r="I146" s="141" t="s">
        <v>999</v>
      </c>
      <c r="J146" s="374">
        <f>Y152</f>
        <v>864.51079460514211</v>
      </c>
      <c r="K146" s="141" t="s">
        <v>785</v>
      </c>
      <c r="L146" s="141"/>
      <c r="M146" s="182"/>
      <c r="N146" s="3"/>
      <c r="O146" s="934">
        <v>8</v>
      </c>
      <c r="P146" s="940"/>
      <c r="Q146" s="941"/>
      <c r="R146" s="937"/>
      <c r="S146" s="937"/>
      <c r="T146" s="938"/>
      <c r="U146" s="939" t="str">
        <f t="shared" si="9"/>
        <v/>
      </c>
      <c r="V146" s="939" t="str">
        <f t="shared" si="9"/>
        <v/>
      </c>
      <c r="W146" s="939" t="str">
        <f t="shared" si="10"/>
        <v/>
      </c>
      <c r="X146" s="938" t="str">
        <f t="shared" si="11"/>
        <v/>
      </c>
      <c r="Y146" s="938" t="str">
        <f t="shared" si="8"/>
        <v/>
      </c>
      <c r="Z146" s="939" t="str">
        <f t="shared" si="12"/>
        <v/>
      </c>
      <c r="AA146" s="939" t="str">
        <f t="shared" si="13"/>
        <v/>
      </c>
    </row>
    <row r="147" spans="1:27">
      <c r="A147" s="3"/>
      <c r="B147" s="3"/>
      <c r="C147" s="177"/>
      <c r="D147" s="141"/>
      <c r="E147" s="141"/>
      <c r="F147" s="141"/>
      <c r="G147" s="141"/>
      <c r="H147" s="141"/>
      <c r="I147" s="141"/>
      <c r="J147" s="141"/>
      <c r="K147" s="141"/>
      <c r="L147" s="141"/>
      <c r="M147" s="182"/>
      <c r="N147" s="3"/>
      <c r="O147" s="934">
        <v>9</v>
      </c>
      <c r="P147" s="940"/>
      <c r="Q147" s="941"/>
      <c r="R147" s="937"/>
      <c r="S147" s="937"/>
      <c r="T147" s="938"/>
      <c r="U147" s="939" t="str">
        <f t="shared" si="9"/>
        <v/>
      </c>
      <c r="V147" s="939" t="str">
        <f t="shared" si="9"/>
        <v/>
      </c>
      <c r="W147" s="939" t="str">
        <f t="shared" si="10"/>
        <v/>
      </c>
      <c r="X147" s="938" t="str">
        <f t="shared" si="11"/>
        <v/>
      </c>
      <c r="Y147" s="938" t="str">
        <f t="shared" si="8"/>
        <v/>
      </c>
      <c r="Z147" s="939" t="str">
        <f t="shared" si="12"/>
        <v/>
      </c>
      <c r="AA147" s="939" t="str">
        <f t="shared" si="13"/>
        <v/>
      </c>
    </row>
    <row r="148" spans="1:27" ht="13">
      <c r="A148" s="3"/>
      <c r="B148" s="3"/>
      <c r="C148" s="177"/>
      <c r="D148" s="141"/>
      <c r="E148" s="141"/>
      <c r="F148" s="141"/>
      <c r="G148" s="141"/>
      <c r="H148" s="141"/>
      <c r="I148" s="141"/>
      <c r="J148" s="141"/>
      <c r="K148" s="141"/>
      <c r="L148" s="364"/>
      <c r="M148" s="182"/>
      <c r="N148" s="3"/>
      <c r="O148" s="934">
        <v>10</v>
      </c>
      <c r="P148" s="940"/>
      <c r="Q148" s="941"/>
      <c r="R148" s="937"/>
      <c r="S148" s="937"/>
      <c r="T148" s="938"/>
      <c r="U148" s="939" t="str">
        <f t="shared" si="9"/>
        <v/>
      </c>
      <c r="V148" s="939" t="str">
        <f t="shared" si="9"/>
        <v/>
      </c>
      <c r="W148" s="939" t="str">
        <f t="shared" si="10"/>
        <v/>
      </c>
      <c r="X148" s="938" t="str">
        <f t="shared" si="11"/>
        <v/>
      </c>
      <c r="Y148" s="938" t="str">
        <f t="shared" si="8"/>
        <v/>
      </c>
      <c r="Z148" s="939" t="str">
        <f t="shared" si="12"/>
        <v/>
      </c>
      <c r="AA148" s="939" t="str">
        <f t="shared" si="13"/>
        <v/>
      </c>
    </row>
    <row r="149" spans="1:27" ht="13">
      <c r="A149" s="3"/>
      <c r="B149" s="3"/>
      <c r="C149" s="177"/>
      <c r="D149" s="141" t="s">
        <v>226</v>
      </c>
      <c r="E149" s="141"/>
      <c r="F149" s="141"/>
      <c r="G149" s="141"/>
      <c r="H149" s="141"/>
      <c r="I149" s="141" t="s">
        <v>1017</v>
      </c>
      <c r="J149" s="374">
        <f>J130*J128+J132*(1-J128)+J134+(J146/(J136/(10^(J144/10))))</f>
        <v>567.15529348622215</v>
      </c>
      <c r="K149" s="141" t="s">
        <v>785</v>
      </c>
      <c r="L149" s="141"/>
      <c r="M149" s="182"/>
      <c r="N149" s="3"/>
      <c r="O149" s="934">
        <v>11</v>
      </c>
      <c r="P149" s="940"/>
      <c r="Q149" s="941"/>
      <c r="R149" s="937"/>
      <c r="S149" s="937"/>
      <c r="T149" s="938"/>
      <c r="U149" s="939" t="str">
        <f t="shared" si="9"/>
        <v/>
      </c>
      <c r="V149" s="939" t="str">
        <f t="shared" si="9"/>
        <v/>
      </c>
      <c r="W149" s="939" t="str">
        <f t="shared" si="10"/>
        <v/>
      </c>
      <c r="X149" s="938" t="str">
        <f t="shared" si="11"/>
        <v/>
      </c>
      <c r="Y149" s="938" t="str">
        <f t="shared" si="8"/>
        <v/>
      </c>
      <c r="Z149" s="939" t="str">
        <f t="shared" si="12"/>
        <v/>
      </c>
      <c r="AA149" s="939" t="str">
        <f t="shared" si="13"/>
        <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864.51079460514211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M2" sqref="M2"/>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September 16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1062</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0.5</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1062</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7-element Yagi</v>
      </c>
      <c r="G58" s="185"/>
      <c r="H58" s="141"/>
      <c r="I58" s="141"/>
      <c r="J58" s="141" t="s">
        <v>60</v>
      </c>
      <c r="K58" s="381" t="s">
        <v>1068</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0.5</v>
      </c>
      <c r="F60" s="171"/>
      <c r="G60" s="172" t="s">
        <v>75</v>
      </c>
      <c r="H60" s="174">
        <v>7</v>
      </c>
      <c r="I60" s="171" t="s">
        <v>74</v>
      </c>
      <c r="J60" s="175" t="s">
        <v>86</v>
      </c>
      <c r="K60" s="171"/>
      <c r="L60" s="171"/>
      <c r="M60" s="152" t="s">
        <v>76</v>
      </c>
      <c r="N60" s="153">
        <f>IF(E60&lt;$B$72,"too short!",INDEX($F$72:$F$110,MATCH(E60,$B$72:$B$110,1),1))</f>
        <v>9.65</v>
      </c>
      <c r="O60" s="151" t="s">
        <v>784</v>
      </c>
      <c r="P60" s="151" t="s">
        <v>61</v>
      </c>
      <c r="Q60" s="154">
        <f>SQRT(40000/(10^(N60/10)))</f>
        <v>65.846090666681278</v>
      </c>
      <c r="R60" s="151" t="s">
        <v>4</v>
      </c>
      <c r="S60" s="151" t="s">
        <v>89</v>
      </c>
      <c r="T60" s="151"/>
      <c r="U60" s="155">
        <f>K55*E60</f>
        <v>0.3434135166093929</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1081</v>
      </c>
      <c r="C63" s="146"/>
      <c r="D63" s="146"/>
      <c r="E63" s="890" t="s">
        <v>1082</v>
      </c>
      <c r="F63" s="890"/>
      <c r="G63" s="624"/>
      <c r="H63" s="899"/>
      <c r="I63" s="899"/>
      <c r="J63" s="899"/>
      <c r="K63" s="147"/>
      <c r="L63" s="146"/>
      <c r="M63" s="146" t="s">
        <v>59</v>
      </c>
      <c r="N63" s="148">
        <v>7</v>
      </c>
      <c r="O63" s="146" t="s">
        <v>784</v>
      </c>
      <c r="P63" s="146" t="s">
        <v>61</v>
      </c>
      <c r="Q63" s="149">
        <v>70</v>
      </c>
      <c r="R63" s="146" t="s">
        <v>4</v>
      </c>
      <c r="S63" s="681" t="s">
        <v>466</v>
      </c>
      <c r="T63" s="146"/>
      <c r="U63" s="682">
        <v>0.78500000000000003</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September 16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0.5</v>
      </c>
      <c r="I78" s="98" t="s">
        <v>784</v>
      </c>
      <c r="J78" s="98" t="s">
        <v>61</v>
      </c>
      <c r="K78" s="98">
        <f>'Antenna Gain'!L45</f>
        <v>180</v>
      </c>
      <c r="L78" s="99" t="s">
        <v>4</v>
      </c>
      <c r="M78" s="123"/>
      <c r="N78" s="124"/>
      <c r="O78" s="395" t="s">
        <v>270</v>
      </c>
      <c r="P78" s="537" t="s">
        <v>568</v>
      </c>
      <c r="Q78" s="538"/>
      <c r="R78" s="401">
        <f>IF(K74=K95, 0.00075*(G85)^2, 0.00075*(180-G85)^2)</f>
        <v>19.2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7-element Yagi</v>
      </c>
      <c r="G95" s="185"/>
      <c r="H95" s="141"/>
      <c r="I95" s="141"/>
      <c r="J95" s="141" t="s">
        <v>60</v>
      </c>
      <c r="K95" s="280" t="str">
        <f>'Antenna Gain'!K58</f>
        <v>Linear</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9.65</v>
      </c>
      <c r="H97" s="151" t="s">
        <v>784</v>
      </c>
      <c r="I97" s="265" t="s">
        <v>61</v>
      </c>
      <c r="J97" s="273">
        <f>'Antenna Gain'!Q60</f>
        <v>65.846090666681278</v>
      </c>
      <c r="K97" s="151" t="s">
        <v>4</v>
      </c>
      <c r="L97" s="156"/>
      <c r="M97" s="3"/>
      <c r="N97" s="3"/>
      <c r="O97" s="3"/>
      <c r="P97" s="3"/>
      <c r="Q97" s="3"/>
      <c r="R97" s="392">
        <f>2*(F102*(79.76/INDEX(J97:J100,E95,1)))</f>
        <v>11.394285714285715</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70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5.7323012398843479E-2</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September 16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2019-09-17T00:50:05Z</cp:lastPrinted>
  <dcterms:created xsi:type="dcterms:W3CDTF">2003-03-25T04:05:57Z</dcterms:created>
  <dcterms:modified xsi:type="dcterms:W3CDTF">2019-09-17T00:53:43Z</dcterms:modified>
</cp:coreProperties>
</file>